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mtladi\Documents\Mtladi\Documents\mmajwalane\PDFs\forms\"/>
    </mc:Choice>
  </mc:AlternateContent>
  <xr:revisionPtr revIDLastSave="0" documentId="8_{F6EDABB0-9376-4918-BA05-E9C4334AFA1D}" xr6:coauthVersionLast="47" xr6:coauthVersionMax="47" xr10:uidLastSave="{00000000-0000-0000-0000-000000000000}"/>
  <bookViews>
    <workbookView xWindow="-120" yWindow="-120" windowWidth="29040" windowHeight="15840" tabRatio="842" activeTab="4" xr2:uid="{7628BB6C-5E6E-4563-89F7-06112CF85807}"/>
  </bookViews>
  <sheets>
    <sheet name="START PAGE" sheetId="8" r:id="rId1"/>
    <sheet name="INSTRUCTIONS" sheetId="7" r:id="rId2"/>
    <sheet name="COMPETENT PERSON REQUIREMENTS" sheetId="9" r:id="rId3"/>
    <sheet name="INPUTS" sheetId="6" r:id="rId4"/>
    <sheet name="COSTING" sheetId="2" r:id="rId5"/>
    <sheet name="SUMMARY" sheetId="1" r:id="rId6"/>
    <sheet name="Rates" sheetId="3" state="hidden" r:id="rId7"/>
    <sheet name="Escalation" sheetId="4" state="hidden" r:id="rId8"/>
    <sheet name="Region Factor" sheetId="5" state="hidden" r:id="rId9"/>
  </sheets>
  <definedNames>
    <definedName name="_xlnm._FilterDatabase" localSheetId="4" hidden="1">COSTING!$B$48:$B$67</definedName>
    <definedName name="FacilityList">#REF!</definedName>
    <definedName name="FlagList">#REF!</definedName>
    <definedName name="Inflation_Rate_Y2">#REF!</definedName>
    <definedName name="Inflation_Rate_Y3">#REF!</definedName>
    <definedName name="Inflation_Rate_Y4">#REF!</definedName>
    <definedName name="Inflation_Rate_Y5">#REF!</definedName>
    <definedName name="Inventory_List">OFFSET(#REF!,0,0,COUNTA(#REF!)-1,1)</definedName>
    <definedName name="InventoryList">#REF!</definedName>
    <definedName name="JobList">#REF!</definedName>
    <definedName name="MR_LIST" comment="Macro (Area)">OFFSET(#REF!,0,0,COUNTA(#REF!)-1,1)</definedName>
    <definedName name="NativeTimeline_Demolition_Date">#N/A</definedName>
    <definedName name="NativeTimeline_Demolition_Date1">#N/A</definedName>
    <definedName name="NativeTimeline_Demolition_Date2">#N/A</definedName>
    <definedName name="_xlnm.Print_Area" localSheetId="4">COSTING!$A$1:$G$179</definedName>
    <definedName name="_xlnm.Print_Area" localSheetId="3">INPUTS!$A$9:$D$76</definedName>
    <definedName name="_xlnm.Print_Area" localSheetId="5">SUMMARY!$A$1:$E$27</definedName>
    <definedName name="SalvageRate">'Rates'!#REF!</definedName>
    <definedName name="SectionList">#REF!</definedName>
    <definedName name="SiteList">#REF!</definedName>
    <definedName name="SubArea_List">OFFSET(#REF!,0,0,COUNTA(#REF!)-1,1)</definedName>
    <definedName name="SubsectionList">#REF!</definedName>
    <definedName name="Units">#REF!</definedName>
    <definedName name="WorkItems" localSheetId="8">Rates[Work_Item]</definedName>
    <definedName name="WorkItems">Rates[Work_Item]</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5" l="1"/>
  <c r="C21" i="1" s="1"/>
  <c r="H13" i="5"/>
  <c r="H12" i="5"/>
  <c r="H11" i="5"/>
  <c r="H10" i="5"/>
  <c r="H9" i="5"/>
  <c r="H8" i="5"/>
  <c r="H7" i="5"/>
  <c r="H6" i="5"/>
  <c r="H5" i="5"/>
  <c r="K32" i="5" l="1"/>
  <c r="K31" i="5"/>
  <c r="K30" i="5"/>
  <c r="K29" i="5"/>
  <c r="K28" i="5"/>
  <c r="K27" i="5"/>
  <c r="K26" i="5"/>
  <c r="K25" i="5"/>
  <c r="K24" i="5"/>
  <c r="G32" i="5"/>
  <c r="C13" i="5" s="1"/>
  <c r="D13" i="5" s="1"/>
  <c r="G31" i="5"/>
  <c r="G29" i="5"/>
  <c r="G28" i="5"/>
  <c r="C9" i="5" s="1"/>
  <c r="G27" i="5"/>
  <c r="C8" i="5" s="1"/>
  <c r="D8" i="5" s="1"/>
  <c r="G26" i="5"/>
  <c r="C7" i="5" s="1"/>
  <c r="D7" i="5" s="1"/>
  <c r="C15" i="5" s="1"/>
  <c r="H2" i="3" s="1"/>
  <c r="G2" i="3" s="1"/>
  <c r="G25" i="5"/>
  <c r="C6" i="5" s="1"/>
  <c r="G24" i="5"/>
  <c r="C5" i="5" s="1"/>
  <c r="D5" i="5" s="1"/>
  <c r="G30" i="5"/>
  <c r="C11" i="5" s="1"/>
  <c r="D26" i="8"/>
  <c r="E8" i="8"/>
  <c r="E11" i="8"/>
  <c r="E14" i="8"/>
  <c r="E17" i="8"/>
  <c r="E20" i="8"/>
  <c r="E24" i="8"/>
  <c r="I16" i="8"/>
  <c r="J14" i="8"/>
  <c r="J11" i="8"/>
  <c r="J8" i="8"/>
  <c r="I34" i="4"/>
  <c r="J34" i="4" s="1"/>
  <c r="I33" i="4"/>
  <c r="J33" i="4" s="1"/>
  <c r="F35" i="4" s="1"/>
  <c r="I32" i="4"/>
  <c r="J32" i="4" s="1"/>
  <c r="I31" i="4"/>
  <c r="J31" i="4" s="1"/>
  <c r="I30" i="4"/>
  <c r="J30" i="4" s="1"/>
  <c r="I29" i="4"/>
  <c r="J29" i="4" s="1"/>
  <c r="I28" i="4"/>
  <c r="J28" i="4" s="1"/>
  <c r="I27" i="4"/>
  <c r="J27" i="4" s="1"/>
  <c r="I26" i="4"/>
  <c r="J26" i="4" s="1"/>
  <c r="B49" i="6"/>
  <c r="G35" i="5"/>
  <c r="C12" i="5"/>
  <c r="D12" i="5" s="1"/>
  <c r="C10" i="5"/>
  <c r="D10" i="5" s="1"/>
  <c r="I49" i="4"/>
  <c r="J49" i="4" s="1"/>
  <c r="H49" i="4"/>
  <c r="I48" i="4"/>
  <c r="J48" i="4" s="1"/>
  <c r="F50" i="4" s="1"/>
  <c r="H48" i="4"/>
  <c r="I47" i="4"/>
  <c r="I44" i="4"/>
  <c r="J44" i="4" s="1"/>
  <c r="F45" i="4" s="1"/>
  <c r="H44" i="4"/>
  <c r="I43" i="4"/>
  <c r="I39" i="4"/>
  <c r="J39" i="4" s="1"/>
  <c r="F40" i="4" s="1"/>
  <c r="H39" i="4"/>
  <c r="I38" i="4"/>
  <c r="H34" i="4"/>
  <c r="H33" i="4"/>
  <c r="H32" i="4"/>
  <c r="H31" i="4"/>
  <c r="H30" i="4"/>
  <c r="H29" i="4"/>
  <c r="H28" i="4"/>
  <c r="H27" i="4"/>
  <c r="H26" i="4"/>
  <c r="I25" i="4"/>
  <c r="D12" i="4"/>
  <c r="D11" i="4"/>
  <c r="D10" i="4"/>
  <c r="D9" i="4"/>
  <c r="F95" i="3"/>
  <c r="F94" i="3"/>
  <c r="F93" i="3"/>
  <c r="F63" i="3"/>
  <c r="F49" i="3"/>
  <c r="F20" i="3"/>
  <c r="F6" i="3"/>
  <c r="H4" i="3"/>
  <c r="G3" i="3"/>
  <c r="C18" i="1"/>
  <c r="F176" i="2"/>
  <c r="F174" i="2"/>
  <c r="F172" i="2"/>
  <c r="F170" i="2"/>
  <c r="F168" i="2"/>
  <c r="F166" i="2"/>
  <c r="F164" i="2"/>
  <c r="F162" i="2"/>
  <c r="F160" i="2"/>
  <c r="F156" i="2"/>
  <c r="B156" i="2"/>
  <c r="C156" i="2" s="1"/>
  <c r="B155" i="2"/>
  <c r="F153" i="2"/>
  <c r="B153" i="2"/>
  <c r="C153" i="2" s="1"/>
  <c r="B152" i="2"/>
  <c r="F150" i="2"/>
  <c r="B150" i="2"/>
  <c r="C150" i="2" s="1"/>
  <c r="F149" i="2"/>
  <c r="B149" i="2"/>
  <c r="C149" i="2" s="1"/>
  <c r="B148" i="2"/>
  <c r="F146" i="2"/>
  <c r="B146" i="2"/>
  <c r="C146" i="2" s="1"/>
  <c r="B145" i="2"/>
  <c r="F143" i="2"/>
  <c r="B143" i="2"/>
  <c r="C143" i="2" s="1"/>
  <c r="B142" i="2"/>
  <c r="F140" i="2"/>
  <c r="B140" i="2"/>
  <c r="C140" i="2" s="1"/>
  <c r="F139" i="2"/>
  <c r="B139" i="2"/>
  <c r="C139" i="2" s="1"/>
  <c r="F138" i="2"/>
  <c r="B138" i="2"/>
  <c r="C138" i="2" s="1"/>
  <c r="F137" i="2"/>
  <c r="B137" i="2"/>
  <c r="C137" i="2" s="1"/>
  <c r="F136" i="2"/>
  <c r="B136" i="2"/>
  <c r="C136" i="2" s="1"/>
  <c r="B135" i="2"/>
  <c r="B134" i="2"/>
  <c r="C17" i="1" s="1"/>
  <c r="F132" i="2"/>
  <c r="B132" i="2"/>
  <c r="C132" i="2" s="1"/>
  <c r="F131" i="2"/>
  <c r="B131" i="2"/>
  <c r="C131" i="2" s="1"/>
  <c r="F130" i="2"/>
  <c r="B130" i="2"/>
  <c r="C130" i="2" s="1"/>
  <c r="F129" i="2"/>
  <c r="B129" i="2"/>
  <c r="C129" i="2" s="1"/>
  <c r="B128" i="2"/>
  <c r="F126" i="2"/>
  <c r="B126" i="2"/>
  <c r="C126" i="2" s="1"/>
  <c r="F125" i="2"/>
  <c r="B125" i="2"/>
  <c r="C125" i="2" s="1"/>
  <c r="F124" i="2"/>
  <c r="B124" i="2"/>
  <c r="C124" i="2" s="1"/>
  <c r="B123" i="2"/>
  <c r="F121" i="2"/>
  <c r="B121" i="2"/>
  <c r="C121" i="2" s="1"/>
  <c r="F120" i="2"/>
  <c r="B120" i="2"/>
  <c r="C120" i="2" s="1"/>
  <c r="F119" i="2"/>
  <c r="B119" i="2"/>
  <c r="C119" i="2" s="1"/>
  <c r="F118" i="2"/>
  <c r="B118" i="2"/>
  <c r="C118" i="2" s="1"/>
  <c r="F117" i="2"/>
  <c r="B117" i="2"/>
  <c r="C117" i="2" s="1"/>
  <c r="F116" i="2"/>
  <c r="B116" i="2"/>
  <c r="C116" i="2" s="1"/>
  <c r="F115" i="2"/>
  <c r="B115" i="2"/>
  <c r="C115" i="2" s="1"/>
  <c r="B114" i="2"/>
  <c r="F112" i="2"/>
  <c r="B112" i="2"/>
  <c r="C112" i="2" s="1"/>
  <c r="F111" i="2"/>
  <c r="B111" i="2"/>
  <c r="C111" i="2" s="1"/>
  <c r="F110" i="2"/>
  <c r="B110" i="2"/>
  <c r="C110" i="2" s="1"/>
  <c r="F109" i="2"/>
  <c r="B109" i="2"/>
  <c r="C109" i="2" s="1"/>
  <c r="F108" i="2"/>
  <c r="B108" i="2"/>
  <c r="C108" i="2" s="1"/>
  <c r="F107" i="2"/>
  <c r="B107" i="2"/>
  <c r="C107" i="2" s="1"/>
  <c r="F106" i="2"/>
  <c r="B106" i="2"/>
  <c r="C106" i="2" s="1"/>
  <c r="B105" i="2"/>
  <c r="F103" i="2"/>
  <c r="B103" i="2"/>
  <c r="C103" i="2" s="1"/>
  <c r="F102" i="2"/>
  <c r="B102" i="2"/>
  <c r="C102" i="2" s="1"/>
  <c r="F101" i="2"/>
  <c r="B101" i="2"/>
  <c r="C101" i="2" s="1"/>
  <c r="F100" i="2"/>
  <c r="B100" i="2"/>
  <c r="C100" i="2" s="1"/>
  <c r="F99" i="2"/>
  <c r="B99" i="2"/>
  <c r="C99" i="2" s="1"/>
  <c r="F98" i="2"/>
  <c r="B98" i="2"/>
  <c r="C98" i="2" s="1"/>
  <c r="B97" i="2"/>
  <c r="F95" i="2"/>
  <c r="B95" i="2"/>
  <c r="C95" i="2" s="1"/>
  <c r="F94" i="2"/>
  <c r="B94" i="2"/>
  <c r="C94" i="2" s="1"/>
  <c r="F93" i="2"/>
  <c r="B93" i="2"/>
  <c r="C93" i="2" s="1"/>
  <c r="F92" i="2"/>
  <c r="B92" i="2"/>
  <c r="C92" i="2" s="1"/>
  <c r="F91" i="2"/>
  <c r="B91" i="2"/>
  <c r="C91" i="2" s="1"/>
  <c r="B90" i="2"/>
  <c r="F88" i="2"/>
  <c r="B88" i="2"/>
  <c r="C88" i="2" s="1"/>
  <c r="F87" i="2"/>
  <c r="B87" i="2"/>
  <c r="C87" i="2" s="1"/>
  <c r="F86" i="2"/>
  <c r="B86" i="2"/>
  <c r="C86" i="2" s="1"/>
  <c r="F85" i="2"/>
  <c r="B85" i="2"/>
  <c r="C85" i="2" s="1"/>
  <c r="F84" i="2"/>
  <c r="B84" i="2"/>
  <c r="C84" i="2" s="1"/>
  <c r="F83" i="2"/>
  <c r="B83" i="2"/>
  <c r="C83" i="2" s="1"/>
  <c r="F82" i="2"/>
  <c r="B82" i="2"/>
  <c r="C82" i="2" s="1"/>
  <c r="F81" i="2"/>
  <c r="B81" i="2"/>
  <c r="C81" i="2" s="1"/>
  <c r="B80" i="2"/>
  <c r="F78" i="2"/>
  <c r="B78" i="2"/>
  <c r="C78" i="2" s="1"/>
  <c r="F77" i="2"/>
  <c r="B77" i="2"/>
  <c r="C77" i="2" s="1"/>
  <c r="F76" i="2"/>
  <c r="B76" i="2"/>
  <c r="C76" i="2" s="1"/>
  <c r="F75" i="2"/>
  <c r="B75" i="2"/>
  <c r="C75" i="2" s="1"/>
  <c r="F74" i="2"/>
  <c r="B74" i="2"/>
  <c r="C74" i="2" s="1"/>
  <c r="F73" i="2"/>
  <c r="B73" i="2"/>
  <c r="C73" i="2" s="1"/>
  <c r="F72" i="2"/>
  <c r="B72" i="2"/>
  <c r="C72" i="2" s="1"/>
  <c r="F71" i="2"/>
  <c r="B71" i="2"/>
  <c r="C71" i="2" s="1"/>
  <c r="F70" i="2"/>
  <c r="B70" i="2"/>
  <c r="C70" i="2" s="1"/>
  <c r="F69" i="2"/>
  <c r="B69" i="2"/>
  <c r="C69" i="2" s="1"/>
  <c r="B68" i="2"/>
  <c r="F66" i="2"/>
  <c r="B66" i="2"/>
  <c r="C66" i="2" s="1"/>
  <c r="F65" i="2"/>
  <c r="B65" i="2"/>
  <c r="C65" i="2" s="1"/>
  <c r="F64" i="2"/>
  <c r="B64" i="2"/>
  <c r="C64" i="2" s="1"/>
  <c r="F63" i="2"/>
  <c r="B63" i="2"/>
  <c r="C63" i="2" s="1"/>
  <c r="F62" i="2"/>
  <c r="B62" i="2"/>
  <c r="C62" i="2" s="1"/>
  <c r="F61" i="2"/>
  <c r="B61" i="2"/>
  <c r="C61" i="2" s="1"/>
  <c r="F60" i="2"/>
  <c r="B60" i="2"/>
  <c r="C60" i="2" s="1"/>
  <c r="F59" i="2"/>
  <c r="B59" i="2"/>
  <c r="C59" i="2" s="1"/>
  <c r="F58" i="2"/>
  <c r="B58" i="2"/>
  <c r="C58" i="2" s="1"/>
  <c r="F56" i="2"/>
  <c r="B56" i="2"/>
  <c r="C56" i="2" s="1"/>
  <c r="F55" i="2"/>
  <c r="B55" i="2"/>
  <c r="C55" i="2" s="1"/>
  <c r="F54" i="2"/>
  <c r="B54" i="2"/>
  <c r="C54" i="2" s="1"/>
  <c r="F52" i="2"/>
  <c r="B52" i="2"/>
  <c r="C52" i="2" s="1"/>
  <c r="F51" i="2"/>
  <c r="B51" i="2"/>
  <c r="C51" i="2" s="1"/>
  <c r="F50" i="2"/>
  <c r="B50" i="2"/>
  <c r="C50" i="2" s="1"/>
  <c r="B48" i="2"/>
  <c r="B47" i="2"/>
  <c r="C16" i="1" s="1"/>
  <c r="F45" i="2"/>
  <c r="B45" i="2"/>
  <c r="C45" i="2" s="1"/>
  <c r="F44" i="2"/>
  <c r="B44" i="2"/>
  <c r="C44" i="2" s="1"/>
  <c r="F43" i="2"/>
  <c r="B43" i="2"/>
  <c r="C43" i="2" s="1"/>
  <c r="B42" i="2"/>
  <c r="F40" i="2"/>
  <c r="B40" i="2"/>
  <c r="C40" i="2" s="1"/>
  <c r="F39" i="2"/>
  <c r="B39" i="2"/>
  <c r="C39" i="2" s="1"/>
  <c r="F38" i="2"/>
  <c r="B38" i="2"/>
  <c r="C38" i="2" s="1"/>
  <c r="F37" i="2"/>
  <c r="B37" i="2"/>
  <c r="C37" i="2" s="1"/>
  <c r="B36" i="2"/>
  <c r="F34" i="2"/>
  <c r="B34" i="2"/>
  <c r="C34" i="2" s="1"/>
  <c r="B33" i="2"/>
  <c r="B32" i="2"/>
  <c r="C15" i="1" s="1"/>
  <c r="F30" i="2"/>
  <c r="B30" i="2"/>
  <c r="C30" i="2" s="1"/>
  <c r="F29" i="2"/>
  <c r="B29" i="2"/>
  <c r="C29" i="2" s="1"/>
  <c r="F28" i="2"/>
  <c r="B28" i="2"/>
  <c r="C28" i="2" s="1"/>
  <c r="F27" i="2"/>
  <c r="B27" i="2"/>
  <c r="C27" i="2" s="1"/>
  <c r="B26" i="2"/>
  <c r="F24" i="2"/>
  <c r="B24" i="2"/>
  <c r="C24" i="2" s="1"/>
  <c r="F23" i="2"/>
  <c r="B23" i="2"/>
  <c r="C23" i="2" s="1"/>
  <c r="B22" i="2"/>
  <c r="C22" i="2" s="1"/>
  <c r="B21" i="2"/>
  <c r="B20" i="2"/>
  <c r="C14" i="1" s="1"/>
  <c r="F18" i="2"/>
  <c r="B18" i="2"/>
  <c r="C18" i="2" s="1"/>
  <c r="F17" i="2"/>
  <c r="B17" i="2"/>
  <c r="C17" i="2" s="1"/>
  <c r="F16" i="2"/>
  <c r="B16" i="2"/>
  <c r="C16" i="2" s="1"/>
  <c r="F15" i="2"/>
  <c r="B15" i="2"/>
  <c r="C15" i="2" s="1"/>
  <c r="F14" i="2"/>
  <c r="B14" i="2"/>
  <c r="C14" i="2" s="1"/>
  <c r="F13" i="2"/>
  <c r="C13" i="2"/>
  <c r="B13" i="2"/>
  <c r="F12" i="2"/>
  <c r="B12" i="2"/>
  <c r="C12" i="2" s="1"/>
  <c r="F11" i="2"/>
  <c r="B11" i="2"/>
  <c r="C11" i="2" s="1"/>
  <c r="B10" i="2"/>
  <c r="F8" i="2"/>
  <c r="B8" i="2"/>
  <c r="C8" i="2" s="1"/>
  <c r="F7" i="2"/>
  <c r="B7" i="2"/>
  <c r="C7" i="2" s="1"/>
  <c r="B6" i="2"/>
  <c r="B5" i="2"/>
  <c r="C13" i="1" s="1"/>
  <c r="C96" i="6"/>
  <c r="D11" i="5" l="1"/>
  <c r="D6" i="5"/>
  <c r="D9" i="5"/>
  <c r="J16" i="8"/>
  <c r="H17" i="8" s="1"/>
  <c r="E26" i="8"/>
  <c r="B26" i="8" s="1"/>
  <c r="F5" i="2"/>
  <c r="D13" i="1" s="1"/>
  <c r="G107" i="3"/>
  <c r="G50" i="3"/>
  <c r="F32" i="2"/>
  <c r="D15" i="1" s="1"/>
  <c r="F48" i="2"/>
  <c r="D16" i="1" s="1"/>
  <c r="F134" i="2"/>
  <c r="D17" i="1" s="1"/>
  <c r="F52" i="4"/>
  <c r="H3" i="3" s="1"/>
  <c r="G22" i="3"/>
  <c r="G26" i="3"/>
  <c r="G30" i="3"/>
  <c r="G34" i="3"/>
  <c r="G38" i="3"/>
  <c r="G42" i="3"/>
  <c r="G46" i="3"/>
  <c r="G65" i="3"/>
  <c r="G69" i="3"/>
  <c r="G73" i="3"/>
  <c r="G77" i="3"/>
  <c r="G81" i="3"/>
  <c r="G85" i="3"/>
  <c r="G89" i="3"/>
  <c r="G15" i="3"/>
  <c r="G23" i="3"/>
  <c r="G27" i="3"/>
  <c r="G31" i="3"/>
  <c r="G35" i="3"/>
  <c r="G39" i="3"/>
  <c r="G43" i="3"/>
  <c r="G47" i="3"/>
  <c r="G66" i="3"/>
  <c r="G70" i="3"/>
  <c r="G74" i="3"/>
  <c r="G78" i="3"/>
  <c r="G82" i="3"/>
  <c r="G86" i="3"/>
  <c r="G90" i="3"/>
  <c r="G8" i="3"/>
  <c r="G12" i="3"/>
  <c r="G16" i="3"/>
  <c r="G51" i="3"/>
  <c r="G55" i="3"/>
  <c r="G59" i="3"/>
  <c r="G97" i="3"/>
  <c r="G101" i="3"/>
  <c r="G105" i="3"/>
  <c r="G109" i="3"/>
  <c r="G11" i="3"/>
  <c r="G54" i="3"/>
  <c r="G108" i="3"/>
  <c r="G20" i="3"/>
  <c r="G24" i="3"/>
  <c r="G28" i="3"/>
  <c r="G32" i="3"/>
  <c r="G36" i="3"/>
  <c r="G40" i="3"/>
  <c r="G44" i="3"/>
  <c r="G48" i="3"/>
  <c r="G63" i="3"/>
  <c r="G67" i="3"/>
  <c r="G71" i="3"/>
  <c r="G75" i="3"/>
  <c r="G79" i="3"/>
  <c r="G83" i="3"/>
  <c r="G87" i="3"/>
  <c r="G91" i="3"/>
  <c r="G94" i="3"/>
  <c r="G19" i="3"/>
  <c r="G58" i="3"/>
  <c r="G93" i="3"/>
  <c r="G96" i="3"/>
  <c r="G104" i="3"/>
  <c r="G9" i="3"/>
  <c r="G13" i="3"/>
  <c r="G17" i="3"/>
  <c r="G52" i="3"/>
  <c r="G56" i="3"/>
  <c r="G60" i="3"/>
  <c r="G98" i="3"/>
  <c r="G102" i="3"/>
  <c r="G106" i="3"/>
  <c r="G110" i="3"/>
  <c r="G7" i="3"/>
  <c r="G62" i="3"/>
  <c r="G100" i="3"/>
  <c r="G21" i="3"/>
  <c r="G25" i="3"/>
  <c r="G29" i="3"/>
  <c r="G33" i="3"/>
  <c r="G37" i="3"/>
  <c r="G41" i="3"/>
  <c r="G45" i="3"/>
  <c r="G64" i="3"/>
  <c r="G68" i="3"/>
  <c r="G72" i="3"/>
  <c r="G76" i="3"/>
  <c r="G80" i="3"/>
  <c r="G84" i="3"/>
  <c r="G88" i="3"/>
  <c r="G92" i="3"/>
  <c r="G6" i="3"/>
  <c r="G10" i="3"/>
  <c r="G14" i="3"/>
  <c r="G18" i="3"/>
  <c r="G49" i="3"/>
  <c r="G53" i="3"/>
  <c r="G57" i="3"/>
  <c r="G61" i="3"/>
  <c r="G95" i="3"/>
  <c r="G99" i="3"/>
  <c r="G103" i="3"/>
  <c r="H92" i="3" l="1"/>
  <c r="E40" i="2" s="1"/>
  <c r="H88" i="3"/>
  <c r="E34" i="2" s="1"/>
  <c r="H84" i="3"/>
  <c r="E27" i="2" s="1"/>
  <c r="H80" i="3"/>
  <c r="E18" i="2" s="1"/>
  <c r="H76" i="3"/>
  <c r="E14" i="2" s="1"/>
  <c r="H72" i="3"/>
  <c r="E8" i="2" s="1"/>
  <c r="H68" i="3"/>
  <c r="E130" i="2" s="1"/>
  <c r="H64" i="3"/>
  <c r="E124" i="2" s="1"/>
  <c r="H45" i="3"/>
  <c r="E99" i="2" s="1"/>
  <c r="H41" i="3"/>
  <c r="E93" i="2" s="1"/>
  <c r="H37" i="3"/>
  <c r="E87" i="2" s="1"/>
  <c r="H33" i="3"/>
  <c r="E83" i="2" s="1"/>
  <c r="H29" i="3"/>
  <c r="E77" i="2" s="1"/>
  <c r="H25" i="3"/>
  <c r="E73" i="2" s="1"/>
  <c r="H21" i="3"/>
  <c r="E69" i="2" s="1"/>
  <c r="H110" i="3"/>
  <c r="H106" i="3"/>
  <c r="E156" i="2" s="1"/>
  <c r="H102" i="3"/>
  <c r="E146" i="2" s="1"/>
  <c r="H98" i="3"/>
  <c r="E138" i="2" s="1"/>
  <c r="H60" i="3"/>
  <c r="E118" i="2" s="1"/>
  <c r="H56" i="3"/>
  <c r="E112" i="2" s="1"/>
  <c r="H52" i="3"/>
  <c r="E108" i="2" s="1"/>
  <c r="H17" i="3"/>
  <c r="E63" i="2" s="1"/>
  <c r="H13" i="3"/>
  <c r="E59" i="2" s="1"/>
  <c r="H9" i="3"/>
  <c r="E54" i="2" s="1"/>
  <c r="H81" i="3"/>
  <c r="E22" i="2" s="1"/>
  <c r="F22" i="2" s="1"/>
  <c r="F20" i="2" s="1"/>
  <c r="D14" i="1" s="1"/>
  <c r="H42" i="3"/>
  <c r="E94" i="2" s="1"/>
  <c r="H26" i="3"/>
  <c r="E74" i="2" s="1"/>
  <c r="H94" i="3"/>
  <c r="E44" i="2" s="1"/>
  <c r="H91" i="3"/>
  <c r="E39" i="2" s="1"/>
  <c r="H87" i="3"/>
  <c r="E30" i="2" s="1"/>
  <c r="H83" i="3"/>
  <c r="E24" i="2" s="1"/>
  <c r="H79" i="3"/>
  <c r="E17" i="2" s="1"/>
  <c r="H75" i="3"/>
  <c r="E13" i="2" s="1"/>
  <c r="H71" i="3"/>
  <c r="E7" i="2" s="1"/>
  <c r="H67" i="3"/>
  <c r="E129" i="2" s="1"/>
  <c r="H63" i="3"/>
  <c r="E121" i="2" s="1"/>
  <c r="H48" i="3"/>
  <c r="E102" i="2" s="1"/>
  <c r="H44" i="3"/>
  <c r="E98" i="2" s="1"/>
  <c r="H40" i="3"/>
  <c r="E92" i="2" s="1"/>
  <c r="H36" i="3"/>
  <c r="E86" i="2" s="1"/>
  <c r="H32" i="3"/>
  <c r="E82" i="2" s="1"/>
  <c r="H28" i="3"/>
  <c r="E76" i="2" s="1"/>
  <c r="H24" i="3"/>
  <c r="E72" i="2" s="1"/>
  <c r="H20" i="3"/>
  <c r="E66" i="2" s="1"/>
  <c r="H85" i="3"/>
  <c r="E28" i="2" s="1"/>
  <c r="H73" i="3"/>
  <c r="E11" i="2" s="1"/>
  <c r="H46" i="3"/>
  <c r="E100" i="2" s="1"/>
  <c r="H34" i="3"/>
  <c r="E84" i="2" s="1"/>
  <c r="H109" i="3"/>
  <c r="H105" i="3"/>
  <c r="E153" i="2" s="1"/>
  <c r="H101" i="3"/>
  <c r="E143" i="2" s="1"/>
  <c r="H97" i="3"/>
  <c r="E137" i="2" s="1"/>
  <c r="H59" i="3"/>
  <c r="E117" i="2" s="1"/>
  <c r="H55" i="3"/>
  <c r="E111" i="2" s="1"/>
  <c r="H51" i="3"/>
  <c r="E107" i="2" s="1"/>
  <c r="H16" i="3"/>
  <c r="E62" i="2" s="1"/>
  <c r="H12" i="3"/>
  <c r="E58" i="2" s="1"/>
  <c r="H8" i="3"/>
  <c r="E52" i="2" s="1"/>
  <c r="H89" i="3"/>
  <c r="E37" i="2" s="1"/>
  <c r="H77" i="3"/>
  <c r="E15" i="2" s="1"/>
  <c r="H65" i="3"/>
  <c r="E125" i="2" s="1"/>
  <c r="H38" i="3"/>
  <c r="E88" i="2" s="1"/>
  <c r="H30" i="3"/>
  <c r="E78" i="2" s="1"/>
  <c r="H22" i="3"/>
  <c r="E70" i="2" s="1"/>
  <c r="H90" i="3"/>
  <c r="E38" i="2" s="1"/>
  <c r="H86" i="3"/>
  <c r="E29" i="2" s="1"/>
  <c r="H82" i="3"/>
  <c r="E23" i="2" s="1"/>
  <c r="H78" i="3"/>
  <c r="E16" i="2" s="1"/>
  <c r="H74" i="3"/>
  <c r="E12" i="2" s="1"/>
  <c r="H70" i="3"/>
  <c r="E132" i="2" s="1"/>
  <c r="H66" i="3"/>
  <c r="E126" i="2" s="1"/>
  <c r="H47" i="3"/>
  <c r="E101" i="2" s="1"/>
  <c r="H43" i="3"/>
  <c r="E95" i="2" s="1"/>
  <c r="H39" i="3"/>
  <c r="E91" i="2" s="1"/>
  <c r="H35" i="3"/>
  <c r="E85" i="2" s="1"/>
  <c r="H31" i="3"/>
  <c r="E81" i="2" s="1"/>
  <c r="H27" i="3"/>
  <c r="E75" i="2" s="1"/>
  <c r="H23" i="3"/>
  <c r="E71" i="2" s="1"/>
  <c r="H108" i="3"/>
  <c r="H104" i="3"/>
  <c r="E150" i="2" s="1"/>
  <c r="H100" i="3"/>
  <c r="E140" i="2" s="1"/>
  <c r="H96" i="3"/>
  <c r="E136" i="2" s="1"/>
  <c r="H93" i="3"/>
  <c r="E43" i="2" s="1"/>
  <c r="H62" i="3"/>
  <c r="E120" i="2" s="1"/>
  <c r="H58" i="3"/>
  <c r="E116" i="2" s="1"/>
  <c r="H54" i="3"/>
  <c r="E110" i="2" s="1"/>
  <c r="H50" i="3"/>
  <c r="E106" i="2" s="1"/>
  <c r="H19" i="3"/>
  <c r="E65" i="2" s="1"/>
  <c r="H15" i="3"/>
  <c r="E61" i="2" s="1"/>
  <c r="H11" i="3"/>
  <c r="E56" i="2" s="1"/>
  <c r="H7" i="3"/>
  <c r="E51" i="2" s="1"/>
  <c r="H69" i="3"/>
  <c r="E131" i="2" s="1"/>
  <c r="H107" i="3"/>
  <c r="H103" i="3"/>
  <c r="E149" i="2" s="1"/>
  <c r="H99" i="3"/>
  <c r="E139" i="2" s="1"/>
  <c r="H95" i="3"/>
  <c r="E45" i="2" s="1"/>
  <c r="H61" i="3"/>
  <c r="E119" i="2" s="1"/>
  <c r="H57" i="3"/>
  <c r="E115" i="2" s="1"/>
  <c r="H53" i="3"/>
  <c r="E109" i="2" s="1"/>
  <c r="H49" i="3"/>
  <c r="E103" i="2" s="1"/>
  <c r="H18" i="3"/>
  <c r="E64" i="2" s="1"/>
  <c r="H14" i="3"/>
  <c r="E60" i="2" s="1"/>
  <c r="H10" i="3"/>
  <c r="E55" i="2" s="1"/>
  <c r="H6" i="3"/>
  <c r="E50" i="2" s="1"/>
  <c r="E178" i="2" l="1"/>
  <c r="F178" i="2" s="1"/>
  <c r="F158" i="2" s="1"/>
  <c r="D18" i="1" s="1"/>
  <c r="D20" i="1" s="1"/>
  <c r="D22" i="1" l="1"/>
  <c r="D21" i="1"/>
  <c r="D24" i="1" s="1"/>
  <c r="D25" i="1" s="1"/>
  <c r="D26" i="1" s="1"/>
</calcChain>
</file>

<file path=xl/sharedStrings.xml><?xml version="1.0" encoding="utf-8"?>
<sst xmlns="http://schemas.openxmlformats.org/spreadsheetml/2006/main" count="902" uniqueCount="476">
  <si>
    <t>VAT (15%)</t>
  </si>
  <si>
    <t>Item</t>
  </si>
  <si>
    <t>Section</t>
  </si>
  <si>
    <t>Subsection</t>
  </si>
  <si>
    <t>Work_Item</t>
  </si>
  <si>
    <t>Unit</t>
  </si>
  <si>
    <t>BASE</t>
  </si>
  <si>
    <t>FY3</t>
  </si>
  <si>
    <t>m²</t>
  </si>
  <si>
    <t>m³</t>
  </si>
  <si>
    <t>Sum</t>
  </si>
  <si>
    <t>no.</t>
  </si>
  <si>
    <t>m</t>
  </si>
  <si>
    <t>t</t>
  </si>
  <si>
    <t>m³.km</t>
  </si>
  <si>
    <t>Gabion  Retaining wall (1m wide) including removal of reinforcing strips (10m long), 4 strips per square meter</t>
  </si>
  <si>
    <t>Weighbridge ramp</t>
  </si>
  <si>
    <t>Weighbridge deck</t>
  </si>
  <si>
    <t>Borehole seal - 200mm diameter borehole - cap</t>
  </si>
  <si>
    <t>Borehole seal - 200mm diameter borehole - backfill shaft</t>
  </si>
  <si>
    <t>Borehole seal - 250mm diameter borehole - cap</t>
  </si>
  <si>
    <t>Borehole seal - 250mm diameter borehole - backfill shaft</t>
  </si>
  <si>
    <t>Break up and remove asphalt surface (30 mm thickness)</t>
  </si>
  <si>
    <t>Rip gravel roads and pavement layers</t>
  </si>
  <si>
    <t>Remove and discard concrete kerbing</t>
  </si>
  <si>
    <t>Remove and discard guardrails</t>
  </si>
  <si>
    <t>ha</t>
  </si>
  <si>
    <t>Remove precast concrete pipes (&lt;1m dia.) and culverts (&lt;1 m x 1 m)</t>
  </si>
  <si>
    <t>Demolish concrete from conrete-lined drains</t>
  </si>
  <si>
    <t>Remove and discard grouted stone pitching</t>
  </si>
  <si>
    <t>Excavate, expose and remove concrete pipes (&lt;1m dia.), backfill trenches</t>
  </si>
  <si>
    <t>Lighting - Street lights / parking area lights</t>
  </si>
  <si>
    <t>Lighting - High Mast Lights complete</t>
  </si>
  <si>
    <t>Electrical Main Feed - Sub stations</t>
  </si>
  <si>
    <t>Electrical Main Feed - Mini Subs</t>
  </si>
  <si>
    <t>Electrical Main Feed - 11kv Ring</t>
  </si>
  <si>
    <t>Electrical Main Feed - Timber poles</t>
  </si>
  <si>
    <t xml:space="preserve">Remove steel headgear </t>
  </si>
  <si>
    <t>Conveyor Transfer points (no.)</t>
  </si>
  <si>
    <t>Small Pump</t>
  </si>
  <si>
    <t>Medium Pump</t>
  </si>
  <si>
    <t>Hoists - not exceeding 10 tons</t>
  </si>
  <si>
    <t>Remove cage, skip and counterweights</t>
  </si>
  <si>
    <t>Remove alien trees: girth &lt; 1 m</t>
  </si>
  <si>
    <t>Remove alien trees: girth &gt; 1 m; &lt; 2 m</t>
  </si>
  <si>
    <t>Remove alien trees: girth &gt; 2 m</t>
  </si>
  <si>
    <t>Remove alien vegetation</t>
  </si>
  <si>
    <t>Supply, deliver and spread topsoil (assume commercial sources)</t>
  </si>
  <si>
    <t>Supply and deliver agricultural lime for neutralisation of areas</t>
  </si>
  <si>
    <t>Spread agricultural lime to areas</t>
  </si>
  <si>
    <t>2022</t>
  </si>
  <si>
    <t>DESCRIPTION</t>
  </si>
  <si>
    <t>AMOUNT</t>
  </si>
  <si>
    <t>QUANTITY</t>
  </si>
  <si>
    <t>Overhaul of earthworks material in excess of free-haul 1 km</t>
  </si>
  <si>
    <t>Load and haul within 1km freehaul, including offloading and spreading (where applicable)</t>
  </si>
  <si>
    <t>Construct earth berm (compacted) in engineered layers using on-site suitable materials obtained within 1km freehaul distance</t>
  </si>
  <si>
    <t>Excavation in hard rock material (materials that cannot be efficiently removed without use of pneumatic tools or without wedging and splitting before removal)</t>
  </si>
  <si>
    <t>Supply installation of erosion protection lining on excavated canal profile from commercial sources (including granular filter, geotextile and rip rap lining (average stone size between 175mm-350mm))</t>
  </si>
  <si>
    <t>Supply installation of erosion protection lining on excavated canal profile from commercial sources (including granular filter, geotextile and rip rap lining (average stone size between 350mm-500mm))</t>
  </si>
  <si>
    <t>Excavation of canals (in all materials excluding hard rock) up to 3m depth and place material next to canal excavation to form a berm</t>
  </si>
  <si>
    <t>Excavation of canals (in hard rock) up to 3m depth and dispose of material (or use as erosion protection if suitable) within 1km freehaul distance</t>
  </si>
  <si>
    <t>Supply and install culverts (assuming 2.1 x 2.1 precast portal culverts, inclusive of excavation, backfill, joining materials, cover (assuming 500mm), re-instatement of road (if applicable) - excluding temporary bypass))</t>
  </si>
  <si>
    <t>Supply and install pre-cast erosion protection segmented concrete paving blocks in canal profile (inclusive of geotextile filter material)</t>
  </si>
  <si>
    <t>Import topsoil from a stockpile within 1km, offload and spreading</t>
  </si>
  <si>
    <t>Overhaul of topsoil material in excess of free-haul 1 km</t>
  </si>
  <si>
    <t xml:space="preserve">Vegetate areas - local grass seed mix </t>
  </si>
  <si>
    <t xml:space="preserve">Remove and dispose of HDPE liner to a collection point within 1km (refer removal of rubble item for removal of material off site) </t>
  </si>
  <si>
    <t>Remove precast concrete portal culverts (&lt;2.1 m x 2.1 m)</t>
  </si>
  <si>
    <t>Dozing in all materials (excluding hard rock) for final reshaping - up to 100m dozing distance (flat slopes to downhill)</t>
  </si>
  <si>
    <t>Dozing in all materials (excluding hard rock) for final reshaping - up to 150m dozing distance (flat slopes to downhill)</t>
  </si>
  <si>
    <t>60 - SPECIALIST STUDIES AND AUTHORISATIONS</t>
  </si>
  <si>
    <t>%</t>
  </si>
  <si>
    <t>ITEMS</t>
  </si>
  <si>
    <t>SUB-TOTAL (EXCL VAT)</t>
  </si>
  <si>
    <t>SUB-TOTAL (EXCL VAT, P&amp;G, CONTINGENCY)</t>
  </si>
  <si>
    <t>Overhaul of contaminated material in excess of free-haul 1 km (including disposing off site at authorised commercial facility/landfill)</t>
  </si>
  <si>
    <t>Closure application &amp; supporting documentation</t>
  </si>
  <si>
    <t>Final landform design (approved by registered proffesional)</t>
  </si>
  <si>
    <t>Rehabilitation performance audit/monitoring</t>
  </si>
  <si>
    <t>Single-brick walls (area = front/face area of wall)</t>
  </si>
  <si>
    <t>Double-brick walls (area = front/face area of wall)</t>
  </si>
  <si>
    <t>Double storey buildings: brick walls and metal sheet roofing on timber trusses (area = footprint area of structure), excluding concrete footings and floors</t>
  </si>
  <si>
    <t>Triple storey buildings: brick walls metal sheet roofing on timber trusses (area = footprint area of structure), excluding concrete footings and floors</t>
  </si>
  <si>
    <t>Concrete silo - up to 10 m high, up to 50 m² floor area (area = structure footprint area)</t>
  </si>
  <si>
    <t>Various steel structures, light steel at 35kg/m2 (area  = structure footprint area x no of stories)</t>
  </si>
  <si>
    <t>Various steel structures, medium steel at 70kg/m2 (area  = structure footprint area x no of stories)</t>
  </si>
  <si>
    <t>Various steel structures, heavy steel at 150kg/m2 (area  = structure footprint area x no of stories)</t>
  </si>
  <si>
    <t>Concrete-brick walls (area = front/face area of wall)</t>
  </si>
  <si>
    <t>Excavate, expose and remove gabion/reno mattresses, backfill excavations</t>
  </si>
  <si>
    <t>Remove and dispose of loose gravel / rubble (into authorised facility on site within 1km freehaul distance - if authorised) - this item must include all infrastructure demolished volumes</t>
  </si>
  <si>
    <t>Overhaul of material (either where central location is further than 1km freehaul or off-site to authorised facility) above freehaul distance of 1 km</t>
  </si>
  <si>
    <t>Removal of contaminated  in-situ material (assumed 1m thick) (for example areas where spillages may have occurred, etc.) and dispose of into authorised facility on site within 1km freehaul</t>
  </si>
  <si>
    <t>Rip compacted areas</t>
  </si>
  <si>
    <t>Highwall blasting and shaping (Drill, blast, &amp; Dozing 50% of blasted materials up to 50m) - drill patterns widely spread on to depths reaching design level over larger areas to enable cast blasting of materials into void</t>
  </si>
  <si>
    <t xml:space="preserve">General area blasting and shaping (Drill, blast, &amp; Dozing 100% of blasted materials up to 50m) - drill patterns widely spread </t>
  </si>
  <si>
    <t>Restricted blasting within canal profile and shaping (Drill, blast, &amp; load&amp;haul blasted materials up to 1km)</t>
  </si>
  <si>
    <t>Remove alien trees (densely populated forest)</t>
  </si>
  <si>
    <t>50.1 - Remove vegetation</t>
  </si>
  <si>
    <t>50.2 - Repair erosion gullies</t>
  </si>
  <si>
    <t>50.3 - Rip hard/consolidated/compacted areas</t>
  </si>
  <si>
    <t>50.5 - De-silting culverts/drains</t>
  </si>
  <si>
    <t>50.6 - Cutting/mowing vegetation (twice per year)</t>
  </si>
  <si>
    <r>
      <t>m</t>
    </r>
    <r>
      <rPr>
        <vertAlign val="superscript"/>
        <sz val="10"/>
        <color theme="1"/>
        <rFont val="Arial"/>
        <family val="2"/>
      </rPr>
      <t>3</t>
    </r>
    <r>
      <rPr>
        <sz val="10"/>
        <color theme="1"/>
        <rFont val="Arial"/>
        <family val="2"/>
      </rPr>
      <t>.yr</t>
    </r>
  </si>
  <si>
    <t>m².yr</t>
  </si>
  <si>
    <t>Supply and fertilize areas</t>
  </si>
  <si>
    <t>Rip compacted areas (area to be multiplied per number of maintenance years - if no compacted areas exists, assume 2% of total topsoiled areas will experience compaction, once per year)</t>
  </si>
  <si>
    <t>Supply and re-fertilize areas (area to be multiplied per number of maintenance years - assume 20% of total vegetated areas will require to be re-fertilized, once per year)</t>
  </si>
  <si>
    <t>Supply and re-seed areas (area to be multiplied per number of maintenance years - assume 20% of total vegetated areas will require to be re-seeded, once per year)</t>
  </si>
  <si>
    <t>Import topsoil from a stockpile within 1km, offload and spreading into gullies (volume to be multiplied per number of maintenance years - if no gullies exists, assume 5% of total topsoilled areas will experience gullies, one per year)</t>
  </si>
  <si>
    <t>Cutting and mowing of vegetation (area to be multiplied per number of maintenance years - assume 100% of total vegetated area to be mowed/grassed, twice per year)</t>
  </si>
  <si>
    <t>Borehole seal - 500mm diameter borehole - cap</t>
  </si>
  <si>
    <t>Borehole seal - 500mm diameter borehole - backfill shaft</t>
  </si>
  <si>
    <t>Borehole seal - 100mm diameter borehole - cap</t>
  </si>
  <si>
    <t>Borehole seal - 100mm diameter borehole - backfill shaft</t>
  </si>
  <si>
    <t>Buildings</t>
  </si>
  <si>
    <t>Concrete structures</t>
  </si>
  <si>
    <t>Steel and other structures</t>
  </si>
  <si>
    <t>Removal of silt at culvert openings/drains causing (volume to be multiplied per number of maintenance years, assume 10% of all culvert openings and 5% of all drains (measure capacity) will require removal of blockage, once per year)</t>
  </si>
  <si>
    <t>50.4 - Re-fertilize and re-seed areas</t>
  </si>
  <si>
    <t>Mpumalanga</t>
  </si>
  <si>
    <t>Gauteng</t>
  </si>
  <si>
    <t>Eastern Cape</t>
  </si>
  <si>
    <t>Northern Cape</t>
  </si>
  <si>
    <t>North West</t>
  </si>
  <si>
    <t>Limpopo</t>
  </si>
  <si>
    <t>Free State</t>
  </si>
  <si>
    <t>Western Cape</t>
  </si>
  <si>
    <t>Province</t>
  </si>
  <si>
    <t>The contract price adjustment provisions (CPAP) indices are based on the following components as per SAFCEC:</t>
  </si>
  <si>
    <t>Labour – derived from CPI</t>
  </si>
  <si>
    <t>Fuel – Determined from Diesel index</t>
  </si>
  <si>
    <t>Plant – From Mining &amp; Construction Plant &amp; Equipment Index sourced from the Construction Materials Price Indices</t>
  </si>
  <si>
    <t>Material: 13 categories, sourced from Construction Materials Price indices</t>
  </si>
  <si>
    <t>X</t>
  </si>
  <si>
    <t>a</t>
  </si>
  <si>
    <t>b</t>
  </si>
  <si>
    <t>c</t>
  </si>
  <si>
    <t>d</t>
  </si>
  <si>
    <t>https://www.statssa.gov.za/?page_id=1859</t>
  </si>
  <si>
    <t>Labour – derived from CPI (obtain latest P0141 Publication from Statssa)</t>
  </si>
  <si>
    <t>Index per Province</t>
  </si>
  <si>
    <t>Kwa Zulu Natal</t>
  </si>
  <si>
    <t>Base Index (Dec 2021 = 100)</t>
  </si>
  <si>
    <t>Fuel Price (Diesel 500 ppm)</t>
  </si>
  <si>
    <t>Inland</t>
  </si>
  <si>
    <t>Coastal</t>
  </si>
  <si>
    <t>https://aa.co.za/fuel-pricing/</t>
  </si>
  <si>
    <t>Fuel – Determined from Diesel index (from the Automobile Association of South Africa (AA))</t>
  </si>
  <si>
    <t>Plant – From Mining &amp; Construction Plant &amp; Equipment Index (obtain latest P0151.1 Publication from Statssa)</t>
  </si>
  <si>
    <t>Table A</t>
  </si>
  <si>
    <t>Table 4: Mining and Construciton plant and equipment price indices</t>
  </si>
  <si>
    <t>Plant and equipment</t>
  </si>
  <si>
    <t>Calculated increase (site specific)</t>
  </si>
  <si>
    <t>Materials – From Mining &amp; Construction Plant &amp; Equipment Index (obtain latest P0151.1 Publication from Statssa)</t>
  </si>
  <si>
    <t>Table 6: Civil engineering material price indices</t>
  </si>
  <si>
    <t>Civil engineering material - total</t>
  </si>
  <si>
    <t>Rural Areas</t>
  </si>
  <si>
    <t>Urban areas</t>
  </si>
  <si>
    <t>Urban Areas</t>
  </si>
  <si>
    <t>Rural areas</t>
  </si>
  <si>
    <t>Total country</t>
  </si>
  <si>
    <t>Tel nr</t>
  </si>
  <si>
    <t>Fax nr</t>
  </si>
  <si>
    <t>email address</t>
  </si>
  <si>
    <t>Cell nr</t>
  </si>
  <si>
    <t>Urban/Rural</t>
  </si>
  <si>
    <t>Geographical location</t>
  </si>
  <si>
    <t>Year of assessment</t>
  </si>
  <si>
    <t>Month of assessment</t>
  </si>
  <si>
    <t>Urban</t>
  </si>
  <si>
    <t>Rural</t>
  </si>
  <si>
    <t>February</t>
  </si>
  <si>
    <t>March</t>
  </si>
  <si>
    <t>April</t>
  </si>
  <si>
    <t>May</t>
  </si>
  <si>
    <t>June</t>
  </si>
  <si>
    <t>July</t>
  </si>
  <si>
    <t>August</t>
  </si>
  <si>
    <t>September</t>
  </si>
  <si>
    <t>October</t>
  </si>
  <si>
    <t>November</t>
  </si>
  <si>
    <t>December</t>
  </si>
  <si>
    <t>INSTRUCTIONS TO COMPLETE:</t>
  </si>
  <si>
    <t>Step 2: Complete Geographical (province and Urban/Rural) by selecting from the dropdown list</t>
  </si>
  <si>
    <t>Step 3: Select year of assessment by selecting from the dropdown list</t>
  </si>
  <si>
    <t>Step 4: Select month of assessment by selecting from the dropdown list</t>
  </si>
  <si>
    <t>Index per Province:</t>
  </si>
  <si>
    <t>Fuel Price (Diesel 500 ppm):</t>
  </si>
  <si>
    <t>Step 5: Determine Labour increase - Download latest CPI publication P0141 from Statssa's website as indicated and populate the index value next to the province from Table A</t>
  </si>
  <si>
    <t>Labour ("a")</t>
  </si>
  <si>
    <t>Plant and equipment ("b")</t>
  </si>
  <si>
    <t>Materials ("c")</t>
  </si>
  <si>
    <t>Fuel ("d")</t>
  </si>
  <si>
    <t>Proportionate distribution of work:</t>
  </si>
  <si>
    <t>Step 9: Enter coefficient values representing the proportionate distribution of work between Labour, Plant &amp; Equipment, Materials and Fuel. If uncertain/unknown, use the values pre-populated in the table</t>
  </si>
  <si>
    <t>Step 6: Determine Plant increase - Download latest P0151.1 publication from Statssa's website as indicated and select the "Plant and equipment" index value from Table 4</t>
  </si>
  <si>
    <t>Step 7: Determine Materials increase- Download latest P0151.1 publication from Statssa's website as indicated and select the "Civil engineering material - total" index value from Table 6</t>
  </si>
  <si>
    <t>Step 8: Determine Fuel increase - Obtained from Diesel 500 fuel index (from the Automobile Association of South Africa (AA) website) - enter either Coastal/Inland values</t>
  </si>
  <si>
    <t>Enter Index value (for the applicable month and year):</t>
  </si>
  <si>
    <t>Enter coefficients (sum = 1.0) - if unknown use the following:</t>
  </si>
  <si>
    <t>CONTINGENCY (10%)</t>
  </si>
  <si>
    <t>TOTAL (INCL VAT)</t>
  </si>
  <si>
    <t>USER INPUT VALUES:</t>
  </si>
  <si>
    <t>SITE DATA:</t>
  </si>
  <si>
    <t>Step 1: Expand and collapse rows as follows:</t>
  </si>
  <si>
    <t>Region factor</t>
  </si>
  <si>
    <t>Escalation factor</t>
  </si>
  <si>
    <t>Year of assessment:</t>
  </si>
  <si>
    <t>Caclulcated index</t>
  </si>
  <si>
    <t>Escalation</t>
  </si>
  <si>
    <t>Labour</t>
  </si>
  <si>
    <t>Inland/Coastal</t>
  </si>
  <si>
    <t>Fuel</t>
  </si>
  <si>
    <t>Plant</t>
  </si>
  <si>
    <t>Materials</t>
  </si>
  <si>
    <t>ha.yr</t>
  </si>
  <si>
    <t>Crystal Clear Sand Mine (PTY) LTD</t>
  </si>
  <si>
    <t>017 223 4456</t>
  </si>
  <si>
    <t>017 223 4455</t>
  </si>
  <si>
    <t>crystal_clear@info.net</t>
  </si>
  <si>
    <t>088 556 4486</t>
  </si>
  <si>
    <t>Mr XA Nbomambi</t>
  </si>
  <si>
    <t>LP 31/4/3/1/1/2/1 (75) EM</t>
  </si>
  <si>
    <t>(Select from pulldown)</t>
  </si>
  <si>
    <t>Enter Fuel Price for either Inland/Coastal:</t>
  </si>
  <si>
    <t>EXAMPLE:</t>
  </si>
  <si>
    <t>Instructions: Complete yellow blocks</t>
  </si>
  <si>
    <t>Enter Index value next to the applicable province (for the applicable month and year of assessment)</t>
  </si>
  <si>
    <t>Escalation (indices): - used to calculate escalation</t>
  </si>
  <si>
    <t>See Table A of P0141 (Base Index (Dec 2021 = 100)):</t>
  </si>
  <si>
    <t>See Table 4 of P0151.1 (Base Index (Dec 2021 = 100)):</t>
  </si>
  <si>
    <t>See Table 6 of P0151.1 (Base Index (Dec 2021 = 100)):</t>
  </si>
  <si>
    <t>Determined from Diesel index (from the Automobile Association of South Africa (AA))</t>
  </si>
  <si>
    <t>Determined from Mining &amp; Construction Plant &amp; Equipment Index (obtain latest P0151.1 Publication from Statssa)</t>
  </si>
  <si>
    <t>Determined from CPI (obtain latest P0141 Publication from Statssa) :</t>
  </si>
  <si>
    <t>Labour Index: ("a")</t>
  </si>
  <si>
    <t>Plant Index: ("b")</t>
  </si>
  <si>
    <t>Materials Index: ("c")</t>
  </si>
  <si>
    <t>Fuel Index: ("d")</t>
  </si>
  <si>
    <t>Note that if the above steps are not followed, there will be errors in the costing sheet</t>
  </si>
  <si>
    <t>Step 2: Determine and enter quantities in each row (yellow blocks) where applicable, based on calculations from design and/or demolition plan</t>
  </si>
  <si>
    <t>1. Commodity                       </t>
  </si>
  <si>
    <t>2. Mining Method                </t>
  </si>
  <si>
    <t>3. Processing                         </t>
  </si>
  <si>
    <t xml:space="preserve">4. Hazardous elements        </t>
  </si>
  <si>
    <t xml:space="preserve">5. Tailings                               </t>
  </si>
  <si>
    <t xml:space="preserve">6. Groundwater                     </t>
  </si>
  <si>
    <t>Yes</t>
  </si>
  <si>
    <t>No</t>
  </si>
  <si>
    <t>Commodity List</t>
  </si>
  <si>
    <t>Single storey buildings: precast concrete/brick walls and metal sheet roofing on timber trusses (area = footprint area of structure), including concrete floors,  excluding concrete footings and floors</t>
  </si>
  <si>
    <t>Steel carport structure with shadenet/steel covering (area = structure footprint area)</t>
  </si>
  <si>
    <t>Precast walling complete</t>
  </si>
  <si>
    <t>Steel fence (mesh) complete</t>
  </si>
  <si>
    <t>Steel palisade fence complete</t>
  </si>
  <si>
    <t>Rolling security gate (steel)</t>
  </si>
  <si>
    <t>Concrete palisade fence complete</t>
  </si>
  <si>
    <t>Standard swing gate (steel frame, diamond mesh)</t>
  </si>
  <si>
    <t>Break up and remove concrete paving blocks</t>
  </si>
  <si>
    <t>20 - TOPSOIL AND VEGETATION</t>
  </si>
  <si>
    <t>30 - STORMWATER MANAGEMENT</t>
  </si>
  <si>
    <t>40 - DEMOLISH INFRASTRUCTURE</t>
  </si>
  <si>
    <t>40.1 - Demolish buildings and structures</t>
  </si>
  <si>
    <t>40.2 - Demolish fencing, walls and gates</t>
  </si>
  <si>
    <t>40.3 - Rehabilitate boreholes</t>
  </si>
  <si>
    <t>40.4 - Remove roads and parking</t>
  </si>
  <si>
    <t>40.5 - Demolish and remove storm water drainage structures</t>
  </si>
  <si>
    <t>40.6 - Remove, demolish and discard electrical items</t>
  </si>
  <si>
    <t>40.7 - Demolish and remove mechanical equipment</t>
  </si>
  <si>
    <t>40.8 - Demolish and remove piping</t>
  </si>
  <si>
    <t>40.9 - Moving materials to central location/off site</t>
  </si>
  <si>
    <t>Cables - Above surface</t>
  </si>
  <si>
    <t>Conveyors up to 1500mm wide (including removing belt, winders, steel supports and concrete plinths every 6m length)</t>
  </si>
  <si>
    <t>Pipe (steel/HDPE) &lt;300 mm dia. (above ground, including concrete plinths every 6m)</t>
  </si>
  <si>
    <t>Pipe (steel/HDPE) &lt;300 mm dia. (above ground, excluding concrete plinths)</t>
  </si>
  <si>
    <t>Excavate to expose buried pipes (&lt;300m dia.), less than 1m depth, backfill trenches (pipe removal to be measured above)</t>
  </si>
  <si>
    <t>10 - FINAL LANDFORM</t>
  </si>
  <si>
    <t>10.1 - Dewatering</t>
  </si>
  <si>
    <t>Drain/dewater stormwater from voids/pit/dams and discharge into temporary containment/tanker facility (refer to earthworks overall item for removal off site)</t>
  </si>
  <si>
    <t xml:space="preserve">Drain/dewater stormwater from voids/pit/dams and discharge into environment (if authorised) </t>
  </si>
  <si>
    <t>10.2 - Landform shaping</t>
  </si>
  <si>
    <t>20.1 - Topsoil</t>
  </si>
  <si>
    <t>20.2 - Establish vegetation (first time)</t>
  </si>
  <si>
    <t>30.1 - Construct earth berms</t>
  </si>
  <si>
    <t>30.2 - Construct canals/drains</t>
  </si>
  <si>
    <t>30.3 - Erosion protection</t>
  </si>
  <si>
    <t>Unreinforced concrete foundations, floor slabs, ceilings, walls, etc. (volume = length x width x height)</t>
  </si>
  <si>
    <t>Reinforced concrete foundations, floor slabs, ceilings, walls, etc. (volume = length x width x height)</t>
  </si>
  <si>
    <t>Steel water tanks - on ground level (1,2m x 1,2m panels bolted together, assuming two panels high) (area = structure footprint area), excluding foundations</t>
  </si>
  <si>
    <t>Steel water tanks - elevated (1,2m x 1,2m panels bolted together, assumign two panels high) (area = structure footprint area), excluding stand (refer various steel structures) and foundations</t>
  </si>
  <si>
    <t>50 - MAINTENANCE POST CLOSURE</t>
  </si>
  <si>
    <t>1.1 Are you extracting a commodity other than the low-risk commodities listed (refer list below)?</t>
  </si>
  <si>
    <t>2.1 Are you mining using any underground mining methods?</t>
  </si>
  <si>
    <r>
      <t>m</t>
    </r>
    <r>
      <rPr>
        <vertAlign val="superscript"/>
        <sz val="11"/>
        <color theme="1"/>
        <rFont val="Calibri"/>
        <family val="2"/>
        <scheme val="minor"/>
      </rPr>
      <t>2</t>
    </r>
  </si>
  <si>
    <r>
      <t>m</t>
    </r>
    <r>
      <rPr>
        <vertAlign val="superscript"/>
        <sz val="11"/>
        <color theme="1"/>
        <rFont val="Calibri"/>
        <family val="2"/>
        <scheme val="minor"/>
      </rPr>
      <t>2</t>
    </r>
    <r>
      <rPr>
        <sz val="11"/>
        <color theme="1"/>
        <rFont val="Calibri"/>
        <family val="2"/>
        <scheme val="minor"/>
      </rPr>
      <t>.yr</t>
    </r>
  </si>
  <si>
    <r>
      <t>m</t>
    </r>
    <r>
      <rPr>
        <vertAlign val="superscript"/>
        <sz val="11"/>
        <color theme="1"/>
        <rFont val="Calibri"/>
        <family val="2"/>
        <scheme val="minor"/>
      </rPr>
      <t>3</t>
    </r>
  </si>
  <si>
    <r>
      <t>m</t>
    </r>
    <r>
      <rPr>
        <vertAlign val="superscript"/>
        <sz val="11"/>
        <color theme="1"/>
        <rFont val="Calibri"/>
        <family val="2"/>
        <scheme val="minor"/>
      </rPr>
      <t>3</t>
    </r>
    <r>
      <rPr>
        <sz val="11"/>
        <color theme="1"/>
        <rFont val="Calibri"/>
        <family val="2"/>
        <scheme val="minor"/>
      </rPr>
      <t>.yr</t>
    </r>
  </si>
  <si>
    <t>Hectare</t>
  </si>
  <si>
    <t>Hectare x year</t>
  </si>
  <si>
    <t>Number</t>
  </si>
  <si>
    <t>tonne</t>
  </si>
  <si>
    <t>Metre</t>
  </si>
  <si>
    <t>Square metre</t>
  </si>
  <si>
    <t>Square metre x year</t>
  </si>
  <si>
    <t>Cubic metre</t>
  </si>
  <si>
    <t>Cubic metre x kilometer</t>
  </si>
  <si>
    <t>Cubic metre x year</t>
  </si>
  <si>
    <t>A metric unit of square measure, equal to 10 000 square metres</t>
  </si>
  <si>
    <t>Hectares measured for an area of concern multiplied by the number of years it will require work to be done in that area</t>
  </si>
  <si>
    <t>A metric unit of area measured per square metre</t>
  </si>
  <si>
    <t>Square metres measured for an area of concern multiplied by the number of years that work will be required in that area</t>
  </si>
  <si>
    <t>A metric unit of length measured in metres</t>
  </si>
  <si>
    <t>A metric unit of volume measured per cubic metre</t>
  </si>
  <si>
    <t>Cubic metres measured for a volume of concern multiplied by the number of kilometers that volume will be transported</t>
  </si>
  <si>
    <t>Cubic metres measured for a volume of concern multiplied by the number of years that work will be required to the volume</t>
  </si>
  <si>
    <t>A numeric value representing a particular quantity</t>
  </si>
  <si>
    <t>A metric unit of weight equal to 1 000 kilograms</t>
  </si>
  <si>
    <t>Definition of metric units used</t>
  </si>
  <si>
    <t>Regional Factors</t>
  </si>
  <si>
    <t>2023 (Select from pulldown)</t>
  </si>
  <si>
    <t>August (Select from pulldown)</t>
  </si>
  <si>
    <t>Qualifications</t>
  </si>
  <si>
    <t>Signature</t>
  </si>
  <si>
    <t>Registration details (professional registration nr)</t>
  </si>
  <si>
    <t>Company name</t>
  </si>
  <si>
    <t>Property(ies) description (farm name)</t>
  </si>
  <si>
    <t>ROODEPOORT JR 431 &amp; KLEINFONTEIN JR 432</t>
  </si>
  <si>
    <t>Registration body/institution</t>
  </si>
  <si>
    <t>Mr J Matambo</t>
  </si>
  <si>
    <t>Matambo Consulting (PTY) LTD</t>
  </si>
  <si>
    <t>017 554 3362</t>
  </si>
  <si>
    <t>j.matambo@mweb.co.za</t>
  </si>
  <si>
    <t>077 223 4456</t>
  </si>
  <si>
    <t>B Tech Civil Eng</t>
  </si>
  <si>
    <t>ECSA (Engineering Council of South Africa)</t>
  </si>
  <si>
    <t>Signature date:</t>
  </si>
  <si>
    <t>15 October 2023</t>
  </si>
  <si>
    <t>Pr Tech 20080055</t>
  </si>
  <si>
    <t>x</t>
  </si>
  <si>
    <r>
      <rPr>
        <b/>
        <sz val="11"/>
        <color theme="1"/>
        <rFont val="Calibri"/>
        <family val="2"/>
        <scheme val="minor"/>
      </rPr>
      <t>Land Surveyor</t>
    </r>
    <r>
      <rPr>
        <sz val="11"/>
        <color theme="1"/>
        <rFont val="Calibri"/>
        <family val="2"/>
        <scheme val="minor"/>
      </rPr>
      <t xml:space="preserve">
(professionally registered with SAGC - the South African Geomatics Council)</t>
    </r>
  </si>
  <si>
    <t>Experience required:</t>
  </si>
  <si>
    <t>Competent person's name and surname* refer requirements below</t>
  </si>
  <si>
    <t>Typical requirements for Competent Person(s) to determine the following:</t>
  </si>
  <si>
    <t>Competent Person(s) types*</t>
  </si>
  <si>
    <r>
      <rPr>
        <b/>
        <sz val="11"/>
        <color theme="1"/>
        <rFont val="Calibri"/>
        <family val="2"/>
        <scheme val="minor"/>
      </rPr>
      <t>Quantity Surveyor</t>
    </r>
    <r>
      <rPr>
        <sz val="11"/>
        <color theme="1"/>
        <rFont val="Calibri"/>
        <family val="2"/>
        <scheme val="minor"/>
      </rPr>
      <t xml:space="preserve">
(professionally registered with ASAQS - the Association of South African Quantity Surveyors)
</t>
    </r>
  </si>
  <si>
    <t>https://www.asaqs.co.za/</t>
  </si>
  <si>
    <t>https://www.ilasa.co.za/</t>
  </si>
  <si>
    <t>https://www.ecsa.co.za/</t>
  </si>
  <si>
    <t>https://www.sagc.org.za</t>
  </si>
  <si>
    <t>Details of Competent Person:</t>
  </si>
  <si>
    <t xml:space="preserve"> (Insert digital signature or print and sign hardcopy)</t>
  </si>
  <si>
    <t>STEP 1: APPOINT COMPETENT PERSON</t>
  </si>
  <si>
    <t>STEP 2: DEVELOP DESIGN (EXTERNAL TO THIS SPREADSHEET)</t>
  </si>
  <si>
    <t>STEP 3: POPULATE "INPUTS" SHEET: (Only complete yellow blocks, do not change descriptions or rates)</t>
  </si>
  <si>
    <t>If none of the above costs are known/available, assume % of total construction value (DELETE if not applicable)</t>
  </si>
  <si>
    <t>Complete yellow blocks only</t>
  </si>
  <si>
    <t>UNIT
(Do not amend)</t>
  </si>
  <si>
    <t>RATE
(Do not amend)</t>
  </si>
  <si>
    <t>Populate only the quantities for the applicable line items as determined from design/demolition plan</t>
  </si>
  <si>
    <t>LIABILITY COST ESTIMATE SHEET</t>
  </si>
  <si>
    <t>STEP 4: POPULATE QUANTITIES IN "COSTING" SHEET: (Only complete yellow blocks and site specific items applicable as determined from design/demolition plan)</t>
  </si>
  <si>
    <t>&lt;= Hide/Unhide activities by clicking on "+" or "-" on left ("2" to expand and "1" to collapse whole list)</t>
  </si>
  <si>
    <t>Low Risk Commodities</t>
  </si>
  <si>
    <t xml:space="preserve">Barite </t>
  </si>
  <si>
    <t xml:space="preserve">Corundum </t>
  </si>
  <si>
    <t>Diamond:</t>
  </si>
  <si>
    <t>Alluvial diamond</t>
  </si>
  <si>
    <t>Kimberlite</t>
  </si>
  <si>
    <t xml:space="preserve"> Dimension stone:</t>
  </si>
  <si>
    <t>Granite</t>
  </si>
  <si>
    <t>Marble</t>
  </si>
  <si>
    <t>Slate</t>
  </si>
  <si>
    <t>Quartzite</t>
  </si>
  <si>
    <t>Sandstone</t>
  </si>
  <si>
    <t>Flagstone</t>
  </si>
  <si>
    <t>Verdite and Soapstone</t>
  </si>
  <si>
    <t xml:space="preserve">Dolomite </t>
  </si>
  <si>
    <t xml:space="preserve">Fluorspar </t>
  </si>
  <si>
    <t xml:space="preserve">Garnet </t>
  </si>
  <si>
    <t>Gemstone</t>
  </si>
  <si>
    <t>Gold:</t>
  </si>
  <si>
    <t xml:space="preserve">Unconsolidated Sediments </t>
  </si>
  <si>
    <t xml:space="preserve">Graphite </t>
  </si>
  <si>
    <t xml:space="preserve">Gypsum </t>
  </si>
  <si>
    <t>Industrial minerals:</t>
  </si>
  <si>
    <t>Aggregate</t>
  </si>
  <si>
    <t>Andalusite</t>
  </si>
  <si>
    <t>Clay and brick-making material</t>
  </si>
  <si>
    <t>Gravel</t>
  </si>
  <si>
    <t>Kyanite</t>
  </si>
  <si>
    <t>Perlite</t>
  </si>
  <si>
    <t>Phlogopite</t>
  </si>
  <si>
    <t>Pumice</t>
  </si>
  <si>
    <t>Road-constructing materials</t>
  </si>
  <si>
    <t>Sand</t>
  </si>
  <si>
    <t>Sillimanite</t>
  </si>
  <si>
    <t>Stone and dimension stone</t>
  </si>
  <si>
    <t>Talc and pyrophylite</t>
  </si>
  <si>
    <t>Wollastonite</t>
  </si>
  <si>
    <t>Zeolite</t>
  </si>
  <si>
    <t xml:space="preserve">Iron  </t>
  </si>
  <si>
    <t xml:space="preserve">Kieselguhr (Diatomaceous Earth) </t>
  </si>
  <si>
    <t xml:space="preserve">Limestone  </t>
  </si>
  <si>
    <t>Pegmatite minerals:</t>
  </si>
  <si>
    <t>Beryl</t>
  </si>
  <si>
    <t>Bismuth</t>
  </si>
  <si>
    <t>Columbium</t>
  </si>
  <si>
    <t>Feldspar</t>
  </si>
  <si>
    <t>Lithium</t>
  </si>
  <si>
    <t>Mica</t>
  </si>
  <si>
    <t>Tantalum</t>
  </si>
  <si>
    <t>Niobium</t>
  </si>
  <si>
    <t xml:space="preserve">Tin </t>
  </si>
  <si>
    <t xml:space="preserve">Titanium  </t>
  </si>
  <si>
    <t xml:space="preserve">Tungsten </t>
  </si>
  <si>
    <t xml:space="preserve">Vermiculite </t>
  </si>
  <si>
    <t>Commodity</t>
  </si>
  <si>
    <t>Financial Provision Summary</t>
  </si>
  <si>
    <t>(Additional costs related to any closure related conditions as indicated in environmental authorisations; for example wetland offset costs, re-instatement of a river diversion)</t>
  </si>
  <si>
    <t>(Specify any other closure related items not covered above)</t>
  </si>
  <si>
    <r>
      <rPr>
        <b/>
        <sz val="11"/>
        <color theme="1"/>
        <rFont val="Calibri"/>
        <family val="2"/>
        <scheme val="minor"/>
      </rPr>
      <t>Landscape Architect/Technologist</t>
    </r>
    <r>
      <rPr>
        <sz val="11"/>
        <color theme="1"/>
        <rFont val="Calibri"/>
        <family val="2"/>
        <scheme val="minor"/>
      </rPr>
      <t xml:space="preserve">
(professionally registered with SACLAP - South African Council for the Landscape Architectural Profession)</t>
    </r>
  </si>
  <si>
    <t>At least 5 years experience in the determination of quantities for various demolition activities for various infrastructure types.</t>
  </si>
  <si>
    <t>Please complete the following screening questionnaire:</t>
  </si>
  <si>
    <r>
      <t xml:space="preserve">Competent person* to develop final landform and stormwater management design (that </t>
    </r>
    <r>
      <rPr>
        <sz val="11"/>
        <color theme="1"/>
        <rFont val="Calibri"/>
        <family val="2"/>
        <scheme val="minor"/>
      </rPr>
      <t>may require an aerial imagery i.e. latest Google Earth™ (provided quality is sufficient) and a topographical survey of all the disturbed areas)) as well as a demolition plan (to scale) of the site (with infrastructures labeled and footprints used for measurements delineated. Drawings (e.g. layout with cross sections and typical details to conceptual level) to be developed and submitted and signed-off by the Competent Person</t>
    </r>
  </si>
  <si>
    <r>
      <t>m</t>
    </r>
    <r>
      <rPr>
        <vertAlign val="superscript"/>
        <sz val="11"/>
        <color theme="1"/>
        <rFont val="Calibri"/>
        <family val="2"/>
        <scheme val="minor"/>
      </rPr>
      <t>3</t>
    </r>
    <r>
      <rPr>
        <sz val="11"/>
        <color theme="1"/>
        <rFont val="Calibri"/>
        <family val="2"/>
        <scheme val="minor"/>
      </rPr>
      <t>.km</t>
    </r>
  </si>
  <si>
    <r>
      <t xml:space="preserve">At least 5 years experience for the development of a final landform topography using industry recognised design methods to meet </t>
    </r>
    <r>
      <rPr>
        <sz val="11"/>
        <color theme="1"/>
        <rFont val="Calibri"/>
        <family val="2"/>
        <scheme val="minor"/>
      </rPr>
      <t>final land use requirements. Skills must include geometric design of final landform inclusive of volumetric cut/fill balances of material movement to determine volumetric quantities. An understanding of site complexities, site geotechnical conditions and materials handling processes.</t>
    </r>
  </si>
  <si>
    <r>
      <t xml:space="preserve">At least 5 years experience in the design of stormwater management measures, including the hydraulic sizing of canals/berms required to convey runoff around/over the </t>
    </r>
    <r>
      <rPr>
        <sz val="11"/>
        <color theme="1"/>
        <rFont val="Calibri"/>
        <family val="2"/>
        <scheme val="minor"/>
      </rPr>
      <t>final landform topography topography to mitigate erosion to an acceptable risk.</t>
    </r>
  </si>
  <si>
    <t>* Competent person(s) may delegate the design development and quantity estimations to a non-registered assistant(s)/person(s), but will sign off and take full responsibility on the design development and quantity determination</t>
  </si>
  <si>
    <t>1. Location</t>
  </si>
  <si>
    <t xml:space="preserve">3. Hazardous elements        </t>
  </si>
  <si>
    <t>Column1</t>
  </si>
  <si>
    <t>** An EAP (if required) can/may compile the reports, but require a Competent Person to sign off the Liability Estimate</t>
  </si>
  <si>
    <t>COMPETENT PERSON REQUIREMENTS FOR THE QUANTITY CALCULATION (CAN BE ANY OF THE FOLLOWING, DEPENDING ON REQUIREMENTS)</t>
  </si>
  <si>
    <t>3.1 Does your operation use processing methods other than mechanical processing.?</t>
  </si>
  <si>
    <t>2. Processing</t>
  </si>
  <si>
    <t xml:space="preserve">Holder to appoint independent Competent person (Refer "Competent Person" requirements on "INPUTS"  sheet). Competent person may deligate duties to a non-registered person (who does not have to be independent from Holder) to perform design development and quantity determination. Competent person will take full responsibility on design development and quantity determination results. Letter of appointment Competent person to be attached to submission. </t>
  </si>
  <si>
    <r>
      <rPr>
        <b/>
        <sz val="11"/>
        <color theme="1"/>
        <rFont val="Calibri"/>
        <family val="2"/>
        <scheme val="minor"/>
      </rPr>
      <t>Civil or Agricultural Engineer / Technologist</t>
    </r>
    <r>
      <rPr>
        <sz val="11"/>
        <color theme="1"/>
        <rFont val="Calibri"/>
        <family val="2"/>
        <scheme val="minor"/>
      </rPr>
      <t xml:space="preserve">
(professionally registered with ECSA - the Engineering Council of South Africa)</t>
    </r>
  </si>
  <si>
    <t>Compilation of plans</t>
  </si>
  <si>
    <t>https://eapasa.org/</t>
  </si>
  <si>
    <t>https://www.sacnasp.org.za/</t>
  </si>
  <si>
    <t>Topsoil and vegetation assessments</t>
  </si>
  <si>
    <t>At least 5 years experience in the assessment of topsoil and vegetation requirements for the final cover layer.  An understanding of site complexities, site soil and vegetation parameters and condition and amelioration requirements.</t>
  </si>
  <si>
    <t>Compilation and sign-off cost estimate/liability estimate</t>
  </si>
  <si>
    <t>Landform design development</t>
  </si>
  <si>
    <t>Stormwater management design development</t>
  </si>
  <si>
    <t>Demolish infrastructure quantity determination</t>
  </si>
  <si>
    <t>z</t>
  </si>
  <si>
    <t>"z" - Competent person may sign-off provided no stormwater management nor landform designs are required (i.e. only demolishment of infrastructure)</t>
  </si>
  <si>
    <r>
      <t xml:space="preserve">Environmental Scientist
</t>
    </r>
    <r>
      <rPr>
        <sz val="11"/>
        <color theme="1"/>
        <rFont val="Calibri"/>
        <family val="2"/>
        <scheme val="minor"/>
      </rPr>
      <t>(professionally registered with SACNASP - South African Council for Natural Scientific Professions)</t>
    </r>
  </si>
  <si>
    <r>
      <t xml:space="preserve">EAP (Environmental Assessment practicioner)
</t>
    </r>
    <r>
      <rPr>
        <sz val="11"/>
        <color theme="1"/>
        <rFont val="Calibri"/>
        <family val="2"/>
        <scheme val="minor"/>
      </rPr>
      <t>(professionally registered with EAPASA - Environmental Assessment Practitioners of South Africa)</t>
    </r>
  </si>
  <si>
    <t>w</t>
  </si>
  <si>
    <t>"w" - Competent person may sign-off provided no stormwater management is required</t>
  </si>
  <si>
    <t>5.1 Does your operation include a tailings storage facility on site ?</t>
  </si>
  <si>
    <t>4.1 Does your operation mine through OR engage in activities that expose or mobilize hazardous elements (such as sulfides/asbestos/etc.)?</t>
  </si>
  <si>
    <t>Example below:</t>
  </si>
  <si>
    <t>Note that if the month of assessment's CPI value is not available in the latest publication, select CPI of the latest available month</t>
  </si>
  <si>
    <t>Preliminary and General</t>
  </si>
  <si>
    <t>Relevant to Gauteng</t>
  </si>
  <si>
    <t>Average</t>
  </si>
  <si>
    <t>Ps&amp;Gs</t>
  </si>
  <si>
    <t>At least 5 years experience for the development of  financial provision reports (typically the three appendices referred to in GNR 1147 (or latest revisions) and registered with the appropriate body</t>
  </si>
  <si>
    <t xml:space="preserve">FINANCIAL PROVISIONING DETERMINATION SPREADSHEET AND MASTER RATES </t>
  </si>
  <si>
    <t>1.1 Are you undertaking any offshore exploration / seismic surveys?</t>
  </si>
  <si>
    <t>2.1 Does your prospecting/reconnaisssance operation use processing methods other than mechanical processing?</t>
  </si>
  <si>
    <t>3.1 Does the prospecting/reconnaissance expose material containing sulphides OR engaging in activities that expose or mobilise hazardous elements to extract the commodity?</t>
  </si>
  <si>
    <t xml:space="preserve">The rates display are also dependant on including the escalation indices </t>
  </si>
  <si>
    <t>Once the regional factors identified in the input tab row 40 to 42 have been completed the master rates will be displayed in the costing tab</t>
  </si>
  <si>
    <t>Applicant/ Holder(s) name and surname</t>
  </si>
  <si>
    <t>Permission/permit/right details:</t>
  </si>
  <si>
    <t>Name of operation</t>
  </si>
  <si>
    <t>Right/permit/permission number</t>
  </si>
  <si>
    <t>Step 1: Complete the permission/right/permit details</t>
  </si>
  <si>
    <t>FOR MINING OPERATIONS APPLICANTS/ HOLDERS</t>
  </si>
  <si>
    <t>FOR PROSPECTING/EXPLORATION/RECONNAISSANCE OPERATIONS APPLICANTS/ HOLDERS (for Bulk Sampling - use the critieria for mining operations)</t>
  </si>
  <si>
    <t>6.1 Does your mining intercept the regional groundwater table by more than 5m?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</si>
</sst>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mmm\ yyyy"/>
    <numFmt numFmtId="166" formatCode="&quot;R&quot;#,##0.00"/>
    <numFmt numFmtId="167" formatCode="0.0%"/>
  </numFmts>
  <fonts count="37">
    <font>
      <sz val="11"/>
      <color theme="1"/>
      <name val="Calibri"/>
      <family val="2"/>
      <scheme val="minor"/>
    </font>
    <font>
      <sz val="10"/>
      <color theme="1"/>
      <name val="Arial"/>
      <family val="2"/>
    </font>
    <font>
      <sz val="10"/>
      <color theme="5" tint="-0.499984740745262"/>
      <name val="Arial"/>
      <family val="2"/>
    </font>
    <font>
      <sz val="10"/>
      <color theme="3" tint="-0.249977111117893"/>
      <name val="Arial"/>
      <family val="2"/>
    </font>
    <font>
      <b/>
      <sz val="10"/>
      <color theme="1"/>
      <name val="Arial"/>
      <family val="2"/>
    </font>
    <font>
      <b/>
      <sz val="10"/>
      <color theme="3" tint="-0.249977111117893"/>
      <name val="Arial"/>
      <family val="2"/>
    </font>
    <font>
      <sz val="10"/>
      <color theme="1" tint="4.9989318521683403E-2"/>
      <name val="Arial"/>
      <family val="2"/>
    </font>
    <font>
      <b/>
      <sz val="11"/>
      <color theme="1"/>
      <name val="Calibri"/>
      <family val="2"/>
      <scheme val="minor"/>
    </font>
    <font>
      <sz val="8"/>
      <name val="Calibri"/>
      <family val="2"/>
      <scheme val="minor"/>
    </font>
    <font>
      <sz val="9"/>
      <color theme="1"/>
      <name val="Segoe UI"/>
      <family val="2"/>
    </font>
    <font>
      <vertAlign val="superscript"/>
      <sz val="10"/>
      <color theme="1"/>
      <name val="Arial"/>
      <family val="2"/>
    </font>
    <font>
      <i/>
      <u/>
      <sz val="10"/>
      <color theme="1"/>
      <name val="Arial"/>
      <family val="2"/>
    </font>
    <font>
      <sz val="11"/>
      <color theme="1"/>
      <name val="Arial"/>
      <family val="2"/>
    </font>
    <font>
      <u/>
      <sz val="11"/>
      <color theme="10"/>
      <name val="Calibri"/>
      <family val="2"/>
      <scheme val="minor"/>
    </font>
    <font>
      <sz val="11"/>
      <color theme="1"/>
      <name val="Calibri"/>
      <family val="2"/>
      <scheme val="minor"/>
    </font>
    <font>
      <i/>
      <sz val="11"/>
      <color theme="1"/>
      <name val="Calibri"/>
      <family val="2"/>
      <scheme val="minor"/>
    </font>
    <font>
      <b/>
      <u/>
      <sz val="11"/>
      <color theme="1"/>
      <name val="Calibri"/>
      <family val="2"/>
      <scheme val="minor"/>
    </font>
    <font>
      <b/>
      <sz val="20"/>
      <color theme="1"/>
      <name val="Calibri"/>
      <family val="2"/>
      <scheme val="minor"/>
    </font>
    <font>
      <i/>
      <sz val="10"/>
      <color theme="1"/>
      <name val="Arial"/>
      <family val="2"/>
    </font>
    <font>
      <sz val="11"/>
      <color rgb="FFFF0000"/>
      <name val="Calibri"/>
      <family val="2"/>
      <scheme val="minor"/>
    </font>
    <font>
      <sz val="11"/>
      <color theme="0"/>
      <name val="Calibri"/>
      <family val="2"/>
      <scheme val="minor"/>
    </font>
    <font>
      <i/>
      <u/>
      <sz val="11"/>
      <color theme="10"/>
      <name val="Calibri"/>
      <family val="2"/>
      <scheme val="minor"/>
    </font>
    <font>
      <b/>
      <sz val="16"/>
      <color theme="1"/>
      <name val="Calibri"/>
      <family val="2"/>
      <scheme val="minor"/>
    </font>
    <font>
      <b/>
      <sz val="18"/>
      <color theme="1"/>
      <name val="Calibri"/>
      <family val="2"/>
      <scheme val="minor"/>
    </font>
    <font>
      <b/>
      <sz val="14"/>
      <color theme="1"/>
      <name val="Calibri"/>
      <family val="2"/>
      <scheme val="minor"/>
    </font>
    <font>
      <vertAlign val="superscript"/>
      <sz val="11"/>
      <color theme="1"/>
      <name val="Calibri"/>
      <family val="2"/>
      <scheme val="minor"/>
    </font>
    <font>
      <b/>
      <u/>
      <sz val="14"/>
      <color theme="1"/>
      <name val="Calibri"/>
      <family val="2"/>
      <scheme val="minor"/>
    </font>
    <font>
      <sz val="20"/>
      <color theme="1"/>
      <name val="Calibri"/>
      <family val="2"/>
      <scheme val="minor"/>
    </font>
    <font>
      <u/>
      <sz val="11"/>
      <color theme="1"/>
      <name val="Calibri"/>
      <family val="2"/>
      <scheme val="minor"/>
    </font>
    <font>
      <b/>
      <sz val="12"/>
      <color theme="1"/>
      <name val="Calibri"/>
      <family val="2"/>
      <scheme val="minor"/>
    </font>
    <font>
      <i/>
      <sz val="11"/>
      <color rgb="FFFF0000"/>
      <name val="Calibri"/>
      <family val="2"/>
      <scheme val="minor"/>
    </font>
    <font>
      <b/>
      <u/>
      <sz val="14"/>
      <color theme="0"/>
      <name val="Calibri"/>
      <family val="2"/>
      <scheme val="minor"/>
    </font>
    <font>
      <i/>
      <sz val="11"/>
      <color theme="0"/>
      <name val="Calibri"/>
      <family val="2"/>
      <scheme val="minor"/>
    </font>
    <font>
      <i/>
      <sz val="16"/>
      <color theme="1"/>
      <name val="Calibri"/>
      <family val="2"/>
      <scheme val="minor"/>
    </font>
    <font>
      <i/>
      <u/>
      <sz val="11"/>
      <color rgb="FFFF0000"/>
      <name val="Calibri"/>
      <family val="2"/>
      <scheme val="minor"/>
    </font>
    <font>
      <b/>
      <sz val="28"/>
      <color theme="1"/>
      <name val="Calibri (Body)"/>
    </font>
    <font>
      <sz val="16"/>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99FF99"/>
        <bgColor indexed="64"/>
      </patternFill>
    </fill>
    <fill>
      <patternFill patternType="solid">
        <fgColor theme="6" tint="-0.249977111117893"/>
        <bgColor indexed="64"/>
      </patternFill>
    </fill>
    <fill>
      <patternFill patternType="solid">
        <fgColor theme="6" tint="0.79998168889431442"/>
        <bgColor theme="6" tint="0.79998168889431442"/>
      </patternFill>
    </fill>
    <fill>
      <patternFill patternType="solid">
        <fgColor theme="8" tint="0.79998168889431442"/>
        <bgColor indexed="64"/>
      </patternFill>
    </fill>
    <fill>
      <patternFill patternType="solid">
        <fgColor theme="5" tint="0.79998168889431442"/>
        <bgColor indexed="64"/>
      </patternFill>
    </fill>
    <fill>
      <gradientFill degree="90">
        <stop position="0">
          <color theme="0"/>
        </stop>
        <stop position="1">
          <color theme="4" tint="0.80001220740379042"/>
        </stop>
      </gradientFill>
    </fill>
    <fill>
      <gradientFill degree="90">
        <stop position="0">
          <color theme="0"/>
        </stop>
        <stop position="1">
          <color theme="5" tint="0.80001220740379042"/>
        </stop>
      </gradientFill>
    </fill>
    <fill>
      <gradientFill degree="90">
        <stop position="0">
          <color theme="0"/>
        </stop>
        <stop position="1">
          <color rgb="FFFFFF00"/>
        </stop>
      </gradientFill>
    </fill>
    <fill>
      <gradientFill degree="90">
        <stop position="0">
          <color theme="0"/>
        </stop>
        <stop position="1">
          <color theme="9" tint="0.80001220740379042"/>
        </stop>
      </gradientFill>
    </fill>
    <fill>
      <gradientFill degree="90">
        <stop position="0">
          <color theme="0"/>
        </stop>
        <stop position="1">
          <color theme="7" tint="0.80001220740379042"/>
        </stop>
      </gradientFill>
    </fill>
    <fill>
      <gradientFill degree="90">
        <stop position="0">
          <color theme="0"/>
        </stop>
        <stop position="1">
          <color theme="8" tint="0.80001220740379042"/>
        </stop>
      </gradientFill>
    </fill>
    <fill>
      <patternFill patternType="solid">
        <fgColor theme="0"/>
        <bgColor indexed="64"/>
      </patternFill>
    </fill>
  </fills>
  <borders count="51">
    <border>
      <left/>
      <right/>
      <top/>
      <bottom/>
      <diagonal/>
    </border>
    <border>
      <left style="thin">
        <color theme="6"/>
      </left>
      <right style="thin">
        <color theme="6"/>
      </right>
      <top style="thin">
        <color theme="6"/>
      </top>
      <bottom style="thin">
        <color theme="6"/>
      </bottom>
      <diagonal/>
    </border>
    <border>
      <left style="double">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auto="1"/>
      </right>
      <top/>
      <bottom style="thin">
        <color auto="1"/>
      </bottom>
      <diagonal/>
    </border>
    <border>
      <left style="thin">
        <color auto="1"/>
      </left>
      <right style="double">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double">
        <color auto="1"/>
      </bottom>
      <diagonal/>
    </border>
    <border>
      <left style="thin">
        <color auto="1"/>
      </left>
      <right style="double">
        <color auto="1"/>
      </right>
      <top style="double">
        <color auto="1"/>
      </top>
      <bottom/>
      <diagonal/>
    </border>
    <border>
      <left style="double">
        <color auto="1"/>
      </left>
      <right style="double">
        <color auto="1"/>
      </right>
      <top style="double">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thin">
        <color auto="1"/>
      </right>
      <top/>
      <bottom/>
      <diagonal/>
    </border>
    <border>
      <left style="thin">
        <color auto="1"/>
      </left>
      <right style="double">
        <color auto="1"/>
      </right>
      <top/>
      <bottom/>
      <diagonal/>
    </border>
    <border>
      <left style="double">
        <color auto="1"/>
      </left>
      <right style="double">
        <color auto="1"/>
      </right>
      <top style="thin">
        <color auto="1"/>
      </top>
      <bottom/>
      <diagonal/>
    </border>
    <border>
      <left style="double">
        <color auto="1"/>
      </left>
      <right style="double">
        <color auto="1"/>
      </right>
      <top/>
      <bottom style="thin">
        <color auto="1"/>
      </bottom>
      <diagonal/>
    </border>
    <border>
      <left style="double">
        <color auto="1"/>
      </left>
      <right style="thin">
        <color auto="1"/>
      </right>
      <top style="thick">
        <color auto="1"/>
      </top>
      <bottom style="thin">
        <color auto="1"/>
      </bottom>
      <diagonal/>
    </border>
    <border>
      <left style="thin">
        <color auto="1"/>
      </left>
      <right style="double">
        <color auto="1"/>
      </right>
      <top style="thick">
        <color auto="1"/>
      </top>
      <bottom style="thin">
        <color auto="1"/>
      </bottom>
      <diagonal/>
    </border>
    <border>
      <left style="double">
        <color auto="1"/>
      </left>
      <right style="double">
        <color auto="1"/>
      </right>
      <top style="thick">
        <color auto="1"/>
      </top>
      <bottom style="thin">
        <color auto="1"/>
      </bottom>
      <diagonal/>
    </border>
    <border>
      <left style="double">
        <color auto="1"/>
      </left>
      <right style="thin">
        <color auto="1"/>
      </right>
      <top style="thin">
        <color auto="1"/>
      </top>
      <bottom style="thick">
        <color auto="1"/>
      </bottom>
      <diagonal/>
    </border>
    <border>
      <left style="thin">
        <color auto="1"/>
      </left>
      <right style="double">
        <color auto="1"/>
      </right>
      <top style="thin">
        <color auto="1"/>
      </top>
      <bottom style="thick">
        <color auto="1"/>
      </bottom>
      <diagonal/>
    </border>
    <border>
      <left style="double">
        <color auto="1"/>
      </left>
      <right style="double">
        <color auto="1"/>
      </right>
      <top style="thin">
        <color auto="1"/>
      </top>
      <bottom style="thick">
        <color auto="1"/>
      </bottom>
      <diagonal/>
    </border>
    <border>
      <left style="double">
        <color auto="1"/>
      </left>
      <right style="thin">
        <color auto="1"/>
      </right>
      <top style="thin">
        <color auto="1"/>
      </top>
      <bottom/>
      <diagonal/>
    </border>
    <border>
      <left style="thin">
        <color auto="1"/>
      </left>
      <right style="double">
        <color auto="1"/>
      </right>
      <top style="thin">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double">
        <color auto="1"/>
      </right>
      <top style="double">
        <color auto="1"/>
      </top>
      <bottom style="medium">
        <color auto="1"/>
      </bottom>
      <diagonal/>
    </border>
    <border>
      <left style="double">
        <color auto="1"/>
      </left>
      <right style="double">
        <color auto="1"/>
      </right>
      <top style="thin">
        <color auto="1"/>
      </top>
      <bottom style="double">
        <color auto="1"/>
      </bottom>
      <diagonal/>
    </border>
    <border>
      <left/>
      <right/>
      <top style="medium">
        <color auto="1"/>
      </top>
      <bottom/>
      <diagonal/>
    </border>
  </borders>
  <cellStyleXfs count="5">
    <xf numFmtId="0" fontId="0" fillId="0" borderId="0"/>
    <xf numFmtId="0" fontId="1" fillId="0" borderId="0"/>
    <xf numFmtId="9" fontId="1" fillId="0" borderId="0" applyFont="0" applyFill="0" applyBorder="0" applyAlignment="0" applyProtection="0"/>
    <xf numFmtId="0" fontId="13" fillId="0" borderId="0" applyNumberFormat="0" applyFill="0" applyBorder="0" applyAlignment="0" applyProtection="0"/>
    <xf numFmtId="9" fontId="14" fillId="0" borderId="0" applyFont="0" applyFill="0" applyBorder="0" applyAlignment="0" applyProtection="0"/>
  </cellStyleXfs>
  <cellXfs count="243">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1" fillId="0" borderId="0" xfId="1" applyAlignment="1">
      <alignment horizontal="left"/>
    </xf>
    <xf numFmtId="0" fontId="1" fillId="0" borderId="0" xfId="1" applyAlignment="1">
      <alignment horizontal="center"/>
    </xf>
    <xf numFmtId="164" fontId="2" fillId="3" borderId="0" xfId="1" applyNumberFormat="1" applyFont="1" applyFill="1" applyAlignment="1">
      <alignment horizontal="right"/>
    </xf>
    <xf numFmtId="164" fontId="3" fillId="3" borderId="0" xfId="1" applyNumberFormat="1" applyFont="1" applyFill="1" applyAlignment="1">
      <alignment horizontal="right"/>
    </xf>
    <xf numFmtId="49" fontId="1" fillId="0" borderId="0" xfId="1" applyNumberFormat="1" applyAlignment="1">
      <alignment horizontal="center"/>
    </xf>
    <xf numFmtId="0" fontId="2" fillId="0" borderId="0" xfId="1" applyFont="1" applyAlignment="1">
      <alignment horizontal="center"/>
    </xf>
    <xf numFmtId="0" fontId="3" fillId="0" borderId="0" xfId="1" applyFont="1" applyAlignment="1">
      <alignment horizontal="center"/>
    </xf>
    <xf numFmtId="0" fontId="4" fillId="4" borderId="0" xfId="1" applyFont="1" applyFill="1" applyAlignment="1">
      <alignment horizontal="left"/>
    </xf>
    <xf numFmtId="0" fontId="4" fillId="4" borderId="0" xfId="1" applyFont="1" applyFill="1" applyAlignment="1">
      <alignment horizontal="left" wrapText="1"/>
    </xf>
    <xf numFmtId="165" fontId="4" fillId="4" borderId="0" xfId="1" applyNumberFormat="1" applyFont="1" applyFill="1" applyAlignment="1">
      <alignment horizontal="left"/>
    </xf>
    <xf numFmtId="165" fontId="5" fillId="4" borderId="0" xfId="1" applyNumberFormat="1" applyFont="1" applyFill="1" applyAlignment="1">
      <alignment horizontal="left"/>
    </xf>
    <xf numFmtId="4" fontId="3" fillId="0" borderId="0" xfId="1" applyNumberFormat="1" applyFont="1"/>
    <xf numFmtId="0" fontId="6" fillId="0" borderId="0" xfId="1" applyFont="1" applyAlignment="1">
      <alignment horizontal="center"/>
    </xf>
    <xf numFmtId="0" fontId="6" fillId="0" borderId="0" xfId="1" applyFont="1" applyAlignment="1">
      <alignment horizontal="left"/>
    </xf>
    <xf numFmtId="166" fontId="0" fillId="0" borderId="0" xfId="0" applyNumberFormat="1"/>
    <xf numFmtId="4" fontId="3" fillId="5" borderId="1" xfId="1" applyNumberFormat="1" applyFont="1" applyFill="1" applyBorder="1"/>
    <xf numFmtId="4" fontId="3" fillId="0" borderId="1" xfId="1" applyNumberFormat="1" applyFont="1" applyBorder="1"/>
    <xf numFmtId="0" fontId="0" fillId="0" borderId="0" xfId="0" applyAlignment="1">
      <alignment vertical="center"/>
    </xf>
    <xf numFmtId="0" fontId="9" fillId="0" borderId="0" xfId="0" applyFont="1" applyAlignment="1">
      <alignment vertical="center"/>
    </xf>
    <xf numFmtId="0" fontId="0" fillId="0" borderId="0" xfId="0" applyAlignment="1">
      <alignment wrapText="1"/>
    </xf>
    <xf numFmtId="0" fontId="0" fillId="0" borderId="0" xfId="0" applyAlignment="1">
      <alignment horizontal="left" vertical="center" indent="1"/>
    </xf>
    <xf numFmtId="0" fontId="13" fillId="0" borderId="0" xfId="3"/>
    <xf numFmtId="0" fontId="0" fillId="0" borderId="0" xfId="0" applyAlignment="1">
      <alignment horizontal="right"/>
    </xf>
    <xf numFmtId="17" fontId="0" fillId="0" borderId="0" xfId="0" applyNumberFormat="1"/>
    <xf numFmtId="0" fontId="0" fillId="0" borderId="0" xfId="0" applyAlignment="1">
      <alignment horizontal="left"/>
    </xf>
    <xf numFmtId="0" fontId="0" fillId="2" borderId="0" xfId="0" applyFill="1"/>
    <xf numFmtId="0" fontId="0" fillId="0" borderId="4" xfId="0" applyBorder="1"/>
    <xf numFmtId="0" fontId="7" fillId="0" borderId="4" xfId="0" applyFont="1" applyBorder="1"/>
    <xf numFmtId="0" fontId="7" fillId="0" borderId="6" xfId="0" applyFont="1" applyBorder="1"/>
    <xf numFmtId="0" fontId="0" fillId="0" borderId="5" xfId="0" applyBorder="1" applyAlignment="1">
      <alignment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15" fillId="0" borderId="5" xfId="0" applyFont="1" applyBorder="1" applyAlignment="1">
      <alignment vertical="center"/>
    </xf>
    <xf numFmtId="0" fontId="15" fillId="0" borderId="5" xfId="0" applyFont="1" applyBorder="1" applyAlignment="1">
      <alignment vertical="center" wrapText="1"/>
    </xf>
    <xf numFmtId="166" fontId="0" fillId="0" borderId="5" xfId="0" applyNumberFormat="1" applyBorder="1"/>
    <xf numFmtId="166" fontId="7" fillId="0" borderId="5" xfId="0" applyNumberFormat="1" applyFont="1" applyBorder="1"/>
    <xf numFmtId="166" fontId="7" fillId="0" borderId="7" xfId="0" applyNumberFormat="1" applyFont="1" applyBorder="1"/>
    <xf numFmtId="0" fontId="0" fillId="0" borderId="10" xfId="0" applyBorder="1" applyAlignment="1">
      <alignment horizontal="center" vertical="center"/>
    </xf>
    <xf numFmtId="0" fontId="0" fillId="0" borderId="10" xfId="0" applyBorder="1"/>
    <xf numFmtId="166" fontId="0" fillId="0" borderId="10" xfId="0" applyNumberFormat="1" applyBorder="1"/>
    <xf numFmtId="0" fontId="0" fillId="0" borderId="12" xfId="0" applyBorder="1" applyAlignment="1">
      <alignment horizontal="center" vertical="center"/>
    </xf>
    <xf numFmtId="0" fontId="0" fillId="0" borderId="12" xfId="0" applyBorder="1"/>
    <xf numFmtId="0" fontId="7" fillId="6" borderId="2" xfId="0" applyFont="1" applyFill="1" applyBorder="1"/>
    <xf numFmtId="0" fontId="7" fillId="6" borderId="3" xfId="0" applyFont="1" applyFill="1" applyBorder="1" applyAlignment="1">
      <alignment horizontal="center" vertical="center"/>
    </xf>
    <xf numFmtId="0" fontId="17" fillId="0" borderId="0" xfId="0" applyFont="1" applyAlignment="1">
      <alignment horizontal="center" vertical="center"/>
    </xf>
    <xf numFmtId="0" fontId="1" fillId="0" borderId="0" xfId="1" applyAlignment="1">
      <alignment horizontal="right" wrapText="1"/>
    </xf>
    <xf numFmtId="0" fontId="18" fillId="0" borderId="0" xfId="1" applyFont="1" applyAlignment="1">
      <alignment horizontal="right" vertical="center"/>
    </xf>
    <xf numFmtId="0" fontId="3" fillId="3" borderId="0" xfId="1" applyFont="1" applyFill="1" applyAlignment="1">
      <alignment horizontal="right"/>
    </xf>
    <xf numFmtId="9" fontId="0" fillId="0" borderId="0" xfId="4" applyFont="1"/>
    <xf numFmtId="10" fontId="0" fillId="0" borderId="0" xfId="4" applyNumberFormat="1" applyFont="1"/>
    <xf numFmtId="10" fontId="0" fillId="0" borderId="0" xfId="0" applyNumberFormat="1"/>
    <xf numFmtId="0" fontId="0" fillId="0" borderId="10" xfId="0"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0" fillId="0" borderId="10" xfId="0" applyBorder="1" applyProtection="1">
      <protection locked="0"/>
    </xf>
    <xf numFmtId="0" fontId="1" fillId="0" borderId="4" xfId="1" applyBorder="1" applyAlignment="1">
      <alignment horizontal="left" indent="3"/>
    </xf>
    <xf numFmtId="0" fontId="1" fillId="0" borderId="4" xfId="1" applyBorder="1" applyAlignment="1">
      <alignment horizontal="left" indent="8"/>
    </xf>
    <xf numFmtId="0" fontId="6" fillId="0" borderId="4" xfId="1" applyFont="1" applyBorder="1" applyAlignment="1">
      <alignment horizontal="left" indent="3"/>
    </xf>
    <xf numFmtId="0" fontId="12" fillId="0" borderId="4" xfId="0" applyFont="1" applyBorder="1"/>
    <xf numFmtId="0" fontId="1" fillId="0" borderId="4" xfId="0" applyFont="1" applyBorder="1" applyAlignment="1">
      <alignment horizontal="left" indent="3"/>
    </xf>
    <xf numFmtId="0" fontId="1" fillId="0" borderId="4" xfId="0" applyFont="1" applyBorder="1" applyAlignment="1">
      <alignment horizontal="left" wrapText="1" indent="7"/>
    </xf>
    <xf numFmtId="0" fontId="0" fillId="0" borderId="4" xfId="0" applyBorder="1" applyAlignment="1">
      <alignment horizontal="left" indent="7"/>
    </xf>
    <xf numFmtId="0" fontId="0" fillId="0" borderId="4" xfId="0" applyBorder="1" applyAlignment="1">
      <alignment horizontal="left" indent="3"/>
    </xf>
    <xf numFmtId="0" fontId="0" fillId="0" borderId="4" xfId="0" applyBorder="1" applyAlignment="1">
      <alignment horizontal="left" wrapText="1" indent="7"/>
    </xf>
    <xf numFmtId="0" fontId="0" fillId="0" borderId="6" xfId="0" applyBorder="1"/>
    <xf numFmtId="0" fontId="1" fillId="0" borderId="10" xfId="0" applyFont="1" applyBorder="1" applyAlignment="1">
      <alignment horizontal="center" vertical="center"/>
    </xf>
    <xf numFmtId="0" fontId="1" fillId="0" borderId="10" xfId="0" applyFont="1" applyBorder="1"/>
    <xf numFmtId="166" fontId="16" fillId="0" borderId="5" xfId="0" applyNumberFormat="1" applyFont="1" applyBorder="1"/>
    <xf numFmtId="166" fontId="0" fillId="0" borderId="7" xfId="0" applyNumberFormat="1" applyBorder="1"/>
    <xf numFmtId="49" fontId="15" fillId="0" borderId="15" xfId="0" applyNumberFormat="1" applyFont="1" applyBorder="1" applyAlignment="1">
      <alignment vertical="center" wrapText="1"/>
    </xf>
    <xf numFmtId="0" fontId="21" fillId="0" borderId="15" xfId="3" applyFont="1" applyBorder="1" applyAlignment="1">
      <alignment vertical="center"/>
    </xf>
    <xf numFmtId="0" fontId="15" fillId="0" borderId="15" xfId="0" applyFont="1" applyBorder="1" applyAlignment="1">
      <alignment vertical="center"/>
    </xf>
    <xf numFmtId="0" fontId="15" fillId="0" borderId="15" xfId="0" applyFont="1" applyBorder="1" applyAlignment="1">
      <alignment horizontal="left" vertical="center"/>
    </xf>
    <xf numFmtId="49" fontId="15" fillId="0" borderId="15" xfId="0" applyNumberFormat="1" applyFont="1" applyBorder="1" applyAlignment="1">
      <alignment vertical="center"/>
    </xf>
    <xf numFmtId="0" fontId="0" fillId="0" borderId="9" xfId="0" applyBorder="1" applyAlignment="1">
      <alignment vertical="center"/>
    </xf>
    <xf numFmtId="0" fontId="15" fillId="0" borderId="19" xfId="0" applyFont="1" applyBorder="1" applyAlignment="1">
      <alignment vertical="center"/>
    </xf>
    <xf numFmtId="0" fontId="0" fillId="0" borderId="21" xfId="0" applyBorder="1" applyAlignment="1">
      <alignment vertical="center"/>
    </xf>
    <xf numFmtId="0" fontId="21" fillId="0" borderId="22" xfId="3" applyFont="1" applyBorder="1" applyAlignment="1">
      <alignment vertical="center"/>
    </xf>
    <xf numFmtId="0" fontId="15" fillId="0" borderId="25" xfId="0" applyFont="1" applyBorder="1" applyAlignment="1">
      <alignment vertical="center"/>
    </xf>
    <xf numFmtId="0" fontId="21" fillId="0" borderId="19" xfId="3" applyFont="1" applyBorder="1" applyAlignment="1">
      <alignment vertical="center"/>
    </xf>
    <xf numFmtId="0" fontId="0" fillId="0" borderId="5" xfId="0" applyBorder="1" applyAlignment="1">
      <alignment vertical="center" wrapText="1"/>
    </xf>
    <xf numFmtId="0" fontId="23" fillId="0" borderId="0" xfId="0" applyFont="1"/>
    <xf numFmtId="0" fontId="0" fillId="0" borderId="4" xfId="0" applyBorder="1" applyAlignment="1">
      <alignment wrapText="1"/>
    </xf>
    <xf numFmtId="0" fontId="11" fillId="0" borderId="4" xfId="1" applyFont="1" applyBorder="1" applyAlignment="1">
      <alignment horizontal="left" indent="4"/>
    </xf>
    <xf numFmtId="0" fontId="11" fillId="0" borderId="4" xfId="1" applyFont="1" applyBorder="1" applyAlignment="1">
      <alignment horizontal="left" indent="5"/>
    </xf>
    <xf numFmtId="0" fontId="7" fillId="7" borderId="0" xfId="0" applyFont="1" applyFill="1"/>
    <xf numFmtId="0" fontId="7" fillId="7" borderId="0" xfId="0" applyFont="1" applyFill="1" applyAlignment="1">
      <alignment horizontal="left" indent="2"/>
    </xf>
    <xf numFmtId="0" fontId="0" fillId="7" borderId="0" xfId="0" applyFill="1" applyAlignment="1">
      <alignment horizontal="left" indent="4"/>
    </xf>
    <xf numFmtId="0" fontId="19" fillId="7" borderId="0" xfId="0" applyFont="1" applyFill="1" applyAlignment="1">
      <alignment horizontal="left" indent="4"/>
    </xf>
    <xf numFmtId="0" fontId="0" fillId="7" borderId="0" xfId="0" applyFill="1"/>
    <xf numFmtId="0" fontId="0" fillId="0" borderId="11" xfId="0" applyBorder="1" applyAlignment="1">
      <alignment horizontal="center" vertical="center" wrapText="1"/>
    </xf>
    <xf numFmtId="0" fontId="0" fillId="0" borderId="3" xfId="0" applyBorder="1" applyAlignment="1">
      <alignment wrapText="1"/>
    </xf>
    <xf numFmtId="0" fontId="20" fillId="0" borderId="0" xfId="0" applyFont="1" applyAlignment="1">
      <alignment wrapText="1"/>
    </xf>
    <xf numFmtId="0" fontId="0" fillId="0" borderId="5" xfId="0" applyBorder="1" applyAlignment="1">
      <alignment wrapText="1"/>
    </xf>
    <xf numFmtId="0" fontId="0" fillId="0" borderId="10"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wrapText="1"/>
    </xf>
    <xf numFmtId="0" fontId="7" fillId="8" borderId="0" xfId="0" applyFont="1" applyFill="1"/>
    <xf numFmtId="0" fontId="0" fillId="8" borderId="0" xfId="0" applyFill="1"/>
    <xf numFmtId="0" fontId="0" fillId="9" borderId="4" xfId="0" applyFill="1" applyBorder="1" applyAlignment="1">
      <alignment horizontal="left" vertical="center"/>
    </xf>
    <xf numFmtId="49" fontId="0" fillId="10" borderId="21" xfId="0" applyNumberFormat="1" applyFill="1" applyBorder="1" applyAlignment="1">
      <alignment horizontal="center" vertical="center"/>
    </xf>
    <xf numFmtId="49" fontId="0" fillId="10" borderId="5" xfId="0" applyNumberFormat="1" applyFill="1" applyBorder="1" applyAlignment="1">
      <alignment horizontal="center" vertical="center"/>
    </xf>
    <xf numFmtId="49" fontId="0" fillId="10" borderId="5" xfId="0" applyNumberFormat="1" applyFill="1" applyBorder="1" applyAlignment="1">
      <alignment horizontal="center" vertical="center" wrapText="1"/>
    </xf>
    <xf numFmtId="0" fontId="0" fillId="10" borderId="5" xfId="0" applyFill="1" applyBorder="1" applyAlignment="1">
      <alignment horizontal="center" vertical="center"/>
    </xf>
    <xf numFmtId="0" fontId="0" fillId="10" borderId="24" xfId="0" applyFill="1" applyBorder="1" applyAlignment="1">
      <alignment horizontal="center" vertical="center"/>
    </xf>
    <xf numFmtId="0" fontId="0" fillId="10" borderId="10" xfId="0" applyFill="1" applyBorder="1" applyAlignment="1">
      <alignment horizontal="center" vertical="center" wrapText="1"/>
    </xf>
    <xf numFmtId="0" fontId="24" fillId="8" borderId="2" xfId="0" applyFont="1" applyFill="1" applyBorder="1" applyAlignment="1">
      <alignment wrapText="1"/>
    </xf>
    <xf numFmtId="0" fontId="24" fillId="8" borderId="4" xfId="0" applyFont="1" applyFill="1" applyBorder="1" applyAlignment="1">
      <alignment wrapText="1"/>
    </xf>
    <xf numFmtId="0" fontId="0" fillId="0" borderId="6" xfId="0" applyBorder="1" applyAlignment="1">
      <alignment wrapText="1"/>
    </xf>
    <xf numFmtId="0" fontId="0" fillId="8" borderId="4" xfId="0" applyFill="1" applyBorder="1" applyAlignment="1">
      <alignment horizontal="left" wrapText="1" indent="3"/>
    </xf>
    <xf numFmtId="0" fontId="0" fillId="0" borderId="4" xfId="0" applyBorder="1" applyAlignment="1">
      <alignment horizontal="left" vertical="center"/>
    </xf>
    <xf numFmtId="49" fontId="0" fillId="0" borderId="5" xfId="0" applyNumberFormat="1" applyBorder="1" applyAlignment="1">
      <alignment horizontal="center" vertical="center" wrapText="1"/>
    </xf>
    <xf numFmtId="0" fontId="0" fillId="0" borderId="27" xfId="0" applyBorder="1" applyAlignment="1">
      <alignment horizontal="center" vertical="center"/>
    </xf>
    <xf numFmtId="0" fontId="13" fillId="11" borderId="4" xfId="3" applyFill="1" applyBorder="1" applyAlignment="1">
      <alignment horizontal="center" vertical="center"/>
    </xf>
    <xf numFmtId="49" fontId="15" fillId="0" borderId="22" xfId="0" applyNumberFormat="1" applyFont="1" applyBorder="1" applyAlignment="1">
      <alignment vertical="center"/>
    </xf>
    <xf numFmtId="0" fontId="23" fillId="6" borderId="2" xfId="0" applyFont="1" applyFill="1" applyBorder="1" applyAlignment="1">
      <alignment vertical="center"/>
    </xf>
    <xf numFmtId="0" fontId="23" fillId="6" borderId="3" xfId="0" applyFont="1" applyFill="1" applyBorder="1" applyAlignment="1">
      <alignment horizontal="center" vertical="center"/>
    </xf>
    <xf numFmtId="0" fontId="23" fillId="6" borderId="13" xfId="0" applyFont="1" applyFill="1" applyBorder="1" applyAlignment="1">
      <alignment horizontal="center" vertical="center"/>
    </xf>
    <xf numFmtId="0" fontId="7" fillId="0" borderId="8" xfId="0" applyFont="1" applyBorder="1" applyAlignment="1">
      <alignment vertical="center"/>
    </xf>
    <xf numFmtId="0" fontId="7" fillId="0" borderId="9" xfId="0" applyFont="1" applyBorder="1" applyAlignment="1">
      <alignment horizontal="center" vertical="center"/>
    </xf>
    <xf numFmtId="0" fontId="0" fillId="0" borderId="14" xfId="0" applyBorder="1" applyAlignment="1">
      <alignment vertical="center"/>
    </xf>
    <xf numFmtId="0" fontId="22" fillId="0" borderId="16" xfId="0" applyFont="1" applyBorder="1" applyAlignment="1">
      <alignment vertical="center"/>
    </xf>
    <xf numFmtId="0" fontId="7" fillId="0" borderId="17" xfId="0" applyFont="1" applyBorder="1" applyAlignment="1">
      <alignment horizontal="center" vertical="center"/>
    </xf>
    <xf numFmtId="0" fontId="0" fillId="0" borderId="18" xfId="0" applyBorder="1" applyAlignment="1">
      <alignment vertical="center"/>
    </xf>
    <xf numFmtId="49" fontId="15" fillId="0" borderId="15" xfId="0" quotePrefix="1" applyNumberFormat="1" applyFont="1" applyBorder="1" applyAlignment="1">
      <alignment vertical="center"/>
    </xf>
    <xf numFmtId="49" fontId="21" fillId="0" borderId="15" xfId="3" applyNumberFormat="1" applyFont="1" applyBorder="1" applyAlignment="1">
      <alignment vertical="center"/>
    </xf>
    <xf numFmtId="0" fontId="0" fillId="0" borderId="0" xfId="0" applyAlignment="1">
      <alignment horizontal="left" vertical="center" wrapText="1"/>
    </xf>
    <xf numFmtId="0" fontId="7" fillId="0" borderId="26" xfId="0" applyFont="1" applyBorder="1" applyAlignment="1">
      <alignment vertical="center"/>
    </xf>
    <xf numFmtId="0" fontId="15" fillId="0" borderId="18" xfId="0" applyFont="1" applyBorder="1" applyAlignment="1">
      <alignment vertical="center"/>
    </xf>
    <xf numFmtId="0" fontId="22" fillId="0" borderId="4" xfId="0" applyFont="1" applyBorder="1" applyAlignment="1">
      <alignment vertical="center"/>
    </xf>
    <xf numFmtId="0" fontId="7" fillId="12" borderId="4" xfId="0" applyFont="1" applyFill="1" applyBorder="1" applyAlignment="1">
      <alignment horizontal="left" vertical="center"/>
    </xf>
    <xf numFmtId="0" fontId="0" fillId="12" borderId="4" xfId="0" applyFill="1" applyBorder="1" applyAlignment="1">
      <alignment horizontal="left" vertical="center"/>
    </xf>
    <xf numFmtId="0" fontId="0" fillId="0" borderId="8" xfId="0" applyBorder="1" applyAlignment="1">
      <alignment vertical="center"/>
    </xf>
    <xf numFmtId="0" fontId="22" fillId="0" borderId="26" xfId="0" applyFont="1" applyBorder="1" applyAlignment="1">
      <alignment vertical="center"/>
    </xf>
    <xf numFmtId="0" fontId="0" fillId="0" borderId="27" xfId="0" applyBorder="1" applyAlignment="1">
      <alignment vertical="center"/>
    </xf>
    <xf numFmtId="0" fontId="26" fillId="11" borderId="20" xfId="0" applyFont="1" applyFill="1" applyBorder="1" applyAlignment="1">
      <alignment horizontal="left" vertical="center" wrapText="1"/>
    </xf>
    <xf numFmtId="0" fontId="0" fillId="11" borderId="8" xfId="0" applyFill="1" applyBorder="1" applyAlignment="1">
      <alignment horizontal="left" vertical="center" wrapText="1"/>
    </xf>
    <xf numFmtId="0" fontId="7" fillId="11" borderId="4" xfId="0" applyFont="1" applyFill="1" applyBorder="1" applyAlignment="1">
      <alignment horizontal="left" vertical="center" wrapText="1"/>
    </xf>
    <xf numFmtId="0" fontId="0" fillId="11" borderId="4" xfId="0" applyFill="1" applyBorder="1" applyAlignment="1">
      <alignment horizontal="left" vertical="center" wrapText="1"/>
    </xf>
    <xf numFmtId="0" fontId="0" fillId="0" borderId="4" xfId="0" applyBorder="1" applyAlignment="1">
      <alignment horizontal="left" vertical="center" wrapText="1"/>
    </xf>
    <xf numFmtId="0" fontId="26" fillId="11" borderId="4" xfId="0" applyFont="1" applyFill="1" applyBorder="1" applyAlignment="1">
      <alignment horizontal="left" vertical="center" wrapText="1"/>
    </xf>
    <xf numFmtId="0" fontId="0" fillId="11" borderId="4" xfId="0" applyFill="1" applyBorder="1" applyAlignment="1">
      <alignment horizontal="left" vertical="center"/>
    </xf>
    <xf numFmtId="49" fontId="13" fillId="0" borderId="15" xfId="3" quotePrefix="1" applyNumberFormat="1" applyBorder="1" applyAlignment="1">
      <alignment vertical="center"/>
    </xf>
    <xf numFmtId="0" fontId="0" fillId="0" borderId="8" xfId="0" applyBorder="1" applyAlignment="1">
      <alignment horizontal="left" vertical="center"/>
    </xf>
    <xf numFmtId="49" fontId="0" fillId="0" borderId="9" xfId="0" applyNumberFormat="1" applyBorder="1" applyAlignment="1">
      <alignment horizontal="center" vertical="center" wrapText="1"/>
    </xf>
    <xf numFmtId="49" fontId="15" fillId="0" borderId="19" xfId="0" applyNumberFormat="1" applyFont="1" applyBorder="1" applyAlignment="1">
      <alignment vertical="center"/>
    </xf>
    <xf numFmtId="0" fontId="0" fillId="9" borderId="23" xfId="0" applyFill="1" applyBorder="1" applyAlignment="1">
      <alignment horizontal="left" vertical="center"/>
    </xf>
    <xf numFmtId="49" fontId="0" fillId="10" borderId="24" xfId="0" applyNumberFormat="1" applyFill="1" applyBorder="1" applyAlignment="1">
      <alignment horizontal="center" vertical="center" wrapText="1"/>
    </xf>
    <xf numFmtId="49" fontId="15" fillId="0" borderId="25" xfId="0" applyNumberFormat="1" applyFont="1" applyBorder="1" applyAlignment="1">
      <alignment vertical="center"/>
    </xf>
    <xf numFmtId="0" fontId="0" fillId="13" borderId="4" xfId="0" applyFill="1" applyBorder="1" applyAlignment="1">
      <alignment horizontal="left" vertical="center"/>
    </xf>
    <xf numFmtId="0" fontId="0" fillId="13" borderId="4" xfId="0" applyFill="1" applyBorder="1" applyAlignment="1">
      <alignment vertical="center"/>
    </xf>
    <xf numFmtId="0" fontId="7" fillId="13" borderId="4" xfId="0" applyFont="1" applyFill="1" applyBorder="1" applyAlignment="1">
      <alignment vertical="center"/>
    </xf>
    <xf numFmtId="0" fontId="7" fillId="13" borderId="23" xfId="0" applyFont="1" applyFill="1" applyBorder="1" applyAlignment="1">
      <alignment vertical="center"/>
    </xf>
    <xf numFmtId="0" fontId="0" fillId="0" borderId="0" xfId="0" applyAlignment="1">
      <alignment vertical="center" wrapText="1"/>
    </xf>
    <xf numFmtId="0" fontId="0" fillId="8" borderId="28" xfId="0" applyFill="1" applyBorder="1" applyAlignment="1">
      <alignment horizontal="center" vertical="center" wrapText="1"/>
    </xf>
    <xf numFmtId="0" fontId="0" fillId="8" borderId="30" xfId="0" applyFill="1" applyBorder="1" applyAlignment="1">
      <alignment vertical="center"/>
    </xf>
    <xf numFmtId="0" fontId="0" fillId="8" borderId="32" xfId="0" applyFill="1" applyBorder="1" applyAlignment="1">
      <alignment vertical="center"/>
    </xf>
    <xf numFmtId="0" fontId="17" fillId="8" borderId="10" xfId="0" applyFont="1" applyFill="1" applyBorder="1" applyAlignment="1">
      <alignment horizontal="center" vertical="center"/>
    </xf>
    <xf numFmtId="0" fontId="17" fillId="8" borderId="31" xfId="0" applyFont="1" applyFill="1" applyBorder="1" applyAlignment="1">
      <alignment horizontal="center" vertical="center"/>
    </xf>
    <xf numFmtId="0" fontId="27" fillId="8" borderId="10" xfId="0" applyFont="1" applyFill="1" applyBorder="1" applyAlignment="1">
      <alignment vertical="center"/>
    </xf>
    <xf numFmtId="0" fontId="17" fillId="8" borderId="33" xfId="0" applyFont="1" applyFill="1" applyBorder="1" applyAlignment="1">
      <alignment horizontal="center" vertical="center"/>
    </xf>
    <xf numFmtId="0" fontId="17" fillId="8" borderId="34" xfId="0" applyFont="1" applyFill="1" applyBorder="1" applyAlignment="1">
      <alignment horizontal="center" vertical="center"/>
    </xf>
    <xf numFmtId="0" fontId="0" fillId="7" borderId="0" xfId="0" applyFill="1" applyAlignment="1">
      <alignment horizontal="left" wrapText="1" indent="4"/>
    </xf>
    <xf numFmtId="0" fontId="15" fillId="0" borderId="0" xfId="0" applyFont="1"/>
    <xf numFmtId="0" fontId="0" fillId="8" borderId="38" xfId="0" applyFill="1" applyBorder="1" applyAlignment="1">
      <alignment vertical="center"/>
    </xf>
    <xf numFmtId="0" fontId="17" fillId="8" borderId="39" xfId="0" applyFont="1" applyFill="1" applyBorder="1" applyAlignment="1">
      <alignment horizontal="center" vertical="center"/>
    </xf>
    <xf numFmtId="0" fontId="17" fillId="8" borderId="40" xfId="0" applyFont="1" applyFill="1" applyBorder="1" applyAlignment="1">
      <alignment horizontal="center" vertical="center"/>
    </xf>
    <xf numFmtId="0" fontId="13" fillId="8" borderId="44" xfId="3" applyFill="1" applyBorder="1" applyAlignment="1">
      <alignment horizontal="center" vertical="center" wrapText="1"/>
    </xf>
    <xf numFmtId="0" fontId="13" fillId="8" borderId="45" xfId="3" applyFill="1" applyBorder="1" applyAlignment="1">
      <alignment horizontal="center" vertical="center" wrapText="1"/>
    </xf>
    <xf numFmtId="0" fontId="22" fillId="0" borderId="0" xfId="0" applyFont="1"/>
    <xf numFmtId="0" fontId="0" fillId="7" borderId="0" xfId="0" applyFill="1" applyAlignment="1">
      <alignment horizontal="left" vertical="center" wrapText="1" indent="4"/>
    </xf>
    <xf numFmtId="0" fontId="0" fillId="10" borderId="10" xfId="0" applyFill="1" applyBorder="1" applyAlignment="1" applyProtection="1">
      <alignment horizontal="center" vertical="center"/>
      <protection locked="0"/>
    </xf>
    <xf numFmtId="9" fontId="0" fillId="10" borderId="10" xfId="4" applyFont="1" applyFill="1" applyBorder="1" applyAlignment="1" applyProtection="1">
      <alignment horizontal="center" vertical="center"/>
      <protection locked="0"/>
    </xf>
    <xf numFmtId="0" fontId="28" fillId="0" borderId="0" xfId="0" applyFont="1" applyAlignment="1">
      <alignment vertical="center"/>
    </xf>
    <xf numFmtId="0" fontId="28" fillId="0" borderId="0" xfId="0" applyFont="1" applyAlignment="1">
      <alignment horizontal="center" vertical="center"/>
    </xf>
    <xf numFmtId="0" fontId="7" fillId="0" borderId="8" xfId="0" applyFont="1" applyBorder="1"/>
    <xf numFmtId="0" fontId="0" fillId="0" borderId="39" xfId="0" applyBorder="1" applyAlignment="1">
      <alignment horizontal="center" vertical="center"/>
    </xf>
    <xf numFmtId="0" fontId="0" fillId="0" borderId="39" xfId="0" applyBorder="1" applyAlignment="1" applyProtection="1">
      <alignment horizontal="center" vertical="center"/>
      <protection locked="0"/>
    </xf>
    <xf numFmtId="0" fontId="0" fillId="0" borderId="39" xfId="0" applyBorder="1"/>
    <xf numFmtId="166" fontId="16" fillId="0" borderId="9" xfId="0" applyNumberFormat="1" applyFont="1" applyBorder="1"/>
    <xf numFmtId="0" fontId="7" fillId="6" borderId="47" xfId="0" applyFont="1" applyFill="1" applyBorder="1" applyAlignment="1">
      <alignment horizontal="center" vertical="center" wrapText="1"/>
    </xf>
    <xf numFmtId="0" fontId="7" fillId="6" borderId="47" xfId="0" applyFont="1" applyFill="1" applyBorder="1" applyAlignment="1">
      <alignment horizontal="center" vertical="center"/>
    </xf>
    <xf numFmtId="0" fontId="7" fillId="6" borderId="47" xfId="0" applyFont="1" applyFill="1" applyBorder="1" applyAlignment="1">
      <alignment horizontal="center" wrapText="1"/>
    </xf>
    <xf numFmtId="166" fontId="7" fillId="6" borderId="48" xfId="0" applyNumberFormat="1" applyFont="1" applyFill="1" applyBorder="1" applyAlignment="1">
      <alignment horizontal="center" vertical="center"/>
    </xf>
    <xf numFmtId="0" fontId="7" fillId="6" borderId="46" xfId="0" applyFont="1" applyFill="1" applyBorder="1" applyAlignment="1">
      <alignment vertical="center"/>
    </xf>
    <xf numFmtId="0" fontId="7" fillId="11" borderId="2" xfId="0" applyFont="1" applyFill="1" applyBorder="1"/>
    <xf numFmtId="0" fontId="7" fillId="11" borderId="3" xfId="0" applyFont="1" applyFill="1" applyBorder="1"/>
    <xf numFmtId="0" fontId="0" fillId="11" borderId="4" xfId="0" applyFill="1" applyBorder="1"/>
    <xf numFmtId="0" fontId="0" fillId="11" borderId="5" xfId="0" applyFill="1" applyBorder="1" applyAlignment="1">
      <alignment horizontal="center"/>
    </xf>
    <xf numFmtId="0" fontId="0" fillId="11" borderId="4" xfId="0" applyFill="1" applyBorder="1" applyAlignment="1">
      <alignment horizontal="left" indent="4"/>
    </xf>
    <xf numFmtId="0" fontId="0" fillId="11" borderId="6" xfId="0" applyFill="1" applyBorder="1"/>
    <xf numFmtId="0" fontId="0" fillId="11" borderId="7" xfId="0" applyFill="1" applyBorder="1" applyAlignment="1">
      <alignment horizontal="center"/>
    </xf>
    <xf numFmtId="0" fontId="7" fillId="7" borderId="0" xfId="0" applyFont="1" applyFill="1" applyAlignment="1">
      <alignment horizontal="left" wrapText="1" indent="2"/>
    </xf>
    <xf numFmtId="0" fontId="0" fillId="8" borderId="0" xfId="0" applyFill="1" applyAlignment="1">
      <alignment wrapText="1"/>
    </xf>
    <xf numFmtId="0" fontId="29" fillId="0" borderId="0" xfId="0" applyFont="1"/>
    <xf numFmtId="0" fontId="19" fillId="0" borderId="0" xfId="0" applyFont="1"/>
    <xf numFmtId="0" fontId="24" fillId="0" borderId="0" xfId="0" applyFont="1"/>
    <xf numFmtId="0" fontId="17" fillId="0" borderId="0" xfId="0" applyFont="1"/>
    <xf numFmtId="0" fontId="30" fillId="0" borderId="0" xfId="0" applyFont="1" applyAlignment="1">
      <alignment vertical="center" wrapText="1"/>
    </xf>
    <xf numFmtId="0" fontId="0" fillId="8" borderId="39" xfId="0" applyFill="1" applyBorder="1" applyAlignment="1">
      <alignment vertical="center" wrapText="1"/>
    </xf>
    <xf numFmtId="0" fontId="0" fillId="8" borderId="10" xfId="0" applyFill="1" applyBorder="1" applyAlignment="1">
      <alignment vertical="center" wrapText="1"/>
    </xf>
    <xf numFmtId="0" fontId="0" fillId="8" borderId="33" xfId="0" applyFill="1" applyBorder="1" applyAlignment="1">
      <alignment vertical="center" wrapText="1"/>
    </xf>
    <xf numFmtId="0" fontId="0" fillId="0" borderId="6" xfId="0" applyBorder="1" applyAlignment="1">
      <alignment horizontal="left" vertical="center" wrapText="1"/>
    </xf>
    <xf numFmtId="0" fontId="0" fillId="0" borderId="7" xfId="0" applyBorder="1" applyAlignment="1">
      <alignment vertical="center"/>
    </xf>
    <xf numFmtId="0" fontId="15" fillId="0" borderId="49" xfId="0" applyFont="1" applyBorder="1" applyAlignment="1">
      <alignment horizontal="left" vertical="center"/>
    </xf>
    <xf numFmtId="0" fontId="20" fillId="14" borderId="0" xfId="0" applyFont="1" applyFill="1" applyAlignment="1">
      <alignment vertical="center"/>
    </xf>
    <xf numFmtId="0" fontId="31" fillId="14" borderId="0" xfId="0" applyFont="1" applyFill="1" applyAlignment="1">
      <alignment horizontal="left" vertical="center" wrapText="1"/>
    </xf>
    <xf numFmtId="0" fontId="32" fillId="14" borderId="0" xfId="0" applyFont="1" applyFill="1" applyAlignment="1">
      <alignment vertical="center" wrapText="1"/>
    </xf>
    <xf numFmtId="0" fontId="32" fillId="14" borderId="0" xfId="0" applyFont="1" applyFill="1" applyAlignment="1">
      <alignment vertical="center"/>
    </xf>
    <xf numFmtId="0" fontId="20" fillId="14" borderId="0" xfId="0" applyFont="1" applyFill="1" applyAlignment="1">
      <alignment horizontal="left" vertical="center" wrapText="1"/>
    </xf>
    <xf numFmtId="0" fontId="20" fillId="14" borderId="0" xfId="0" applyFont="1" applyFill="1" applyAlignment="1">
      <alignment horizontal="center" vertical="center"/>
    </xf>
    <xf numFmtId="0" fontId="32" fillId="14" borderId="0" xfId="0" applyFont="1" applyFill="1" applyAlignment="1">
      <alignment horizontal="left" vertical="center"/>
    </xf>
    <xf numFmtId="0" fontId="0" fillId="8" borderId="6" xfId="0" applyFill="1" applyBorder="1" applyAlignment="1">
      <alignment horizontal="left" wrapText="1" indent="3"/>
    </xf>
    <xf numFmtId="0" fontId="0" fillId="10" borderId="12" xfId="0" applyFill="1" applyBorder="1" applyAlignment="1">
      <alignment horizontal="center" vertical="center" wrapText="1"/>
    </xf>
    <xf numFmtId="0" fontId="0" fillId="0" borderId="0" xfId="0" applyAlignment="1">
      <alignment horizontal="right" vertical="center"/>
    </xf>
    <xf numFmtId="0" fontId="0" fillId="14" borderId="0" xfId="0" applyFill="1" applyAlignment="1">
      <alignment vertical="center"/>
    </xf>
    <xf numFmtId="0" fontId="0" fillId="8" borderId="4" xfId="0" applyFill="1" applyBorder="1" applyAlignment="1">
      <alignment horizontal="left" vertical="center" wrapText="1" indent="3"/>
    </xf>
    <xf numFmtId="0" fontId="7" fillId="8" borderId="29" xfId="0" applyFont="1" applyFill="1" applyBorder="1" applyAlignment="1">
      <alignment horizontal="center" vertical="center" wrapText="1"/>
    </xf>
    <xf numFmtId="0" fontId="7" fillId="8" borderId="28" xfId="0" applyFont="1" applyFill="1" applyBorder="1" applyAlignment="1">
      <alignment horizontal="center" vertical="center" wrapText="1"/>
    </xf>
    <xf numFmtId="0" fontId="0" fillId="0" borderId="0" xfId="0" applyAlignment="1">
      <alignment horizontal="left" vertical="center"/>
    </xf>
    <xf numFmtId="0" fontId="20" fillId="0" borderId="0" xfId="0" applyFont="1"/>
    <xf numFmtId="0" fontId="34" fillId="0" borderId="15" xfId="3" applyFont="1" applyBorder="1" applyAlignment="1">
      <alignment vertical="center" wrapText="1"/>
    </xf>
    <xf numFmtId="167" fontId="0" fillId="0" borderId="0" xfId="4" applyNumberFormat="1" applyFont="1"/>
    <xf numFmtId="9" fontId="0" fillId="0" borderId="0" xfId="0" applyNumberFormat="1"/>
    <xf numFmtId="0" fontId="35" fillId="0" borderId="0" xfId="0" applyFont="1"/>
    <xf numFmtId="0" fontId="36" fillId="0" borderId="0" xfId="0" applyFont="1" applyAlignment="1">
      <alignment vertical="center"/>
    </xf>
    <xf numFmtId="0" fontId="36" fillId="0" borderId="0" xfId="0" applyFont="1" applyAlignment="1">
      <alignment horizontal="right" vertical="center"/>
    </xf>
    <xf numFmtId="0" fontId="0" fillId="9" borderId="4" xfId="0" applyFill="1" applyBorder="1" applyAlignment="1">
      <alignment horizontal="left" vertical="center" wrapText="1"/>
    </xf>
    <xf numFmtId="0" fontId="0" fillId="9" borderId="20" xfId="0" applyFill="1" applyBorder="1" applyAlignment="1">
      <alignment horizontal="left" vertical="center"/>
    </xf>
    <xf numFmtId="0" fontId="17" fillId="0" borderId="0" xfId="0" applyFont="1" applyAlignment="1">
      <alignment horizontal="center" vertical="center"/>
    </xf>
    <xf numFmtId="0" fontId="7" fillId="8" borderId="35" xfId="0" applyFont="1" applyFill="1" applyBorder="1" applyAlignment="1">
      <alignment horizontal="center" vertical="center"/>
    </xf>
    <xf numFmtId="0" fontId="7" fillId="8" borderId="36" xfId="0" applyFont="1" applyFill="1" applyBorder="1" applyAlignment="1">
      <alignment horizontal="center" vertical="center"/>
    </xf>
    <xf numFmtId="0" fontId="7" fillId="8" borderId="37" xfId="0" applyFont="1" applyFill="1" applyBorder="1" applyAlignment="1">
      <alignment horizontal="center" vertical="center"/>
    </xf>
    <xf numFmtId="0" fontId="33" fillId="0" borderId="0" xfId="0" applyFont="1" applyAlignment="1">
      <alignment horizontal="left" vertical="center" wrapText="1"/>
    </xf>
    <xf numFmtId="0" fontId="7" fillId="8" borderId="41" xfId="0" applyFont="1" applyFill="1" applyBorder="1" applyAlignment="1">
      <alignment horizontal="center" vertical="center" wrapText="1"/>
    </xf>
    <xf numFmtId="0" fontId="7" fillId="8" borderId="43" xfId="0" applyFont="1" applyFill="1" applyBorder="1" applyAlignment="1">
      <alignment horizontal="center" vertical="center" wrapText="1"/>
    </xf>
    <xf numFmtId="0" fontId="7" fillId="8" borderId="42" xfId="0" applyFont="1" applyFill="1" applyBorder="1" applyAlignment="1">
      <alignment horizontal="center" vertical="center" wrapText="1"/>
    </xf>
    <xf numFmtId="0" fontId="7" fillId="8" borderId="44" xfId="0" applyFont="1" applyFill="1" applyBorder="1" applyAlignment="1">
      <alignment horizontal="center" vertical="center" wrapText="1"/>
    </xf>
    <xf numFmtId="0" fontId="33" fillId="0" borderId="50" xfId="0" applyFont="1" applyBorder="1" applyAlignment="1">
      <alignment horizontal="left" vertical="center" wrapText="1"/>
    </xf>
  </cellXfs>
  <cellStyles count="5">
    <cellStyle name="Hyperlink" xfId="3" builtinId="8"/>
    <cellStyle name="Normal" xfId="0" builtinId="0"/>
    <cellStyle name="Normal 2" xfId="1" xr:uid="{A13E6D5E-448E-474F-92A0-55E9ABE91336}"/>
    <cellStyle name="Percent" xfId="4" builtinId="5"/>
    <cellStyle name="Percent 2" xfId="2" xr:uid="{A08EB121-0C7F-4989-9E6D-EED62541F954}"/>
  </cellStyles>
  <dxfs count="15">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strike val="0"/>
        <outline val="0"/>
        <shadow val="0"/>
        <u val="none"/>
        <vertAlign val="baseline"/>
        <sz val="10"/>
        <color theme="3" tint="-0.249977111117893"/>
        <name val="Arial"/>
        <scheme val="none"/>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0"/>
        <color theme="3" tint="-0.249977111117893"/>
        <name val="Arial"/>
        <family val="2"/>
        <scheme val="none"/>
      </font>
      <numFmt numFmtId="4" formatCode="#,##0.00"/>
      <alignment horizontal="general" vertical="bottom" textRotation="0" wrapText="0" indent="0" justifyLastLine="0" shrinkToFit="0" readingOrder="0"/>
    </dxf>
    <dxf>
      <font>
        <color theme="3" tint="-0.249977111117893"/>
      </font>
      <numFmt numFmtId="4" formatCode="#,##0.00"/>
      <fill>
        <patternFill patternType="none">
          <fgColor indexed="64"/>
          <bgColor indexed="65"/>
        </patternFill>
      </fill>
      <alignment horizontal="general" vertical="bottom" textRotation="0" wrapText="0" indent="0" justifyLastLine="0" shrinkToFit="0" readingOrder="0"/>
    </dxf>
    <dxf>
      <alignment horizontal="center" vertical="bottom" textRotation="0" wrapText="0" indent="0" justifyLastLine="0" shrinkToFit="0" readingOrder="0"/>
    </dxf>
    <dxf>
      <alignment vertical="bottom" textRotation="0" wrapText="1"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font>
        <b/>
        <i val="0"/>
        <strike val="0"/>
        <condense val="0"/>
        <extend val="0"/>
        <outline val="0"/>
        <shadow val="0"/>
        <u val="none"/>
        <vertAlign val="baseline"/>
        <sz val="10"/>
        <color theme="1"/>
        <name val="Arial"/>
        <scheme val="none"/>
      </font>
      <fill>
        <patternFill patternType="solid">
          <fgColor indexed="64"/>
          <bgColor theme="6" tint="-0.249977111117893"/>
        </patternFill>
      </fill>
      <alignment horizontal="left" vertical="bottom" textRotation="0" wrapText="0" indent="0" justifyLastLine="0" shrinkToFit="0" readingOrder="0"/>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85725</xdr:rowOff>
    </xdr:from>
    <xdr:to>
      <xdr:col>3</xdr:col>
      <xdr:colOff>152717</xdr:colOff>
      <xdr:row>1</xdr:row>
      <xdr:rowOff>1469574</xdr:rowOff>
    </xdr:to>
    <xdr:pic>
      <xdr:nvPicPr>
        <xdr:cNvPr id="5" name="Picture 4">
          <a:extLst>
            <a:ext uri="{FF2B5EF4-FFF2-40B4-BE49-F238E27FC236}">
              <a16:creationId xmlns:a16="http://schemas.microsoft.com/office/drawing/2014/main" id="{2DB4763A-989F-52BD-2F7C-8FF5E7AFA4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66700"/>
          <a:ext cx="5732157" cy="13716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388620</xdr:colOff>
      <xdr:row>28</xdr:row>
      <xdr:rowOff>68580</xdr:rowOff>
    </xdr:from>
    <xdr:to>
      <xdr:col>1</xdr:col>
      <xdr:colOff>1714615</xdr:colOff>
      <xdr:row>28</xdr:row>
      <xdr:rowOff>1315101</xdr:rowOff>
    </xdr:to>
    <xdr:pic>
      <xdr:nvPicPr>
        <xdr:cNvPr id="2" name="Picture 1">
          <a:extLst>
            <a:ext uri="{FF2B5EF4-FFF2-40B4-BE49-F238E27FC236}">
              <a16:creationId xmlns:a16="http://schemas.microsoft.com/office/drawing/2014/main" id="{31EB1F9E-E3B0-5F13-ED5B-01FCC5F5DD45}"/>
            </a:ext>
          </a:extLst>
        </xdr:cNvPr>
        <xdr:cNvPicPr>
          <a:picLocks noChangeAspect="1"/>
        </xdr:cNvPicPr>
      </xdr:nvPicPr>
      <xdr:blipFill>
        <a:blip xmlns:r="http://schemas.openxmlformats.org/officeDocument/2006/relationships" r:embed="rId1"/>
        <a:stretch>
          <a:fillRect/>
        </a:stretch>
      </xdr:blipFill>
      <xdr:spPr>
        <a:xfrm>
          <a:off x="998220" y="6156960"/>
          <a:ext cx="1325995" cy="1249788"/>
        </a:xfrm>
        <a:prstGeom prst="rect">
          <a:avLst/>
        </a:prstGeom>
      </xdr:spPr>
    </xdr:pic>
    <xdr:clientData/>
  </xdr:twoCellAnchor>
  <xdr:oneCellAnchor>
    <xdr:from>
      <xdr:col>1</xdr:col>
      <xdr:colOff>1005840</xdr:colOff>
      <xdr:row>28</xdr:row>
      <xdr:rowOff>99060</xdr:rowOff>
    </xdr:from>
    <xdr:ext cx="3420488" cy="264560"/>
    <xdr:sp macro="" textlink="">
      <xdr:nvSpPr>
        <xdr:cNvPr id="3" name="TextBox 2">
          <a:extLst>
            <a:ext uri="{FF2B5EF4-FFF2-40B4-BE49-F238E27FC236}">
              <a16:creationId xmlns:a16="http://schemas.microsoft.com/office/drawing/2014/main" id="{7A9CDF45-52FC-87FE-DD65-BC0AAACA4FC8}"/>
            </a:ext>
          </a:extLst>
        </xdr:cNvPr>
        <xdr:cNvSpPr txBox="1"/>
      </xdr:nvSpPr>
      <xdr:spPr>
        <a:xfrm>
          <a:off x="1615440" y="6187440"/>
          <a:ext cx="3420488"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Click on "1"</a:t>
          </a:r>
          <a:r>
            <a:rPr lang="en-GB" sz="1100" baseline="0"/>
            <a:t> to view only headings or "2" to view all rows</a:t>
          </a:r>
          <a:endParaRPr lang="en-GB" sz="1100"/>
        </a:p>
      </xdr:txBody>
    </xdr:sp>
    <xdr:clientData/>
  </xdr:oneCellAnchor>
  <xdr:twoCellAnchor>
    <xdr:from>
      <xdr:col>1</xdr:col>
      <xdr:colOff>441960</xdr:colOff>
      <xdr:row>28</xdr:row>
      <xdr:rowOff>129540</xdr:rowOff>
    </xdr:from>
    <xdr:to>
      <xdr:col>1</xdr:col>
      <xdr:colOff>1181100</xdr:colOff>
      <xdr:row>28</xdr:row>
      <xdr:rowOff>426720</xdr:rowOff>
    </xdr:to>
    <xdr:cxnSp macro="">
      <xdr:nvCxnSpPr>
        <xdr:cNvPr id="5" name="Straight Arrow Connector 4">
          <a:extLst>
            <a:ext uri="{FF2B5EF4-FFF2-40B4-BE49-F238E27FC236}">
              <a16:creationId xmlns:a16="http://schemas.microsoft.com/office/drawing/2014/main" id="{57687591-F7E0-41FF-803D-873534563845}"/>
            </a:ext>
          </a:extLst>
        </xdr:cNvPr>
        <xdr:cNvCxnSpPr/>
      </xdr:nvCxnSpPr>
      <xdr:spPr>
        <a:xfrm flipH="1">
          <a:off x="1051560" y="6217920"/>
          <a:ext cx="739140" cy="297180"/>
        </a:xfrm>
        <a:prstGeom prst="straightConnector1">
          <a:avLst/>
        </a:prstGeom>
        <a:ln>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670560</xdr:colOff>
      <xdr:row>28</xdr:row>
      <xdr:rowOff>198120</xdr:rowOff>
    </xdr:from>
    <xdr:to>
      <xdr:col>1</xdr:col>
      <xdr:colOff>998220</xdr:colOff>
      <xdr:row>28</xdr:row>
      <xdr:rowOff>457200</xdr:rowOff>
    </xdr:to>
    <xdr:cxnSp macro="">
      <xdr:nvCxnSpPr>
        <xdr:cNvPr id="6" name="Straight Arrow Connector 5">
          <a:extLst>
            <a:ext uri="{FF2B5EF4-FFF2-40B4-BE49-F238E27FC236}">
              <a16:creationId xmlns:a16="http://schemas.microsoft.com/office/drawing/2014/main" id="{E5A3C1C3-F996-495E-9F71-ACB5D5EA6FC3}"/>
            </a:ext>
          </a:extLst>
        </xdr:cNvPr>
        <xdr:cNvCxnSpPr/>
      </xdr:nvCxnSpPr>
      <xdr:spPr>
        <a:xfrm flipH="1">
          <a:off x="1280160" y="6286500"/>
          <a:ext cx="327660" cy="259080"/>
        </a:xfrm>
        <a:prstGeom prst="straightConnector1">
          <a:avLst/>
        </a:prstGeom>
        <a:ln>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5295900</xdr:colOff>
      <xdr:row>28</xdr:row>
      <xdr:rowOff>76200</xdr:rowOff>
    </xdr:from>
    <xdr:to>
      <xdr:col>1</xdr:col>
      <xdr:colOff>11240015</xdr:colOff>
      <xdr:row>28</xdr:row>
      <xdr:rowOff>1451186</xdr:rowOff>
    </xdr:to>
    <xdr:pic>
      <xdr:nvPicPr>
        <xdr:cNvPr id="8" name="Picture 7">
          <a:extLst>
            <a:ext uri="{FF2B5EF4-FFF2-40B4-BE49-F238E27FC236}">
              <a16:creationId xmlns:a16="http://schemas.microsoft.com/office/drawing/2014/main" id="{691E6C88-BB4C-89CB-B600-715ECEF94217}"/>
            </a:ext>
          </a:extLst>
        </xdr:cNvPr>
        <xdr:cNvPicPr>
          <a:picLocks noChangeAspect="1"/>
        </xdr:cNvPicPr>
      </xdr:nvPicPr>
      <xdr:blipFill>
        <a:blip xmlns:r="http://schemas.openxmlformats.org/officeDocument/2006/relationships" r:embed="rId2"/>
        <a:stretch>
          <a:fillRect/>
        </a:stretch>
      </xdr:blipFill>
      <xdr:spPr>
        <a:xfrm>
          <a:off x="5905500" y="6164580"/>
          <a:ext cx="5944115" cy="1379340"/>
        </a:xfrm>
        <a:prstGeom prst="rect">
          <a:avLst/>
        </a:prstGeom>
      </xdr:spPr>
    </xdr:pic>
    <xdr:clientData/>
  </xdr:twoCellAnchor>
  <xdr:oneCellAnchor>
    <xdr:from>
      <xdr:col>1</xdr:col>
      <xdr:colOff>2225040</xdr:colOff>
      <xdr:row>28</xdr:row>
      <xdr:rowOff>579120</xdr:rowOff>
    </xdr:from>
    <xdr:ext cx="2438400" cy="436786"/>
    <xdr:sp macro="" textlink="">
      <xdr:nvSpPr>
        <xdr:cNvPr id="9" name="TextBox 8">
          <a:extLst>
            <a:ext uri="{FF2B5EF4-FFF2-40B4-BE49-F238E27FC236}">
              <a16:creationId xmlns:a16="http://schemas.microsoft.com/office/drawing/2014/main" id="{3A892F46-8ADF-4BA3-8AB6-C5DCF2257680}"/>
            </a:ext>
          </a:extLst>
        </xdr:cNvPr>
        <xdr:cNvSpPr txBox="1"/>
      </xdr:nvSpPr>
      <xdr:spPr>
        <a:xfrm>
          <a:off x="2834640" y="6667500"/>
          <a:ext cx="2438400"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100"/>
            <a:t>Click on "+" or "-" signs to expand or collapse individual groups</a:t>
          </a:r>
          <a:r>
            <a:rPr lang="en-GB" sz="1100" baseline="0"/>
            <a:t> of rows</a:t>
          </a:r>
          <a:endParaRPr lang="en-GB" sz="1100"/>
        </a:p>
      </xdr:txBody>
    </xdr:sp>
    <xdr:clientData/>
  </xdr:oneCellAnchor>
  <xdr:twoCellAnchor>
    <xdr:from>
      <xdr:col>1</xdr:col>
      <xdr:colOff>4663440</xdr:colOff>
      <xdr:row>28</xdr:row>
      <xdr:rowOff>266700</xdr:rowOff>
    </xdr:from>
    <xdr:to>
      <xdr:col>1</xdr:col>
      <xdr:colOff>5273040</xdr:colOff>
      <xdr:row>28</xdr:row>
      <xdr:rowOff>797513</xdr:rowOff>
    </xdr:to>
    <xdr:cxnSp macro="">
      <xdr:nvCxnSpPr>
        <xdr:cNvPr id="11" name="Straight Arrow Connector 10">
          <a:extLst>
            <a:ext uri="{FF2B5EF4-FFF2-40B4-BE49-F238E27FC236}">
              <a16:creationId xmlns:a16="http://schemas.microsoft.com/office/drawing/2014/main" id="{8C5F049B-9633-2084-005D-B5139ADCF73D}"/>
            </a:ext>
          </a:extLst>
        </xdr:cNvPr>
        <xdr:cNvCxnSpPr>
          <a:stCxn id="9" idx="3"/>
        </xdr:cNvCxnSpPr>
      </xdr:nvCxnSpPr>
      <xdr:spPr>
        <a:xfrm flipV="1">
          <a:off x="5273040" y="6355080"/>
          <a:ext cx="609600" cy="5308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4663440</xdr:colOff>
      <xdr:row>28</xdr:row>
      <xdr:rowOff>797513</xdr:rowOff>
    </xdr:from>
    <xdr:to>
      <xdr:col>1</xdr:col>
      <xdr:colOff>5303520</xdr:colOff>
      <xdr:row>28</xdr:row>
      <xdr:rowOff>1325880</xdr:rowOff>
    </xdr:to>
    <xdr:cxnSp macro="">
      <xdr:nvCxnSpPr>
        <xdr:cNvPr id="12" name="Straight Arrow Connector 11">
          <a:extLst>
            <a:ext uri="{FF2B5EF4-FFF2-40B4-BE49-F238E27FC236}">
              <a16:creationId xmlns:a16="http://schemas.microsoft.com/office/drawing/2014/main" id="{F6B861F8-85DD-4A16-97BF-5B5F27093A50}"/>
            </a:ext>
          </a:extLst>
        </xdr:cNvPr>
        <xdr:cNvCxnSpPr>
          <a:stCxn id="9" idx="3"/>
        </xdr:cNvCxnSpPr>
      </xdr:nvCxnSpPr>
      <xdr:spPr>
        <a:xfrm>
          <a:off x="5273040" y="6885893"/>
          <a:ext cx="640080" cy="52836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1</xdr:row>
      <xdr:rowOff>0</xdr:rowOff>
    </xdr:from>
    <xdr:to>
      <xdr:col>1</xdr:col>
      <xdr:colOff>5730252</xdr:colOff>
      <xdr:row>2</xdr:row>
      <xdr:rowOff>129543</xdr:rowOff>
    </xdr:to>
    <xdr:pic>
      <xdr:nvPicPr>
        <xdr:cNvPr id="10" name="Picture 9">
          <a:extLst>
            <a:ext uri="{FF2B5EF4-FFF2-40B4-BE49-F238E27FC236}">
              <a16:creationId xmlns:a16="http://schemas.microsoft.com/office/drawing/2014/main" id="{45A31068-6C34-64CE-A394-4C4D9FD2FB5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118" y="179294"/>
          <a:ext cx="5730252" cy="13716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26893</xdr:colOff>
      <xdr:row>0</xdr:row>
      <xdr:rowOff>152400</xdr:rowOff>
    </xdr:from>
    <xdr:to>
      <xdr:col>2</xdr:col>
      <xdr:colOff>1028375</xdr:colOff>
      <xdr:row>8</xdr:row>
      <xdr:rowOff>41577</xdr:rowOff>
    </xdr:to>
    <xdr:pic>
      <xdr:nvPicPr>
        <xdr:cNvPr id="4" name="Picture 1">
          <a:extLst>
            <a:ext uri="{FF2B5EF4-FFF2-40B4-BE49-F238E27FC236}">
              <a16:creationId xmlns:a16="http://schemas.microsoft.com/office/drawing/2014/main" id="{E2F7A95E-C780-4E9A-B860-593CF10F29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6493" y="152400"/>
          <a:ext cx="5725882" cy="13522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556707</xdr:colOff>
      <xdr:row>1</xdr:row>
      <xdr:rowOff>43927</xdr:rowOff>
    </xdr:from>
    <xdr:to>
      <xdr:col>2</xdr:col>
      <xdr:colOff>1512794</xdr:colOff>
      <xdr:row>8</xdr:row>
      <xdr:rowOff>143263</xdr:rowOff>
    </xdr:to>
    <xdr:pic>
      <xdr:nvPicPr>
        <xdr:cNvPr id="4" name="Picture 1">
          <a:extLst>
            <a:ext uri="{FF2B5EF4-FFF2-40B4-BE49-F238E27FC236}">
              <a16:creationId xmlns:a16="http://schemas.microsoft.com/office/drawing/2014/main" id="{5EFBB8C2-60E2-499C-A1B9-32B13491D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6707" y="234427"/>
          <a:ext cx="5696175" cy="14328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6134101</xdr:colOff>
      <xdr:row>0</xdr:row>
      <xdr:rowOff>0</xdr:rowOff>
    </xdr:from>
    <xdr:to>
      <xdr:col>1</xdr:col>
      <xdr:colOff>9699172</xdr:colOff>
      <xdr:row>3</xdr:row>
      <xdr:rowOff>2741</xdr:rowOff>
    </xdr:to>
    <xdr:pic>
      <xdr:nvPicPr>
        <xdr:cNvPr id="2" name="Picture 1">
          <a:extLst>
            <a:ext uri="{FF2B5EF4-FFF2-40B4-BE49-F238E27FC236}">
              <a16:creationId xmlns:a16="http://schemas.microsoft.com/office/drawing/2014/main" id="{DC0FDCA3-2C18-4961-B7BC-D3EFDDF89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35701" y="0"/>
          <a:ext cx="3565071" cy="8790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554367</xdr:colOff>
      <xdr:row>8</xdr:row>
      <xdr:rowOff>93348</xdr:rowOff>
    </xdr:to>
    <xdr:pic>
      <xdr:nvPicPr>
        <xdr:cNvPr id="2" name="Picture 1">
          <a:extLst>
            <a:ext uri="{FF2B5EF4-FFF2-40B4-BE49-F238E27FC236}">
              <a16:creationId xmlns:a16="http://schemas.microsoft.com/office/drawing/2014/main" id="{907DAFA9-E98C-4CB4-88EB-EDEF660C31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82880"/>
          <a:ext cx="5724537" cy="13773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284117</xdr:colOff>
      <xdr:row>0</xdr:row>
      <xdr:rowOff>1</xdr:rowOff>
    </xdr:from>
    <xdr:to>
      <xdr:col>21</xdr:col>
      <xdr:colOff>498000</xdr:colOff>
      <xdr:row>29</xdr:row>
      <xdr:rowOff>72935</xdr:rowOff>
    </xdr:to>
    <xdr:pic>
      <xdr:nvPicPr>
        <xdr:cNvPr id="3" name="Picture 2">
          <a:extLst>
            <a:ext uri="{FF2B5EF4-FFF2-40B4-BE49-F238E27FC236}">
              <a16:creationId xmlns:a16="http://schemas.microsoft.com/office/drawing/2014/main" id="{D2EB47D0-AA61-FD9F-BFCE-93932FC4B83B}"/>
            </a:ext>
          </a:extLst>
        </xdr:cNvPr>
        <xdr:cNvPicPr>
          <a:picLocks noChangeAspect="1"/>
        </xdr:cNvPicPr>
      </xdr:nvPicPr>
      <xdr:blipFill>
        <a:blip xmlns:r="http://schemas.openxmlformats.org/officeDocument/2006/relationships" r:embed="rId1"/>
        <a:stretch>
          <a:fillRect/>
        </a:stretch>
      </xdr:blipFill>
      <xdr:spPr>
        <a:xfrm>
          <a:off x="9428117" y="1"/>
          <a:ext cx="3873660" cy="5437414"/>
        </a:xfrm>
        <a:prstGeom prst="rect">
          <a:avLst/>
        </a:prstGeom>
      </xdr:spPr>
    </xdr:pic>
    <xdr:clientData/>
  </xdr:twoCellAnchor>
  <xdr:twoCellAnchor editAs="oneCell">
    <xdr:from>
      <xdr:col>21</xdr:col>
      <xdr:colOff>556261</xdr:colOff>
      <xdr:row>0</xdr:row>
      <xdr:rowOff>0</xdr:rowOff>
    </xdr:from>
    <xdr:to>
      <xdr:col>28</xdr:col>
      <xdr:colOff>193422</xdr:colOff>
      <xdr:row>30</xdr:row>
      <xdr:rowOff>17964</xdr:rowOff>
    </xdr:to>
    <xdr:pic>
      <xdr:nvPicPr>
        <xdr:cNvPr id="4" name="Picture 3">
          <a:extLst>
            <a:ext uri="{FF2B5EF4-FFF2-40B4-BE49-F238E27FC236}">
              <a16:creationId xmlns:a16="http://schemas.microsoft.com/office/drawing/2014/main" id="{509DD976-7BDD-52C6-3A72-77203F118494}"/>
            </a:ext>
          </a:extLst>
        </xdr:cNvPr>
        <xdr:cNvPicPr>
          <a:picLocks noChangeAspect="1"/>
        </xdr:cNvPicPr>
      </xdr:nvPicPr>
      <xdr:blipFill>
        <a:blip xmlns:r="http://schemas.openxmlformats.org/officeDocument/2006/relationships" r:embed="rId2"/>
        <a:stretch>
          <a:fillRect/>
        </a:stretch>
      </xdr:blipFill>
      <xdr:spPr>
        <a:xfrm>
          <a:off x="13357861" y="0"/>
          <a:ext cx="3908715" cy="556641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48244F-2110-4FD5-9171-7A99E64B9728}" name="Rates" displayName="Rates" ref="A5:H110" totalsRowShown="0" headerRowDxfId="14">
  <autoFilter ref="A5:H110" xr:uid="{00000000-000C-0000-FFFF-FFFF03000000}"/>
  <sortState xmlns:xlrd2="http://schemas.microsoft.com/office/spreadsheetml/2017/richdata2" ref="A6:H110">
    <sortCondition ref="B5:B110"/>
  </sortState>
  <tableColumns count="8">
    <tableColumn id="1" xr3:uid="{3983159B-C4C0-489F-8917-DDB1D31FA76B}" name="Item" dataDxfId="13"/>
    <tableColumn id="2" xr3:uid="{A108063A-DDED-44E5-B1FB-E9C52CE57882}" name="Section" dataDxfId="12"/>
    <tableColumn id="3" xr3:uid="{387E9EB7-8FE7-46E5-A06C-DCCB1F6737C1}" name="Subsection" dataDxfId="11"/>
    <tableColumn id="4" xr3:uid="{1413429A-285F-4BAC-BB77-A5BA3C76412A}" name="Work_Item" dataDxfId="10"/>
    <tableColumn id="5" xr3:uid="{F6B15E89-F7C8-4FCF-ABF6-DC258620E6A9}" name="Unit" dataDxfId="9"/>
    <tableColumn id="7" xr3:uid="{E7DBBE4F-555B-458D-8F81-14DD4DFB3B5C}" name="Column1" dataDxfId="8"/>
    <tableColumn id="8" xr3:uid="{C2673021-AEDE-4358-881C-ACF296C62D21}" name="BASE" dataDxfId="7" dataCellStyle="Normal 2">
      <calculatedColumnFormula>Rates[[#This Row],[Column1]]*(1+$G$3)*$G$2</calculatedColumnFormula>
    </tableColumn>
    <tableColumn id="6" xr3:uid="{D024AB3C-653D-482C-85F1-C20CB0D75031}" name="FY3" dataDxfId="6" dataCellStyle="Normal 2">
      <calculatedColumnFormula>+Rates[[#This Row],[BASE]]*(1+$H$3)</calculatedColumnFormula>
    </tableColumn>
  </tableColumns>
  <tableStyleInfo name="TableStyleLight1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sagc.org.za/" TargetMode="External"/><Relationship Id="rId7" Type="http://schemas.openxmlformats.org/officeDocument/2006/relationships/printerSettings" Target="../printerSettings/printerSettings3.bin"/><Relationship Id="rId2" Type="http://schemas.openxmlformats.org/officeDocument/2006/relationships/hyperlink" Target="https://www.ilasa.co.za/" TargetMode="External"/><Relationship Id="rId1" Type="http://schemas.openxmlformats.org/officeDocument/2006/relationships/hyperlink" Target="https://www.asaqs.co.za/" TargetMode="External"/><Relationship Id="rId6" Type="http://schemas.openxmlformats.org/officeDocument/2006/relationships/hyperlink" Target="https://www.sacnasp.org.za/" TargetMode="External"/><Relationship Id="rId5" Type="http://schemas.openxmlformats.org/officeDocument/2006/relationships/hyperlink" Target="https://eapasa.org/" TargetMode="External"/><Relationship Id="rId4" Type="http://schemas.openxmlformats.org/officeDocument/2006/relationships/hyperlink" Target="https://www.ecsa.co.za/" TargetMode="External"/><Relationship Id="rId9"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statssa.gov.za/?page_id=1859" TargetMode="External"/><Relationship Id="rId7" Type="http://schemas.openxmlformats.org/officeDocument/2006/relationships/printerSettings" Target="../printerSettings/printerSettings4.bin"/><Relationship Id="rId2" Type="http://schemas.openxmlformats.org/officeDocument/2006/relationships/hyperlink" Target="https://www.statssa.gov.za/?page_id=1859" TargetMode="External"/><Relationship Id="rId1" Type="http://schemas.openxmlformats.org/officeDocument/2006/relationships/hyperlink" Target="https://www.statssa.gov.za/?page_id=1859" TargetMode="External"/><Relationship Id="rId6" Type="http://schemas.openxmlformats.org/officeDocument/2006/relationships/hyperlink" Target="mailto:j.matambo@mweb.co.za" TargetMode="External"/><Relationship Id="rId5" Type="http://schemas.openxmlformats.org/officeDocument/2006/relationships/hyperlink" Target="mailto:crystal_clear@info.net" TargetMode="External"/><Relationship Id="rId4" Type="http://schemas.openxmlformats.org/officeDocument/2006/relationships/hyperlink" Target="https://aa.co.za/fuel-pricing/" TargetMode="External"/><Relationship Id="rId9"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statssa.gov.za/?page_id=1859" TargetMode="External"/><Relationship Id="rId2" Type="http://schemas.openxmlformats.org/officeDocument/2006/relationships/hyperlink" Target="https://aa.co.za/fuel-pricing/" TargetMode="External"/><Relationship Id="rId1" Type="http://schemas.openxmlformats.org/officeDocument/2006/relationships/hyperlink" Target="https://www.statssa.gov.za/?page_id=1859" TargetMode="External"/><Relationship Id="rId5" Type="http://schemas.openxmlformats.org/officeDocument/2006/relationships/drawing" Target="../drawings/drawing7.xml"/><Relationship Id="rId4" Type="http://schemas.openxmlformats.org/officeDocument/2006/relationships/hyperlink" Target="https://www.statssa.gov.za/?page_id=185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DD600-D401-466E-80EC-CB9162E9A62B}">
  <sheetPr>
    <pageSetUpPr fitToPage="1"/>
  </sheetPr>
  <dimension ref="B2:S83"/>
  <sheetViews>
    <sheetView showGridLines="0" showRuler="0" zoomScale="50" zoomScaleNormal="50" workbookViewId="0">
      <selection activeCell="F27" sqref="F27"/>
    </sheetView>
  </sheetViews>
  <sheetFormatPr defaultColWidth="8.85546875" defaultRowHeight="15"/>
  <cols>
    <col min="2" max="2" width="60.42578125" customWidth="1"/>
    <col min="3" max="3" width="21.42578125" style="34" customWidth="1"/>
    <col min="5" max="5" width="17.140625" customWidth="1"/>
    <col min="8" max="8" width="60.85546875" customWidth="1"/>
    <col min="9" max="9" width="22.85546875" customWidth="1"/>
    <col min="10" max="10" width="12.42578125" customWidth="1"/>
  </cols>
  <sheetData>
    <row r="2" spans="2:19" ht="135.6" customHeight="1">
      <c r="B2" s="233"/>
      <c r="C2" s="233"/>
      <c r="D2" s="233"/>
      <c r="E2" s="228" t="s">
        <v>462</v>
      </c>
    </row>
    <row r="4" spans="2:19" ht="26.25">
      <c r="B4" s="201" t="s">
        <v>423</v>
      </c>
    </row>
    <row r="5" spans="2:19" ht="23.25">
      <c r="B5" s="85"/>
    </row>
    <row r="6" spans="2:19" ht="19.5" thickBot="1">
      <c r="B6" s="200" t="s">
        <v>473</v>
      </c>
      <c r="H6" s="200" t="s">
        <v>474</v>
      </c>
    </row>
    <row r="7" spans="2:19" s="23" customFormat="1" ht="30.75" thickTop="1">
      <c r="B7" s="110" t="s">
        <v>242</v>
      </c>
      <c r="C7" s="94" t="s">
        <v>224</v>
      </c>
      <c r="D7" s="95"/>
      <c r="H7" s="110" t="s">
        <v>429</v>
      </c>
      <c r="I7" s="94" t="s">
        <v>224</v>
      </c>
      <c r="S7" s="96" t="s">
        <v>248</v>
      </c>
    </row>
    <row r="8" spans="2:19" s="23" customFormat="1" ht="30">
      <c r="B8" s="113" t="s">
        <v>292</v>
      </c>
      <c r="C8" s="109"/>
      <c r="D8" s="97"/>
      <c r="E8" s="202" t="str">
        <f>+IF(C8="","*Required","")</f>
        <v>*Required</v>
      </c>
      <c r="H8" s="113" t="s">
        <v>463</v>
      </c>
      <c r="I8" s="109"/>
      <c r="J8" s="202" t="str">
        <f>+IF(I8="","*Required","")</f>
        <v>*Required</v>
      </c>
      <c r="S8" s="96" t="s">
        <v>249</v>
      </c>
    </row>
    <row r="9" spans="2:19" s="23" customFormat="1">
      <c r="B9" s="86"/>
      <c r="C9" s="98"/>
      <c r="D9" s="97"/>
      <c r="H9" s="86"/>
      <c r="I9" s="98"/>
    </row>
    <row r="10" spans="2:19" s="23" customFormat="1" ht="30">
      <c r="B10" s="111" t="s">
        <v>243</v>
      </c>
      <c r="C10" s="98" t="s">
        <v>224</v>
      </c>
      <c r="D10" s="97"/>
      <c r="H10" s="111" t="s">
        <v>435</v>
      </c>
      <c r="I10" s="98" t="s">
        <v>224</v>
      </c>
    </row>
    <row r="11" spans="2:19" s="23" customFormat="1" ht="30">
      <c r="B11" s="113" t="s">
        <v>293</v>
      </c>
      <c r="C11" s="109"/>
      <c r="D11" s="97"/>
      <c r="E11" s="202" t="str">
        <f>+IF(C11="","*Required","")</f>
        <v>*Required</v>
      </c>
      <c r="H11" s="113" t="s">
        <v>464</v>
      </c>
      <c r="I11" s="109"/>
      <c r="J11" s="202" t="str">
        <f>+IF(I11="","*Required","")</f>
        <v>*Required</v>
      </c>
    </row>
    <row r="12" spans="2:19" s="23" customFormat="1">
      <c r="B12" s="86"/>
      <c r="C12" s="98"/>
      <c r="D12" s="97"/>
      <c r="H12" s="86"/>
      <c r="I12" s="98"/>
    </row>
    <row r="13" spans="2:19" s="23" customFormat="1" ht="30">
      <c r="B13" s="111" t="s">
        <v>244</v>
      </c>
      <c r="C13" s="98" t="s">
        <v>224</v>
      </c>
      <c r="D13" s="97"/>
      <c r="H13" s="111" t="s">
        <v>430</v>
      </c>
      <c r="I13" s="98" t="s">
        <v>224</v>
      </c>
    </row>
    <row r="14" spans="2:19" s="23" customFormat="1" ht="45.75" thickBot="1">
      <c r="B14" s="113" t="s">
        <v>434</v>
      </c>
      <c r="C14" s="109"/>
      <c r="D14" s="97"/>
      <c r="E14" s="202" t="str">
        <f>+IF(C14="","*Required","")</f>
        <v>*Required</v>
      </c>
      <c r="H14" s="216" t="s">
        <v>465</v>
      </c>
      <c r="I14" s="217"/>
      <c r="J14" s="202" t="str">
        <f>+IF(I14="","*Required","")</f>
        <v>*Required</v>
      </c>
      <c r="Q14" s="199"/>
    </row>
    <row r="15" spans="2:19" s="23" customFormat="1" ht="15.75" thickTop="1">
      <c r="B15" s="86"/>
      <c r="C15" s="98"/>
      <c r="D15" s="97"/>
    </row>
    <row r="16" spans="2:19" s="23" customFormat="1" ht="30">
      <c r="B16" s="111" t="s">
        <v>245</v>
      </c>
      <c r="C16" s="98" t="s">
        <v>224</v>
      </c>
      <c r="D16" s="97"/>
      <c r="I16" s="96">
        <f>+COUNTA(I8,I11,I14)</f>
        <v>0</v>
      </c>
      <c r="J16" s="224">
        <f>COUNTBLANK(J8:J14)</f>
        <v>4</v>
      </c>
    </row>
    <row r="17" spans="2:17" s="23" customFormat="1" ht="45">
      <c r="B17" s="220" t="s">
        <v>454</v>
      </c>
      <c r="C17" s="109"/>
      <c r="D17" s="97"/>
      <c r="E17" s="202" t="str">
        <f>+IF(C17="","*Required","")</f>
        <v>*Required</v>
      </c>
      <c r="H17" s="157" t="str">
        <f>IF(I16=0,"Please complete the above table",IF(OR(I8="Yes",I11="Yes",I14="Yes",FALSE),"This simplified costing sheet cannot be used for your operation, please compile a detailed financial provision as per the Financial Provision Regulations",IF(J16&gt;4,"This simplified costing sheet can be used for your operation, please proceed to the next tab","Please complete the above table")))</f>
        <v>Please complete the above table</v>
      </c>
    </row>
    <row r="18" spans="2:17" s="23" customFormat="1">
      <c r="B18" s="86"/>
      <c r="C18" s="98"/>
      <c r="D18" s="97"/>
    </row>
    <row r="19" spans="2:17" s="23" customFormat="1" ht="30">
      <c r="B19" s="111" t="s">
        <v>246</v>
      </c>
      <c r="C19" s="98" t="s">
        <v>224</v>
      </c>
      <c r="D19" s="97"/>
    </row>
    <row r="20" spans="2:17" s="23" customFormat="1" ht="29.45" customHeight="1">
      <c r="B20" s="113" t="s">
        <v>453</v>
      </c>
      <c r="C20" s="109"/>
      <c r="D20" s="97"/>
      <c r="E20" s="202" t="str">
        <f>+IF(C20="","*Required","")</f>
        <v>*Required</v>
      </c>
    </row>
    <row r="21" spans="2:17" s="23" customFormat="1">
      <c r="B21" s="86"/>
      <c r="C21" s="98"/>
      <c r="D21" s="97"/>
    </row>
    <row r="22" spans="2:17" s="23" customFormat="1" ht="18.75">
      <c r="B22" s="111" t="s">
        <v>247</v>
      </c>
      <c r="C22" s="98"/>
      <c r="D22" s="97"/>
    </row>
    <row r="23" spans="2:17" s="23" customFormat="1" ht="30">
      <c r="B23" s="113"/>
      <c r="C23" s="98" t="s">
        <v>224</v>
      </c>
      <c r="D23" s="97"/>
      <c r="H23"/>
      <c r="I23"/>
      <c r="Q23" s="199"/>
    </row>
    <row r="24" spans="2:17" s="23" customFormat="1" ht="30">
      <c r="B24" s="113" t="s">
        <v>475</v>
      </c>
      <c r="C24" s="109"/>
      <c r="D24" s="97"/>
      <c r="E24" s="202" t="str">
        <f>+IF(C24="","*Required","")</f>
        <v>*Required</v>
      </c>
      <c r="H24"/>
      <c r="I24"/>
    </row>
    <row r="25" spans="2:17" s="23" customFormat="1" ht="15.75" thickBot="1">
      <c r="B25" s="112"/>
      <c r="C25" s="99"/>
      <c r="D25" s="100"/>
      <c r="H25"/>
      <c r="I25"/>
    </row>
    <row r="26" spans="2:17" ht="54.6" customHeight="1" thickTop="1">
      <c r="B26" s="157" t="str">
        <f>IF(D26=0,"Please complete the above table",IF(OR(C8="Yes",C11="Yes",C14="Yes",C17="Yes",C20="Yes",C20="Yes",C24="Yes",FALSE),"This simplified costing sheet cannot be used for your operation, please compile a detailed financial provision as per the Financial Provision Regulations",IF(E26&gt;17,"This simplified costing sheet can be used for your operation, please proceed to the next tab","Please complete the above table")))</f>
        <v>Please complete the above table</v>
      </c>
      <c r="C26" s="223"/>
      <c r="D26" s="224">
        <f>+(COUNTA(C8,C11,C14,C17,C20,C24))</f>
        <v>0</v>
      </c>
      <c r="E26" s="224">
        <f>COUNTBLANK(E8:E25)</f>
        <v>12</v>
      </c>
    </row>
    <row r="28" spans="2:17" ht="24" thickBot="1">
      <c r="B28" s="85" t="s">
        <v>250</v>
      </c>
    </row>
    <row r="29" spans="2:17" ht="15.75" thickTop="1">
      <c r="B29" s="189" t="s">
        <v>417</v>
      </c>
      <c r="C29" s="190" t="s">
        <v>363</v>
      </c>
    </row>
    <row r="30" spans="2:17">
      <c r="B30" s="191" t="s">
        <v>364</v>
      </c>
      <c r="C30" s="192" t="s">
        <v>339</v>
      </c>
    </row>
    <row r="31" spans="2:17">
      <c r="B31" s="191" t="s">
        <v>365</v>
      </c>
      <c r="C31" s="192" t="s">
        <v>339</v>
      </c>
    </row>
    <row r="32" spans="2:17">
      <c r="B32" s="191" t="s">
        <v>366</v>
      </c>
      <c r="C32" s="192"/>
    </row>
    <row r="33" spans="2:3">
      <c r="B33" s="193" t="s">
        <v>367</v>
      </c>
      <c r="C33" s="192" t="s">
        <v>339</v>
      </c>
    </row>
    <row r="34" spans="2:3">
      <c r="B34" s="193" t="s">
        <v>368</v>
      </c>
      <c r="C34" s="192" t="s">
        <v>339</v>
      </c>
    </row>
    <row r="35" spans="2:3">
      <c r="B35" s="191" t="s">
        <v>369</v>
      </c>
      <c r="C35" s="192"/>
    </row>
    <row r="36" spans="2:3">
      <c r="B36" s="193" t="s">
        <v>370</v>
      </c>
      <c r="C36" s="192" t="s">
        <v>339</v>
      </c>
    </row>
    <row r="37" spans="2:3">
      <c r="B37" s="193" t="s">
        <v>371</v>
      </c>
      <c r="C37" s="192" t="s">
        <v>339</v>
      </c>
    </row>
    <row r="38" spans="2:3">
      <c r="B38" s="193" t="s">
        <v>372</v>
      </c>
      <c r="C38" s="192" t="s">
        <v>339</v>
      </c>
    </row>
    <row r="39" spans="2:3">
      <c r="B39" s="193" t="s">
        <v>373</v>
      </c>
      <c r="C39" s="192" t="s">
        <v>339</v>
      </c>
    </row>
    <row r="40" spans="2:3">
      <c r="B40" s="193" t="s">
        <v>374</v>
      </c>
      <c r="C40" s="192" t="s">
        <v>339</v>
      </c>
    </row>
    <row r="41" spans="2:3">
      <c r="B41" s="193" t="s">
        <v>375</v>
      </c>
      <c r="C41" s="192" t="s">
        <v>339</v>
      </c>
    </row>
    <row r="42" spans="2:3">
      <c r="B42" s="193" t="s">
        <v>376</v>
      </c>
      <c r="C42" s="192" t="s">
        <v>339</v>
      </c>
    </row>
    <row r="43" spans="2:3">
      <c r="B43" s="191" t="s">
        <v>377</v>
      </c>
      <c r="C43" s="192" t="s">
        <v>339</v>
      </c>
    </row>
    <row r="44" spans="2:3">
      <c r="B44" s="191" t="s">
        <v>378</v>
      </c>
      <c r="C44" s="192" t="s">
        <v>339</v>
      </c>
    </row>
    <row r="45" spans="2:3">
      <c r="B45" s="191" t="s">
        <v>379</v>
      </c>
      <c r="C45" s="192" t="s">
        <v>339</v>
      </c>
    </row>
    <row r="46" spans="2:3">
      <c r="B46" s="191" t="s">
        <v>380</v>
      </c>
      <c r="C46" s="192" t="s">
        <v>339</v>
      </c>
    </row>
    <row r="47" spans="2:3">
      <c r="B47" s="191" t="s">
        <v>381</v>
      </c>
      <c r="C47" s="192"/>
    </row>
    <row r="48" spans="2:3">
      <c r="B48" s="193" t="s">
        <v>382</v>
      </c>
      <c r="C48" s="192" t="s">
        <v>339</v>
      </c>
    </row>
    <row r="49" spans="2:3">
      <c r="B49" s="191" t="s">
        <v>383</v>
      </c>
      <c r="C49" s="192" t="s">
        <v>339</v>
      </c>
    </row>
    <row r="50" spans="2:3">
      <c r="B50" s="191" t="s">
        <v>384</v>
      </c>
      <c r="C50" s="192" t="s">
        <v>339</v>
      </c>
    </row>
    <row r="51" spans="2:3">
      <c r="B51" s="191" t="s">
        <v>385</v>
      </c>
      <c r="C51" s="192"/>
    </row>
    <row r="52" spans="2:3">
      <c r="B52" s="193" t="s">
        <v>386</v>
      </c>
      <c r="C52" s="192" t="s">
        <v>339</v>
      </c>
    </row>
    <row r="53" spans="2:3">
      <c r="B53" s="193" t="s">
        <v>387</v>
      </c>
      <c r="C53" s="192" t="s">
        <v>339</v>
      </c>
    </row>
    <row r="54" spans="2:3">
      <c r="B54" s="193" t="s">
        <v>388</v>
      </c>
      <c r="C54" s="192" t="s">
        <v>339</v>
      </c>
    </row>
    <row r="55" spans="2:3">
      <c r="B55" s="193" t="s">
        <v>389</v>
      </c>
      <c r="C55" s="192" t="s">
        <v>339</v>
      </c>
    </row>
    <row r="56" spans="2:3">
      <c r="B56" s="193" t="s">
        <v>390</v>
      </c>
      <c r="C56" s="192" t="s">
        <v>339</v>
      </c>
    </row>
    <row r="57" spans="2:3">
      <c r="B57" s="193" t="s">
        <v>391</v>
      </c>
      <c r="C57" s="192" t="s">
        <v>339</v>
      </c>
    </row>
    <row r="58" spans="2:3">
      <c r="B58" s="193" t="s">
        <v>392</v>
      </c>
      <c r="C58" s="192" t="s">
        <v>339</v>
      </c>
    </row>
    <row r="59" spans="2:3">
      <c r="B59" s="193" t="s">
        <v>393</v>
      </c>
      <c r="C59" s="192" t="s">
        <v>339</v>
      </c>
    </row>
    <row r="60" spans="2:3">
      <c r="B60" s="193" t="s">
        <v>394</v>
      </c>
      <c r="C60" s="192" t="s">
        <v>339</v>
      </c>
    </row>
    <row r="61" spans="2:3">
      <c r="B61" s="193" t="s">
        <v>395</v>
      </c>
      <c r="C61" s="192" t="s">
        <v>339</v>
      </c>
    </row>
    <row r="62" spans="2:3">
      <c r="B62" s="193" t="s">
        <v>396</v>
      </c>
      <c r="C62" s="192" t="s">
        <v>339</v>
      </c>
    </row>
    <row r="63" spans="2:3">
      <c r="B63" s="193" t="s">
        <v>397</v>
      </c>
      <c r="C63" s="192" t="s">
        <v>339</v>
      </c>
    </row>
    <row r="64" spans="2:3">
      <c r="B64" s="193" t="s">
        <v>398</v>
      </c>
      <c r="C64" s="192" t="s">
        <v>339</v>
      </c>
    </row>
    <row r="65" spans="2:3">
      <c r="B65" s="193" t="s">
        <v>399</v>
      </c>
      <c r="C65" s="192" t="s">
        <v>339</v>
      </c>
    </row>
    <row r="66" spans="2:3">
      <c r="B66" s="193" t="s">
        <v>400</v>
      </c>
      <c r="C66" s="192" t="s">
        <v>339</v>
      </c>
    </row>
    <row r="67" spans="2:3">
      <c r="B67" s="191" t="s">
        <v>401</v>
      </c>
      <c r="C67" s="192" t="s">
        <v>339</v>
      </c>
    </row>
    <row r="68" spans="2:3">
      <c r="B68" s="191" t="s">
        <v>402</v>
      </c>
      <c r="C68" s="192" t="s">
        <v>339</v>
      </c>
    </row>
    <row r="69" spans="2:3">
      <c r="B69" s="191" t="s">
        <v>403</v>
      </c>
      <c r="C69" s="192" t="s">
        <v>339</v>
      </c>
    </row>
    <row r="70" spans="2:3">
      <c r="B70" s="191" t="s">
        <v>404</v>
      </c>
      <c r="C70" s="192"/>
    </row>
    <row r="71" spans="2:3">
      <c r="B71" s="193" t="s">
        <v>405</v>
      </c>
      <c r="C71" s="192" t="s">
        <v>339</v>
      </c>
    </row>
    <row r="72" spans="2:3">
      <c r="B72" s="193" t="s">
        <v>406</v>
      </c>
      <c r="C72" s="192" t="s">
        <v>339</v>
      </c>
    </row>
    <row r="73" spans="2:3">
      <c r="B73" s="193" t="s">
        <v>407</v>
      </c>
      <c r="C73" s="192" t="s">
        <v>339</v>
      </c>
    </row>
    <row r="74" spans="2:3">
      <c r="B74" s="193" t="s">
        <v>408</v>
      </c>
      <c r="C74" s="192" t="s">
        <v>339</v>
      </c>
    </row>
    <row r="75" spans="2:3">
      <c r="B75" s="193" t="s">
        <v>409</v>
      </c>
      <c r="C75" s="192" t="s">
        <v>339</v>
      </c>
    </row>
    <row r="76" spans="2:3">
      <c r="B76" s="193" t="s">
        <v>410</v>
      </c>
      <c r="C76" s="192" t="s">
        <v>339</v>
      </c>
    </row>
    <row r="77" spans="2:3">
      <c r="B77" s="193" t="s">
        <v>411</v>
      </c>
      <c r="C77" s="192" t="s">
        <v>339</v>
      </c>
    </row>
    <row r="78" spans="2:3">
      <c r="B78" s="193" t="s">
        <v>412</v>
      </c>
      <c r="C78" s="192" t="s">
        <v>339</v>
      </c>
    </row>
    <row r="79" spans="2:3">
      <c r="B79" s="191" t="s">
        <v>413</v>
      </c>
      <c r="C79" s="192" t="s">
        <v>339</v>
      </c>
    </row>
    <row r="80" spans="2:3">
      <c r="B80" s="191" t="s">
        <v>414</v>
      </c>
      <c r="C80" s="192" t="s">
        <v>339</v>
      </c>
    </row>
    <row r="81" spans="2:3">
      <c r="B81" s="191" t="s">
        <v>415</v>
      </c>
      <c r="C81" s="192" t="s">
        <v>339</v>
      </c>
    </row>
    <row r="82" spans="2:3" ht="15.75" thickBot="1">
      <c r="B82" s="194" t="s">
        <v>416</v>
      </c>
      <c r="C82" s="195" t="s">
        <v>339</v>
      </c>
    </row>
    <row r="83" spans="2:3" ht="15.75" thickTop="1"/>
  </sheetData>
  <mergeCells count="1">
    <mergeCell ref="B2:D2"/>
  </mergeCells>
  <conditionalFormatting sqref="B26">
    <cfRule type="containsText" dxfId="5" priority="2" operator="containsText" text="Please complete the above table">
      <formula>NOT(ISERROR(SEARCH("Please complete the above table",B26)))</formula>
    </cfRule>
    <cfRule type="containsText" dxfId="4" priority="5" operator="containsText" text="This simplified costing sheet can be used for your operation, please proceed">
      <formula>NOT(ISERROR(SEARCH("This simplified costing sheet can be used for your operation, please proceed",B26)))</formula>
    </cfRule>
    <cfRule type="containsText" dxfId="3" priority="6" operator="containsText" text="This simplified costing sheet cannot be used for your operation, please compile a detailed financial provision as per the Financial Provision Regulations">
      <formula>NOT(ISERROR(SEARCH("This simplified costing sheet cannot be used for your operation, please compile a detailed financial provision as per the Financial Provision Regulations",B26)))</formula>
    </cfRule>
  </conditionalFormatting>
  <conditionalFormatting sqref="H17">
    <cfRule type="containsText" dxfId="2" priority="1" operator="containsText" text="Please complete the above table">
      <formula>NOT(ISERROR(SEARCH("Please complete the above table",H17)))</formula>
    </cfRule>
    <cfRule type="containsText" dxfId="1" priority="3" operator="containsText" text="This simplified costing sheet can be used for your operation, please proceed">
      <formula>NOT(ISERROR(SEARCH("This simplified costing sheet can be used for your operation, please proceed",H17)))</formula>
    </cfRule>
    <cfRule type="containsText" dxfId="0" priority="4" operator="containsText" text="This simplified costing sheet cannot be used for your operation, please compile a detailed financial provision as per the Financial Provision Regulations">
      <formula>NOT(ISERROR(SEARCH("This simplified costing sheet cannot be used for your operation, please compile a detailed financial provision as per the Financial Provision Regulations",H17)))</formula>
    </cfRule>
  </conditionalFormatting>
  <dataValidations count="1">
    <dataValidation type="list" allowBlank="1" showInputMessage="1" showErrorMessage="1" sqref="C8 C24 C20 C17 C14 C11 I8 I14 I11" xr:uid="{73541236-2D5A-4D49-A2D8-4128F890CFE3}">
      <formula1>$S$7:$S$9</formula1>
    </dataValidation>
  </dataValidations>
  <pageMargins left="0.70866141732283472" right="0.70866141732283472" top="0.74803149606299213" bottom="0.74803149606299213" header="0.31496062992125984" footer="0.31496062992125984"/>
  <pageSetup paperSize="9" scale="66" fitToHeight="2" orientation="portrait" horizontalDpi="300" verticalDpi="300" r:id="rId1"/>
  <headerFooter>
    <oddHeader>&amp;C&amp;G</oddHead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2ED2-89D1-4C82-9220-507518DEAC6F}">
  <sheetPr>
    <pageSetUpPr fitToPage="1"/>
  </sheetPr>
  <dimension ref="B2:F34"/>
  <sheetViews>
    <sheetView showGridLines="0" showRuler="0" showWhiteSpace="0" zoomScale="88" zoomScaleNormal="88" zoomScalePageLayoutView="55" workbookViewId="0">
      <selection activeCell="B8" sqref="B8"/>
    </sheetView>
  </sheetViews>
  <sheetFormatPr defaultColWidth="8.85546875" defaultRowHeight="15"/>
  <cols>
    <col min="2" max="2" width="181.85546875" bestFit="1" customWidth="1"/>
    <col min="5" max="5" width="22.42578125" customWidth="1"/>
    <col min="6" max="6" width="108.42578125" bestFit="1" customWidth="1"/>
  </cols>
  <sheetData>
    <row r="2" spans="2:6" ht="97.7" customHeight="1">
      <c r="B2" s="49"/>
    </row>
    <row r="5" spans="2:6">
      <c r="B5" s="89" t="s">
        <v>183</v>
      </c>
      <c r="D5" s="101" t="s">
        <v>318</v>
      </c>
      <c r="E5" s="102"/>
      <c r="F5" s="102"/>
    </row>
    <row r="6" spans="2:6">
      <c r="B6" s="89"/>
      <c r="D6" s="102" t="s">
        <v>26</v>
      </c>
      <c r="E6" s="102" t="s">
        <v>298</v>
      </c>
      <c r="F6" s="197" t="s">
        <v>308</v>
      </c>
    </row>
    <row r="7" spans="2:6" ht="30">
      <c r="B7" s="90" t="s">
        <v>352</v>
      </c>
      <c r="D7" s="102" t="s">
        <v>216</v>
      </c>
      <c r="E7" s="102" t="s">
        <v>299</v>
      </c>
      <c r="F7" s="197" t="s">
        <v>309</v>
      </c>
    </row>
    <row r="8" spans="2:6" ht="45">
      <c r="B8" s="174" t="s">
        <v>436</v>
      </c>
      <c r="D8" s="102" t="s">
        <v>12</v>
      </c>
      <c r="E8" s="102" t="s">
        <v>302</v>
      </c>
      <c r="F8" s="197" t="s">
        <v>312</v>
      </c>
    </row>
    <row r="9" spans="2:6" ht="17.25">
      <c r="B9" s="89"/>
      <c r="D9" s="102" t="s">
        <v>294</v>
      </c>
      <c r="E9" s="102" t="s">
        <v>303</v>
      </c>
      <c r="F9" s="197" t="s">
        <v>310</v>
      </c>
    </row>
    <row r="10" spans="2:6" ht="33" customHeight="1">
      <c r="B10" s="90" t="s">
        <v>353</v>
      </c>
      <c r="D10" s="102" t="s">
        <v>295</v>
      </c>
      <c r="E10" s="102" t="s">
        <v>304</v>
      </c>
      <c r="F10" s="197" t="s">
        <v>311</v>
      </c>
    </row>
    <row r="11" spans="2:6" ht="45">
      <c r="B11" s="166" t="s">
        <v>424</v>
      </c>
      <c r="D11" s="102" t="s">
        <v>296</v>
      </c>
      <c r="E11" s="102" t="s">
        <v>305</v>
      </c>
      <c r="F11" s="197" t="s">
        <v>313</v>
      </c>
    </row>
    <row r="12" spans="2:6" ht="30">
      <c r="B12" s="89"/>
      <c r="D12" s="102" t="s">
        <v>425</v>
      </c>
      <c r="E12" s="102" t="s">
        <v>306</v>
      </c>
      <c r="F12" s="197" t="s">
        <v>314</v>
      </c>
    </row>
    <row r="13" spans="2:6" ht="30">
      <c r="B13" s="89"/>
      <c r="D13" s="102" t="s">
        <v>297</v>
      </c>
      <c r="E13" s="102" t="s">
        <v>307</v>
      </c>
      <c r="F13" s="197" t="s">
        <v>315</v>
      </c>
    </row>
    <row r="14" spans="2:6" ht="37.35" customHeight="1">
      <c r="B14" s="90" t="s">
        <v>354</v>
      </c>
      <c r="D14" s="102" t="s">
        <v>11</v>
      </c>
      <c r="E14" s="102" t="s">
        <v>300</v>
      </c>
      <c r="F14" s="197" t="s">
        <v>316</v>
      </c>
    </row>
    <row r="15" spans="2:6" ht="31.35" customHeight="1">
      <c r="B15" s="91" t="s">
        <v>472</v>
      </c>
      <c r="D15" s="102" t="s">
        <v>13</v>
      </c>
      <c r="E15" s="102" t="s">
        <v>301</v>
      </c>
      <c r="F15" s="197" t="s">
        <v>317</v>
      </c>
    </row>
    <row r="16" spans="2:6">
      <c r="B16" s="91" t="s">
        <v>184</v>
      </c>
    </row>
    <row r="17" spans="2:2">
      <c r="B17" s="91" t="s">
        <v>185</v>
      </c>
    </row>
    <row r="18" spans="2:2">
      <c r="B18" s="91" t="s">
        <v>186</v>
      </c>
    </row>
    <row r="19" spans="2:2">
      <c r="B19" s="91" t="s">
        <v>189</v>
      </c>
    </row>
    <row r="20" spans="2:2">
      <c r="B20" s="91" t="s">
        <v>196</v>
      </c>
    </row>
    <row r="21" spans="2:2">
      <c r="B21" s="91" t="s">
        <v>197</v>
      </c>
    </row>
    <row r="22" spans="2:2">
      <c r="B22" s="91" t="s">
        <v>198</v>
      </c>
    </row>
    <row r="23" spans="2:2" ht="29.45" customHeight="1">
      <c r="B23" s="166" t="s">
        <v>195</v>
      </c>
    </row>
    <row r="24" spans="2:2">
      <c r="B24" s="92" t="s">
        <v>240</v>
      </c>
    </row>
    <row r="25" spans="2:2">
      <c r="B25" s="93"/>
    </row>
    <row r="26" spans="2:2">
      <c r="B26" s="93"/>
    </row>
    <row r="27" spans="2:2" ht="31.35" customHeight="1">
      <c r="B27" s="196" t="s">
        <v>361</v>
      </c>
    </row>
    <row r="28" spans="2:2">
      <c r="B28" s="91" t="s">
        <v>205</v>
      </c>
    </row>
    <row r="29" spans="2:2" ht="124.35" customHeight="1">
      <c r="B29" s="93"/>
    </row>
    <row r="30" spans="2:2">
      <c r="B30" s="91" t="s">
        <v>241</v>
      </c>
    </row>
    <row r="31" spans="2:2">
      <c r="B31" s="91"/>
    </row>
    <row r="32" spans="2:2">
      <c r="B32" s="93"/>
    </row>
    <row r="34" spans="2:2">
      <c r="B34" s="167"/>
    </row>
  </sheetData>
  <pageMargins left="0.70866141732283472" right="0.70866141732283472" top="0.74803149606299213" bottom="0.74803149606299213" header="0.31496062992125984" footer="0.31496062992125984"/>
  <pageSetup paperSize="9" scale="45" orientation="landscape" horizontalDpi="1200" verticalDpi="1200" r:id="rId1"/>
  <headerFooter>
    <oddHeader>&amp;C&amp;G</oddHead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FA89E-B584-4B0A-ABC2-4146EA3DCF14}">
  <sheetPr>
    <pageSetUpPr fitToPage="1"/>
  </sheetPr>
  <dimension ref="B10:I23"/>
  <sheetViews>
    <sheetView showGridLines="0" showRuler="0" zoomScale="125" zoomScaleNormal="70" zoomScalePageLayoutView="85" workbookViewId="0">
      <selection activeCell="C16" sqref="C16"/>
    </sheetView>
  </sheetViews>
  <sheetFormatPr defaultColWidth="8.85546875" defaultRowHeight="15"/>
  <cols>
    <col min="2" max="2" width="66.85546875" customWidth="1"/>
    <col min="3" max="3" width="46.42578125" customWidth="1"/>
    <col min="4" max="4" width="22.5703125" customWidth="1"/>
    <col min="5" max="5" width="24.42578125" customWidth="1"/>
    <col min="6" max="8" width="22.5703125" customWidth="1"/>
    <col min="9" max="9" width="26.140625" customWidth="1"/>
  </cols>
  <sheetData>
    <row r="10" spans="2:9" ht="21.75" thickBot="1">
      <c r="B10" s="173" t="s">
        <v>433</v>
      </c>
    </row>
    <row r="11" spans="2:9" ht="15.75" thickBot="1">
      <c r="B11" s="21"/>
      <c r="C11" s="21"/>
      <c r="D11" s="234" t="s">
        <v>344</v>
      </c>
      <c r="E11" s="235"/>
      <c r="F11" s="235"/>
      <c r="G11" s="235"/>
      <c r="H11" s="235"/>
      <c r="I11" s="236"/>
    </row>
    <row r="12" spans="2:9" ht="118.35" customHeight="1">
      <c r="B12" s="238" t="s">
        <v>343</v>
      </c>
      <c r="C12" s="240" t="s">
        <v>341</v>
      </c>
      <c r="D12" s="158" t="s">
        <v>421</v>
      </c>
      <c r="E12" s="158" t="s">
        <v>345</v>
      </c>
      <c r="F12" s="158" t="s">
        <v>340</v>
      </c>
      <c r="G12" s="158" t="s">
        <v>437</v>
      </c>
      <c r="H12" s="222" t="s">
        <v>450</v>
      </c>
      <c r="I12" s="221" t="s">
        <v>449</v>
      </c>
    </row>
    <row r="13" spans="2:9" ht="25.7" customHeight="1" thickBot="1">
      <c r="B13" s="239"/>
      <c r="C13" s="241"/>
      <c r="D13" s="171" t="s">
        <v>347</v>
      </c>
      <c r="E13" s="171" t="s">
        <v>346</v>
      </c>
      <c r="F13" s="171" t="s">
        <v>349</v>
      </c>
      <c r="G13" s="171" t="s">
        <v>348</v>
      </c>
      <c r="H13" s="171" t="s">
        <v>439</v>
      </c>
      <c r="I13" s="172" t="s">
        <v>440</v>
      </c>
    </row>
    <row r="14" spans="2:9" ht="70.349999999999994" customHeight="1">
      <c r="B14" s="168" t="s">
        <v>438</v>
      </c>
      <c r="C14" s="203" t="s">
        <v>461</v>
      </c>
      <c r="D14" s="169" t="s">
        <v>339</v>
      </c>
      <c r="E14" s="169"/>
      <c r="F14" s="169" t="s">
        <v>339</v>
      </c>
      <c r="G14" s="169" t="s">
        <v>339</v>
      </c>
      <c r="H14" s="169" t="s">
        <v>339</v>
      </c>
      <c r="I14" s="170" t="s">
        <v>339</v>
      </c>
    </row>
    <row r="15" spans="2:9" ht="133.35" customHeight="1">
      <c r="B15" s="168" t="s">
        <v>444</v>
      </c>
      <c r="C15" s="203" t="s">
        <v>426</v>
      </c>
      <c r="D15" s="169" t="s">
        <v>339</v>
      </c>
      <c r="E15" s="169"/>
      <c r="F15" s="169" t="s">
        <v>339</v>
      </c>
      <c r="G15" s="169" t="s">
        <v>339</v>
      </c>
      <c r="H15" s="169"/>
      <c r="I15" s="170"/>
    </row>
    <row r="16" spans="2:9" ht="75">
      <c r="B16" s="168" t="s">
        <v>441</v>
      </c>
      <c r="C16" s="203" t="s">
        <v>442</v>
      </c>
      <c r="D16" s="169"/>
      <c r="E16" s="169"/>
      <c r="F16" s="169"/>
      <c r="G16" s="169" t="s">
        <v>339</v>
      </c>
      <c r="H16" s="169"/>
      <c r="I16" s="170" t="s">
        <v>339</v>
      </c>
    </row>
    <row r="17" spans="2:9" ht="84" customHeight="1">
      <c r="B17" s="159" t="s">
        <v>445</v>
      </c>
      <c r="C17" s="204" t="s">
        <v>427</v>
      </c>
      <c r="D17" s="161"/>
      <c r="E17" s="163"/>
      <c r="F17" s="163"/>
      <c r="G17" s="161" t="s">
        <v>339</v>
      </c>
      <c r="H17" s="161"/>
      <c r="I17" s="162"/>
    </row>
    <row r="18" spans="2:9" ht="45">
      <c r="B18" s="159" t="s">
        <v>446</v>
      </c>
      <c r="C18" s="204" t="s">
        <v>422</v>
      </c>
      <c r="D18" s="161" t="s">
        <v>339</v>
      </c>
      <c r="E18" s="161" t="s">
        <v>339</v>
      </c>
      <c r="F18" s="161" t="s">
        <v>339</v>
      </c>
      <c r="G18" s="161" t="s">
        <v>339</v>
      </c>
      <c r="H18" s="161"/>
      <c r="I18" s="162"/>
    </row>
    <row r="19" spans="2:9" ht="45.75" thickBot="1">
      <c r="B19" s="160" t="s">
        <v>443</v>
      </c>
      <c r="C19" s="205" t="s">
        <v>422</v>
      </c>
      <c r="D19" s="164" t="s">
        <v>451</v>
      </c>
      <c r="E19" s="164" t="s">
        <v>447</v>
      </c>
      <c r="F19" s="164" t="s">
        <v>451</v>
      </c>
      <c r="G19" s="164" t="s">
        <v>339</v>
      </c>
      <c r="H19" s="164"/>
      <c r="I19" s="165"/>
    </row>
    <row r="20" spans="2:9" ht="57" customHeight="1">
      <c r="B20" s="242" t="s">
        <v>428</v>
      </c>
      <c r="C20" s="242"/>
      <c r="D20" s="242"/>
      <c r="E20" s="242"/>
      <c r="F20" s="242"/>
      <c r="G20" s="242"/>
    </row>
    <row r="21" spans="2:9" ht="21">
      <c r="B21" s="237" t="s">
        <v>432</v>
      </c>
      <c r="C21" s="237"/>
      <c r="D21" s="237"/>
      <c r="E21" s="237"/>
      <c r="F21" s="237"/>
      <c r="G21" s="237"/>
    </row>
    <row r="22" spans="2:9" ht="21">
      <c r="B22" s="237" t="s">
        <v>452</v>
      </c>
      <c r="C22" s="237"/>
      <c r="D22" s="237"/>
      <c r="E22" s="237"/>
      <c r="F22" s="237"/>
      <c r="G22" s="237"/>
    </row>
    <row r="23" spans="2:9" ht="21">
      <c r="B23" s="237" t="s">
        <v>448</v>
      </c>
      <c r="C23" s="237"/>
      <c r="D23" s="237"/>
      <c r="E23" s="237"/>
      <c r="F23" s="237"/>
      <c r="G23" s="237"/>
    </row>
  </sheetData>
  <mergeCells count="7">
    <mergeCell ref="D11:I11"/>
    <mergeCell ref="B22:G22"/>
    <mergeCell ref="B23:G23"/>
    <mergeCell ref="B12:B13"/>
    <mergeCell ref="C12:C13"/>
    <mergeCell ref="B20:G20"/>
    <mergeCell ref="B21:G21"/>
  </mergeCells>
  <hyperlinks>
    <hyperlink ref="E13" r:id="rId1" xr:uid="{DCEE59FE-95F2-43CB-B8F9-2FE9C9D232E1}"/>
    <hyperlink ref="D13" r:id="rId2" xr:uid="{13583695-CCFF-427E-8414-9AEDA74DCAF0}"/>
    <hyperlink ref="F13" r:id="rId3" xr:uid="{267BA704-82EB-47B7-BB4E-D44D858D7DE5}"/>
    <hyperlink ref="G13" r:id="rId4" xr:uid="{52DE1E16-8964-4E44-8263-87543D317D57}"/>
    <hyperlink ref="H13" r:id="rId5" xr:uid="{C497833D-FC77-4DFB-B299-5D22AAB30886}"/>
    <hyperlink ref="I13" r:id="rId6" xr:uid="{2D0BED76-5E7C-4F4C-A4A3-E8E7F202D9A0}"/>
  </hyperlinks>
  <pageMargins left="0.7" right="0.7" top="0.75" bottom="0.75" header="0.3" footer="0.3"/>
  <pageSetup scale="56" orientation="landscape" horizontalDpi="300" verticalDpi="300" r:id="rId7"/>
  <headerFooter>
    <oddHeader>&amp;C&amp;G</oddHeader>
    <oddFooter>&amp;C&amp;G</oddFooter>
  </headerFooter>
  <drawing r:id="rId8"/>
  <legacyDrawingHF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11600-2632-4281-B61A-B197FC61C640}">
  <sheetPr>
    <pageSetUpPr fitToPage="1"/>
  </sheetPr>
  <dimension ref="A9:AD100"/>
  <sheetViews>
    <sheetView showGridLines="0" showRuler="0" zoomScale="85" zoomScaleNormal="85" workbookViewId="0">
      <selection activeCell="D3" sqref="D3"/>
    </sheetView>
  </sheetViews>
  <sheetFormatPr defaultColWidth="8.85546875" defaultRowHeight="15"/>
  <cols>
    <col min="1" max="1" width="8.85546875" style="21"/>
    <col min="2" max="2" width="62.140625" style="21" customWidth="1"/>
    <col min="3" max="3" width="47" style="21" customWidth="1"/>
    <col min="4" max="4" width="45.140625" style="21" customWidth="1"/>
    <col min="5" max="5" width="26.140625" style="21" customWidth="1"/>
    <col min="6" max="6" width="30.42578125" style="21" customWidth="1"/>
    <col min="7" max="7" width="23" style="21" bestFit="1" customWidth="1"/>
    <col min="8" max="16384" width="8.85546875" style="21"/>
  </cols>
  <sheetData>
    <row r="9" spans="2:4">
      <c r="C9" s="105" t="s">
        <v>227</v>
      </c>
    </row>
    <row r="10" spans="2:4" ht="15.75" thickBot="1"/>
    <row r="11" spans="2:4" ht="24.75" thickTop="1" thickBot="1">
      <c r="B11" s="119" t="s">
        <v>204</v>
      </c>
      <c r="C11" s="120" t="s">
        <v>203</v>
      </c>
      <c r="D11" s="121" t="s">
        <v>226</v>
      </c>
    </row>
    <row r="12" spans="2:4" ht="15.75" thickTop="1">
      <c r="B12" s="122"/>
      <c r="C12" s="123"/>
      <c r="D12" s="124"/>
    </row>
    <row r="13" spans="2:4" ht="24.95" customHeight="1" thickBot="1">
      <c r="B13" s="125" t="s">
        <v>469</v>
      </c>
      <c r="C13" s="126"/>
      <c r="D13" s="127"/>
    </row>
    <row r="14" spans="2:4" ht="45" customHeight="1" thickTop="1">
      <c r="B14" s="232" t="s">
        <v>468</v>
      </c>
      <c r="C14" s="104"/>
      <c r="D14" s="118" t="s">
        <v>222</v>
      </c>
    </row>
    <row r="15" spans="2:4" ht="20.100000000000001" customHeight="1">
      <c r="B15" s="103" t="s">
        <v>162</v>
      </c>
      <c r="C15" s="105"/>
      <c r="D15" s="128" t="s">
        <v>218</v>
      </c>
    </row>
    <row r="16" spans="2:4" ht="20.100000000000001" customHeight="1">
      <c r="B16" s="103" t="s">
        <v>163</v>
      </c>
      <c r="C16" s="105"/>
      <c r="D16" s="77" t="s">
        <v>219</v>
      </c>
    </row>
    <row r="17" spans="2:4" ht="20.100000000000001" customHeight="1">
      <c r="B17" s="103" t="s">
        <v>164</v>
      </c>
      <c r="C17" s="105"/>
      <c r="D17" s="129" t="s">
        <v>220</v>
      </c>
    </row>
    <row r="18" spans="2:4" ht="20.100000000000001" customHeight="1">
      <c r="B18" s="103" t="s">
        <v>165</v>
      </c>
      <c r="C18" s="105"/>
      <c r="D18" s="77" t="s">
        <v>221</v>
      </c>
    </row>
    <row r="19" spans="2:4" ht="20.100000000000001" customHeight="1">
      <c r="B19" s="103" t="s">
        <v>470</v>
      </c>
      <c r="C19" s="105"/>
      <c r="D19" s="77" t="s">
        <v>217</v>
      </c>
    </row>
    <row r="20" spans="2:4" s="130" customFormat="1" ht="57" customHeight="1">
      <c r="B20" s="231" t="s">
        <v>471</v>
      </c>
      <c r="C20" s="106"/>
      <c r="D20" s="73" t="s">
        <v>223</v>
      </c>
    </row>
    <row r="21" spans="2:4" ht="45" customHeight="1" thickBot="1">
      <c r="B21" s="150" t="s">
        <v>326</v>
      </c>
      <c r="C21" s="151"/>
      <c r="D21" s="152" t="s">
        <v>327</v>
      </c>
    </row>
    <row r="22" spans="2:4" ht="15" customHeight="1" thickTop="1">
      <c r="B22" s="147"/>
      <c r="C22" s="148"/>
      <c r="D22" s="149"/>
    </row>
    <row r="23" spans="2:4" ht="24.95" customHeight="1">
      <c r="B23" s="125" t="s">
        <v>350</v>
      </c>
      <c r="C23" s="115"/>
      <c r="D23" s="77"/>
    </row>
    <row r="24" spans="2:4" ht="20.100000000000001" customHeight="1">
      <c r="B24" s="153" t="s">
        <v>342</v>
      </c>
      <c r="C24" s="106"/>
      <c r="D24" s="128" t="s">
        <v>329</v>
      </c>
    </row>
    <row r="25" spans="2:4" ht="20.100000000000001" customHeight="1">
      <c r="B25" s="153" t="s">
        <v>325</v>
      </c>
      <c r="C25" s="106"/>
      <c r="D25" s="128" t="s">
        <v>330</v>
      </c>
    </row>
    <row r="26" spans="2:4" ht="20.100000000000001" customHeight="1">
      <c r="B26" s="154" t="s">
        <v>162</v>
      </c>
      <c r="C26" s="106"/>
      <c r="D26" s="128" t="s">
        <v>331</v>
      </c>
    </row>
    <row r="27" spans="2:4" ht="20.100000000000001" customHeight="1">
      <c r="B27" s="154" t="s">
        <v>163</v>
      </c>
      <c r="C27" s="106"/>
      <c r="D27" s="128" t="s">
        <v>331</v>
      </c>
    </row>
    <row r="28" spans="2:4" ht="20.100000000000001" customHeight="1">
      <c r="B28" s="154" t="s">
        <v>164</v>
      </c>
      <c r="C28" s="106"/>
      <c r="D28" s="146" t="s">
        <v>332</v>
      </c>
    </row>
    <row r="29" spans="2:4" ht="20.100000000000001" customHeight="1">
      <c r="B29" s="154" t="s">
        <v>165</v>
      </c>
      <c r="C29" s="106"/>
      <c r="D29" s="128" t="s">
        <v>333</v>
      </c>
    </row>
    <row r="30" spans="2:4" ht="20.100000000000001" customHeight="1">
      <c r="B30" s="153" t="s">
        <v>322</v>
      </c>
      <c r="C30" s="106"/>
      <c r="D30" s="128" t="s">
        <v>334</v>
      </c>
    </row>
    <row r="31" spans="2:4" ht="20.100000000000001" customHeight="1">
      <c r="B31" s="153" t="s">
        <v>324</v>
      </c>
      <c r="C31" s="106"/>
      <c r="D31" s="128" t="s">
        <v>338</v>
      </c>
    </row>
    <row r="32" spans="2:4" ht="20.100000000000001" customHeight="1">
      <c r="B32" s="153" t="s">
        <v>328</v>
      </c>
      <c r="C32" s="106"/>
      <c r="D32" s="128" t="s">
        <v>335</v>
      </c>
    </row>
    <row r="33" spans="2:30" ht="45" customHeight="1">
      <c r="B33" s="153" t="s">
        <v>323</v>
      </c>
      <c r="C33" s="106"/>
      <c r="D33" s="77" t="s">
        <v>351</v>
      </c>
    </row>
    <row r="34" spans="2:30" ht="15" customHeight="1">
      <c r="B34" s="153" t="s">
        <v>336</v>
      </c>
      <c r="C34" s="106"/>
      <c r="D34" s="77" t="s">
        <v>337</v>
      </c>
    </row>
    <row r="35" spans="2:30" ht="15" customHeight="1">
      <c r="B35" s="155" t="s">
        <v>168</v>
      </c>
      <c r="C35" s="107"/>
      <c r="D35" s="76" t="s">
        <v>320</v>
      </c>
      <c r="AD35" s="21">
        <v>2023</v>
      </c>
    </row>
    <row r="36" spans="2:30" ht="15" customHeight="1" thickBot="1">
      <c r="B36" s="156" t="s">
        <v>169</v>
      </c>
      <c r="C36" s="108"/>
      <c r="D36" s="82" t="s">
        <v>321</v>
      </c>
      <c r="AD36" s="21">
        <v>2024</v>
      </c>
    </row>
    <row r="37" spans="2:30" ht="15" customHeight="1" thickTop="1">
      <c r="B37" s="131"/>
      <c r="C37" s="116"/>
      <c r="D37" s="132"/>
      <c r="AD37" s="21">
        <v>2025</v>
      </c>
    </row>
    <row r="38" spans="2:30" ht="24.95" customHeight="1">
      <c r="B38" s="133" t="s">
        <v>319</v>
      </c>
      <c r="C38" s="33"/>
      <c r="D38" s="75"/>
      <c r="AD38" s="21">
        <v>2026</v>
      </c>
    </row>
    <row r="39" spans="2:30">
      <c r="B39" s="134" t="s">
        <v>167</v>
      </c>
      <c r="C39" s="35" t="s">
        <v>224</v>
      </c>
      <c r="D39" s="75"/>
      <c r="AD39" s="218" t="s">
        <v>127</v>
      </c>
    </row>
    <row r="40" spans="2:30">
      <c r="B40" s="135" t="s">
        <v>128</v>
      </c>
      <c r="C40" s="107"/>
      <c r="D40" s="75" t="s">
        <v>120</v>
      </c>
      <c r="AD40" s="218" t="s">
        <v>122</v>
      </c>
    </row>
    <row r="41" spans="2:30">
      <c r="B41" s="135" t="s">
        <v>166</v>
      </c>
      <c r="C41" s="107"/>
      <c r="D41" s="75" t="s">
        <v>170</v>
      </c>
      <c r="AD41" s="218" t="s">
        <v>123</v>
      </c>
    </row>
    <row r="42" spans="2:30">
      <c r="B42" s="135" t="s">
        <v>212</v>
      </c>
      <c r="C42" s="107"/>
      <c r="D42" s="75" t="s">
        <v>145</v>
      </c>
      <c r="AD42" s="218" t="s">
        <v>126</v>
      </c>
    </row>
    <row r="43" spans="2:30">
      <c r="B43" s="136"/>
      <c r="C43" s="36"/>
      <c r="D43" s="79"/>
      <c r="AD43" s="218" t="s">
        <v>120</v>
      </c>
    </row>
    <row r="44" spans="2:30" ht="24.95" customHeight="1" thickBot="1">
      <c r="B44" s="137" t="s">
        <v>229</v>
      </c>
      <c r="C44" s="138"/>
      <c r="D44" s="132"/>
      <c r="AD44" s="218" t="s">
        <v>125</v>
      </c>
    </row>
    <row r="45" spans="2:30" ht="19.5" thickTop="1">
      <c r="B45" s="139" t="s">
        <v>236</v>
      </c>
      <c r="C45" s="80"/>
      <c r="D45" s="81"/>
      <c r="AD45" s="21" t="s">
        <v>121</v>
      </c>
    </row>
    <row r="46" spans="2:30" ht="30">
      <c r="B46" s="140" t="s">
        <v>235</v>
      </c>
      <c r="C46" s="78"/>
      <c r="D46" s="83"/>
      <c r="AD46" s="21" t="s">
        <v>146</v>
      </c>
    </row>
    <row r="47" spans="2:30" ht="45">
      <c r="B47" s="117" t="s">
        <v>139</v>
      </c>
      <c r="C47" s="84" t="s">
        <v>230</v>
      </c>
      <c r="D47" s="225" t="s">
        <v>456</v>
      </c>
      <c r="AD47" s="218" t="s">
        <v>145</v>
      </c>
    </row>
    <row r="48" spans="2:30" ht="30">
      <c r="B48" s="141" t="s">
        <v>187</v>
      </c>
      <c r="C48" s="38" t="s">
        <v>228</v>
      </c>
      <c r="D48" s="38" t="s">
        <v>455</v>
      </c>
      <c r="AD48" s="218" t="s">
        <v>170</v>
      </c>
    </row>
    <row r="49" spans="2:30">
      <c r="B49" s="142">
        <f>+C40</f>
        <v>0</v>
      </c>
      <c r="C49" s="76">
        <v>110.8</v>
      </c>
      <c r="D49" s="76">
        <v>110.8</v>
      </c>
      <c r="AD49" s="218" t="s">
        <v>171</v>
      </c>
    </row>
    <row r="50" spans="2:30">
      <c r="B50" s="143"/>
      <c r="C50" s="35"/>
      <c r="D50" s="74"/>
      <c r="AD50" s="21" t="s">
        <v>172</v>
      </c>
    </row>
    <row r="51" spans="2:30" ht="18.75">
      <c r="B51" s="144" t="s">
        <v>237</v>
      </c>
      <c r="C51" s="33"/>
      <c r="D51" s="74"/>
      <c r="AD51" s="21" t="s">
        <v>173</v>
      </c>
    </row>
    <row r="52" spans="2:30" ht="30">
      <c r="B52" s="142" t="s">
        <v>234</v>
      </c>
      <c r="C52" s="33"/>
      <c r="D52" s="74"/>
      <c r="AD52" s="21" t="s">
        <v>174</v>
      </c>
    </row>
    <row r="53" spans="2:30" ht="53.45" customHeight="1">
      <c r="B53" s="117" t="s">
        <v>139</v>
      </c>
      <c r="C53" s="84" t="s">
        <v>231</v>
      </c>
      <c r="D53" s="74"/>
      <c r="AD53" s="21" t="s">
        <v>175</v>
      </c>
    </row>
    <row r="54" spans="2:30" ht="30">
      <c r="B54" s="141"/>
      <c r="C54" s="38" t="s">
        <v>199</v>
      </c>
      <c r="D54" s="38" t="s">
        <v>455</v>
      </c>
      <c r="AD54" s="21" t="s">
        <v>176</v>
      </c>
    </row>
    <row r="55" spans="2:30">
      <c r="B55" s="142" t="s">
        <v>152</v>
      </c>
      <c r="C55" s="76">
        <v>115.4</v>
      </c>
      <c r="D55" s="76">
        <v>115.4</v>
      </c>
      <c r="AD55" s="21" t="s">
        <v>177</v>
      </c>
    </row>
    <row r="56" spans="2:30">
      <c r="B56" s="142"/>
      <c r="C56" s="33"/>
      <c r="D56" s="74"/>
      <c r="AD56" s="21" t="s">
        <v>178</v>
      </c>
    </row>
    <row r="57" spans="2:30" ht="18.75">
      <c r="B57" s="144" t="s">
        <v>238</v>
      </c>
      <c r="C57" s="33"/>
      <c r="D57" s="74"/>
      <c r="AD57" s="21" t="s">
        <v>179</v>
      </c>
    </row>
    <row r="58" spans="2:30" ht="30">
      <c r="B58" s="142" t="s">
        <v>234</v>
      </c>
      <c r="C58" s="33"/>
      <c r="D58" s="74"/>
      <c r="AD58" s="21" t="s">
        <v>180</v>
      </c>
    </row>
    <row r="59" spans="2:30" ht="30">
      <c r="B59" s="117" t="s">
        <v>139</v>
      </c>
      <c r="C59" s="84" t="s">
        <v>232</v>
      </c>
      <c r="D59" s="75"/>
      <c r="AD59" s="21" t="s">
        <v>181</v>
      </c>
    </row>
    <row r="60" spans="2:30" ht="30">
      <c r="B60" s="141"/>
      <c r="C60" s="38" t="s">
        <v>199</v>
      </c>
      <c r="D60" s="38" t="s">
        <v>455</v>
      </c>
      <c r="AD60" s="21" t="s">
        <v>182</v>
      </c>
    </row>
    <row r="61" spans="2:30">
      <c r="B61" s="145" t="s">
        <v>156</v>
      </c>
      <c r="C61" s="76">
        <v>110.4</v>
      </c>
      <c r="D61" s="76">
        <v>110.4</v>
      </c>
    </row>
    <row r="62" spans="2:30">
      <c r="B62" s="114"/>
      <c r="C62" s="33"/>
      <c r="D62" s="75"/>
    </row>
    <row r="63" spans="2:30" ht="18.75">
      <c r="B63" s="144" t="s">
        <v>239</v>
      </c>
      <c r="C63" s="33"/>
      <c r="D63" s="74"/>
      <c r="AD63" s="218"/>
    </row>
    <row r="64" spans="2:30" ht="30">
      <c r="B64" s="142" t="s">
        <v>233</v>
      </c>
      <c r="C64" s="33"/>
      <c r="D64" s="74"/>
      <c r="AD64" s="218"/>
    </row>
    <row r="65" spans="2:30">
      <c r="B65" s="117" t="s">
        <v>147</v>
      </c>
      <c r="C65" s="33"/>
      <c r="D65" s="74"/>
      <c r="AD65" s="218"/>
    </row>
    <row r="66" spans="2:30">
      <c r="B66" s="141" t="s">
        <v>188</v>
      </c>
      <c r="C66" s="37" t="s">
        <v>225</v>
      </c>
      <c r="D66" s="38" t="s">
        <v>455</v>
      </c>
      <c r="AD66" s="218"/>
    </row>
    <row r="67" spans="2:30">
      <c r="B67" s="142" t="s">
        <v>145</v>
      </c>
      <c r="C67" s="76">
        <v>20.149999999999999</v>
      </c>
      <c r="D67" s="76">
        <v>20.149999999999999</v>
      </c>
      <c r="AD67" s="218"/>
    </row>
    <row r="68" spans="2:30">
      <c r="B68" s="142" t="s">
        <v>146</v>
      </c>
      <c r="C68" s="107"/>
      <c r="D68" s="76"/>
      <c r="AD68" s="218"/>
    </row>
    <row r="69" spans="2:30" ht="15.75" thickBot="1">
      <c r="B69" s="206"/>
      <c r="C69" s="207"/>
      <c r="D69" s="208"/>
      <c r="AD69" s="218"/>
    </row>
    <row r="70" spans="2:30" ht="15.75" thickTop="1">
      <c r="AD70" s="218"/>
    </row>
    <row r="71" spans="2:30">
      <c r="AD71" s="218"/>
    </row>
    <row r="72" spans="2:30">
      <c r="AD72" s="218"/>
    </row>
    <row r="73" spans="2:30">
      <c r="AD73" s="218"/>
    </row>
    <row r="74" spans="2:30" s="229" customFormat="1" ht="21">
      <c r="B74" s="229" t="s">
        <v>467</v>
      </c>
      <c r="AD74" s="230"/>
    </row>
    <row r="75" spans="2:30">
      <c r="AD75" s="218"/>
    </row>
    <row r="76" spans="2:30" s="229" customFormat="1" ht="21">
      <c r="B76" s="229" t="s">
        <v>466</v>
      </c>
      <c r="AD76" s="230"/>
    </row>
    <row r="79" spans="2:30" s="157" customFormat="1"/>
    <row r="80" spans="2:30" s="157" customFormat="1"/>
    <row r="86" spans="1:5">
      <c r="A86" s="209"/>
      <c r="B86" s="209"/>
      <c r="C86" s="209"/>
      <c r="D86" s="209"/>
      <c r="E86" s="219"/>
    </row>
    <row r="87" spans="1:5">
      <c r="A87" s="209"/>
      <c r="B87" s="209"/>
      <c r="C87" s="209"/>
      <c r="D87" s="209"/>
      <c r="E87" s="219"/>
    </row>
    <row r="88" spans="1:5">
      <c r="A88" s="209"/>
      <c r="B88" s="209"/>
      <c r="C88" s="209"/>
      <c r="D88" s="209"/>
      <c r="E88" s="219"/>
    </row>
    <row r="89" spans="1:5">
      <c r="A89" s="209"/>
      <c r="B89" s="209"/>
      <c r="C89" s="209"/>
      <c r="D89" s="209"/>
      <c r="E89" s="219"/>
    </row>
    <row r="90" spans="1:5">
      <c r="A90" s="209"/>
      <c r="B90" s="209"/>
      <c r="C90" s="209"/>
      <c r="D90" s="209"/>
      <c r="E90" s="219"/>
    </row>
    <row r="91" spans="1:5" ht="30">
      <c r="A91" s="209"/>
      <c r="B91" s="210" t="s">
        <v>194</v>
      </c>
      <c r="C91" s="211" t="s">
        <v>200</v>
      </c>
      <c r="D91" s="212"/>
      <c r="E91" s="219"/>
    </row>
    <row r="92" spans="1:5">
      <c r="A92" s="209"/>
      <c r="B92" s="213" t="s">
        <v>190</v>
      </c>
      <c r="C92" s="214">
        <v>0.05</v>
      </c>
      <c r="D92" s="215">
        <v>0.05</v>
      </c>
      <c r="E92" s="219"/>
    </row>
    <row r="93" spans="1:5">
      <c r="A93" s="209"/>
      <c r="B93" s="213" t="s">
        <v>191</v>
      </c>
      <c r="C93" s="214">
        <v>0.25</v>
      </c>
      <c r="D93" s="215">
        <v>0.25</v>
      </c>
      <c r="E93" s="219"/>
    </row>
    <row r="94" spans="1:5">
      <c r="A94" s="209"/>
      <c r="B94" s="213" t="s">
        <v>192</v>
      </c>
      <c r="C94" s="214">
        <v>0.1</v>
      </c>
      <c r="D94" s="215">
        <v>0.1</v>
      </c>
      <c r="E94" s="219"/>
    </row>
    <row r="95" spans="1:5">
      <c r="A95" s="209"/>
      <c r="B95" s="213" t="s">
        <v>193</v>
      </c>
      <c r="C95" s="214">
        <v>0.6</v>
      </c>
      <c r="D95" s="215">
        <v>0.6</v>
      </c>
      <c r="E95" s="219"/>
    </row>
    <row r="96" spans="1:5">
      <c r="A96" s="209"/>
      <c r="B96" s="213" t="s">
        <v>10</v>
      </c>
      <c r="C96" s="214">
        <f>SUM(C92:C95)</f>
        <v>1</v>
      </c>
      <c r="D96" s="212"/>
      <c r="E96" s="219"/>
    </row>
    <row r="97" spans="1:5">
      <c r="A97" s="209"/>
      <c r="B97" s="213"/>
      <c r="C97" s="209"/>
      <c r="D97" s="212"/>
      <c r="E97" s="219"/>
    </row>
    <row r="98" spans="1:5">
      <c r="A98" s="209"/>
      <c r="B98" s="209"/>
      <c r="C98" s="209"/>
      <c r="D98" s="209"/>
      <c r="E98" s="219"/>
    </row>
    <row r="99" spans="1:5">
      <c r="A99" s="209"/>
      <c r="B99" s="209"/>
      <c r="C99" s="209"/>
      <c r="D99" s="209"/>
      <c r="E99" s="219"/>
    </row>
    <row r="100" spans="1:5">
      <c r="A100" s="209"/>
      <c r="B100" s="209"/>
      <c r="C100" s="209"/>
      <c r="D100" s="209"/>
      <c r="E100" s="219"/>
    </row>
  </sheetData>
  <dataValidations disablePrompts="1" count="5">
    <dataValidation type="list" allowBlank="1" showInputMessage="1" showErrorMessage="1" sqref="C41" xr:uid="{38DA6615-0646-4E14-8E95-685791381743}">
      <formula1>$AD$48:$AD$49</formula1>
    </dataValidation>
    <dataValidation type="list" allowBlank="1" showInputMessage="1" showErrorMessage="1" sqref="C42" xr:uid="{C0ED9A5E-5463-4AC3-9342-8458ED7D553F}">
      <formula1>$AD$46:$AD$47</formula1>
    </dataValidation>
    <dataValidation type="list" allowBlank="1" showInputMessage="1" showErrorMessage="1" sqref="C40" xr:uid="{71181AFE-1168-4C4A-977F-7FA305765F30}">
      <formula1>$AD$39:$AD$45</formula1>
    </dataValidation>
    <dataValidation type="list" allowBlank="1" showInputMessage="1" showErrorMessage="1" sqref="C35" xr:uid="{6B39F823-3F36-42C0-B594-C8BB330CCD2A}">
      <formula1>$AD$35:$AD$38</formula1>
    </dataValidation>
    <dataValidation type="list" allowBlank="1" showInputMessage="1" showErrorMessage="1" sqref="C36:C37" xr:uid="{9A654BD9-B309-4F82-9B2B-C3D131880F72}">
      <formula1>$AD$50:$AD$60</formula1>
    </dataValidation>
  </dataValidations>
  <hyperlinks>
    <hyperlink ref="B47" r:id="rId1" xr:uid="{75F94CAE-3051-40B0-A2F6-D479210A2A51}"/>
    <hyperlink ref="B53" r:id="rId2" xr:uid="{598E366A-3185-415E-B5DF-377252B38025}"/>
    <hyperlink ref="B59" r:id="rId3" xr:uid="{5BC85541-4CA5-485C-AC57-FC515D7F1D14}"/>
    <hyperlink ref="B65" r:id="rId4" xr:uid="{E4C5B554-64AF-4871-A4E6-E9007A877612}"/>
    <hyperlink ref="D17" r:id="rId5" xr:uid="{BC6D3AC9-58FA-4567-9E7A-7D44D50316B4}"/>
    <hyperlink ref="D28" r:id="rId6" xr:uid="{25936734-BFE3-4C7D-92E1-D62FBA36E50F}"/>
  </hyperlinks>
  <pageMargins left="0.7" right="0.7" top="0.75" bottom="0.75" header="0.3" footer="0.3"/>
  <pageSetup paperSize="9" scale="49" orientation="portrait" horizontalDpi="1200" verticalDpi="1200" r:id="rId7"/>
  <headerFooter>
    <oddHeader>&amp;C&amp;G</oddHeader>
    <oddFooter>&amp;C&amp;G</oddFooter>
  </headerFooter>
  <drawing r:id="rId8"/>
  <legacyDrawingHF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073DD-939C-419F-91FA-9F32D1DE90D8}">
  <sheetPr>
    <pageSetUpPr fitToPage="1"/>
  </sheetPr>
  <dimension ref="B1:J180"/>
  <sheetViews>
    <sheetView showGridLines="0" tabSelected="1" showRuler="0" zoomScale="75" zoomScaleNormal="75" workbookViewId="0">
      <selection activeCell="N5" sqref="N5"/>
    </sheetView>
  </sheetViews>
  <sheetFormatPr defaultColWidth="8.85546875" defaultRowHeight="15" outlineLevelRow="1"/>
  <cols>
    <col min="1" max="1" width="1.42578125" customWidth="1"/>
    <col min="2" max="2" width="151.85546875" customWidth="1"/>
    <col min="3" max="3" width="8.85546875" style="34"/>
    <col min="4" max="4" width="17.42578125" style="34" customWidth="1"/>
    <col min="5" max="5" width="14.42578125" customWidth="1"/>
    <col min="6" max="6" width="19.42578125" style="18" customWidth="1"/>
    <col min="10" max="10" width="12.85546875" bestFit="1" customWidth="1"/>
  </cols>
  <sheetData>
    <row r="1" spans="2:10" ht="23.25">
      <c r="B1" s="85" t="s">
        <v>360</v>
      </c>
    </row>
    <row r="2" spans="2:10" ht="30">
      <c r="B2" s="177" t="s">
        <v>362</v>
      </c>
      <c r="D2" s="106" t="s">
        <v>356</v>
      </c>
    </row>
    <row r="3" spans="2:10" ht="15.75" thickBot="1">
      <c r="D3" s="178" t="s">
        <v>359</v>
      </c>
    </row>
    <row r="4" spans="2:10" ht="46.5" thickTop="1" thickBot="1">
      <c r="B4" s="188" t="s">
        <v>51</v>
      </c>
      <c r="C4" s="184" t="s">
        <v>357</v>
      </c>
      <c r="D4" s="185" t="s">
        <v>53</v>
      </c>
      <c r="E4" s="186" t="s">
        <v>358</v>
      </c>
      <c r="F4" s="187" t="s">
        <v>52</v>
      </c>
    </row>
    <row r="5" spans="2:10">
      <c r="B5" s="179" t="str">
        <f>+'Rates'!B71</f>
        <v>10 - FINAL LANDFORM</v>
      </c>
      <c r="C5" s="180"/>
      <c r="D5" s="181"/>
      <c r="E5" s="182"/>
      <c r="F5" s="183">
        <f>+SUM(F7:F18)</f>
        <v>0</v>
      </c>
      <c r="J5" s="18"/>
    </row>
    <row r="6" spans="2:10">
      <c r="B6" s="59" t="str">
        <f>+'Rates'!C71</f>
        <v>10.1 - Dewatering</v>
      </c>
      <c r="C6" s="42"/>
      <c r="D6" s="56"/>
      <c r="E6" s="43"/>
      <c r="F6" s="39"/>
      <c r="J6" s="18"/>
    </row>
    <row r="7" spans="2:10" outlineLevel="1">
      <c r="B7" s="65" t="str">
        <f>+'Rates'!D71</f>
        <v>Drain/dewater stormwater from voids/pit/dams and discharge into temporary containment/tanker facility (refer to earthworks overall item for removal off site)</v>
      </c>
      <c r="C7" s="42" t="str">
        <f>+VLOOKUP(B7,Rates[[Work_Item]:[BASE]],2,FALSE)</f>
        <v>m³</v>
      </c>
      <c r="D7" s="175"/>
      <c r="E7" s="44" t="e">
        <f>+VLOOKUP(B7,Rates[[Work_Item]:[FY3]],5,FALSE)</f>
        <v>#N/A</v>
      </c>
      <c r="F7" s="39">
        <f>+IF(D7="",0,E7*D7)</f>
        <v>0</v>
      </c>
    </row>
    <row r="8" spans="2:10" outlineLevel="1">
      <c r="B8" s="65" t="str">
        <f>+'Rates'!D72</f>
        <v xml:space="preserve">Drain/dewater stormwater from voids/pit/dams and discharge into environment (if authorised) </v>
      </c>
      <c r="C8" s="42" t="str">
        <f>+VLOOKUP(B8,Rates[[Work_Item]:[BASE]],2,FALSE)</f>
        <v>m³</v>
      </c>
      <c r="D8" s="175"/>
      <c r="E8" s="44" t="e">
        <f>+VLOOKUP(B8,Rates[[Work_Item]:[FY3]],5,FALSE)</f>
        <v>#N/A</v>
      </c>
      <c r="F8" s="39">
        <f>+IF(D8="",0,E8*D8)</f>
        <v>0</v>
      </c>
    </row>
    <row r="9" spans="2:10">
      <c r="B9" s="65"/>
      <c r="C9" s="42"/>
      <c r="D9" s="56"/>
      <c r="E9" s="44"/>
      <c r="F9" s="39"/>
    </row>
    <row r="10" spans="2:10">
      <c r="B10" s="66" t="str">
        <f>+'Rates'!C73</f>
        <v>10.2 - Landform shaping</v>
      </c>
      <c r="C10" s="42"/>
      <c r="D10" s="56"/>
      <c r="E10" s="43"/>
      <c r="F10" s="39"/>
    </row>
    <row r="11" spans="2:10" outlineLevel="1">
      <c r="B11" s="67" t="str">
        <f>+'Rates'!D73</f>
        <v>Dozing in all materials (excluding hard rock) for final reshaping - up to 100m dozing distance (flat slopes to downhill)</v>
      </c>
      <c r="C11" s="42" t="str">
        <f>+VLOOKUP(B11,Rates[[Work_Item]:[BASE]],2,FALSE)</f>
        <v>m³</v>
      </c>
      <c r="D11" s="175"/>
      <c r="E11" s="44" t="e">
        <f>+VLOOKUP(B11,Rates[[Work_Item]:[FY3]],5,FALSE)</f>
        <v>#N/A</v>
      </c>
      <c r="F11" s="39">
        <f t="shared" ref="F11:F18" si="0">+IF(D11="",0,E11*D11)</f>
        <v>0</v>
      </c>
    </row>
    <row r="12" spans="2:10" outlineLevel="1">
      <c r="B12" s="67" t="str">
        <f>+'Rates'!D74</f>
        <v>Dozing in all materials (excluding hard rock) for final reshaping - up to 150m dozing distance (flat slopes to downhill)</v>
      </c>
      <c r="C12" s="42" t="str">
        <f>+VLOOKUP(B12,Rates[[Work_Item]:[BASE]],2,FALSE)</f>
        <v>m³</v>
      </c>
      <c r="D12" s="175"/>
      <c r="E12" s="44" t="e">
        <f>+VLOOKUP(B12,Rates[[Work_Item]:[FY3]],5,FALSE)</f>
        <v>#N/A</v>
      </c>
      <c r="F12" s="39">
        <f t="shared" si="0"/>
        <v>0</v>
      </c>
    </row>
    <row r="13" spans="2:10" outlineLevel="1">
      <c r="B13" s="67" t="str">
        <f>+'Rates'!D75</f>
        <v>Load and haul within 1km freehaul, including offloading and spreading (where applicable)</v>
      </c>
      <c r="C13" s="42" t="str">
        <f>+VLOOKUP(B13,Rates[[Work_Item]:[BASE]],2,FALSE)</f>
        <v>m³</v>
      </c>
      <c r="D13" s="175"/>
      <c r="E13" s="44" t="e">
        <f>+VLOOKUP(B13,Rates[[Work_Item]:[FY3]],5,FALSE)</f>
        <v>#N/A</v>
      </c>
      <c r="F13" s="39">
        <f t="shared" si="0"/>
        <v>0</v>
      </c>
    </row>
    <row r="14" spans="2:10" outlineLevel="1">
      <c r="B14" s="67" t="str">
        <f>+'Rates'!D76</f>
        <v>Overhaul of earthworks material in excess of free-haul 1 km</v>
      </c>
      <c r="C14" s="42" t="str">
        <f>+VLOOKUP(B14,Rates[[Work_Item]:[BASE]],2,FALSE)</f>
        <v>m³.km</v>
      </c>
      <c r="D14" s="175"/>
      <c r="E14" s="44" t="e">
        <f>+VLOOKUP(B14,Rates[[Work_Item]:[FY3]],5,FALSE)</f>
        <v>#N/A</v>
      </c>
      <c r="F14" s="39">
        <f t="shared" si="0"/>
        <v>0</v>
      </c>
    </row>
    <row r="15" spans="2:10" outlineLevel="1">
      <c r="B15" s="67" t="str">
        <f>+'Rates'!D77</f>
        <v>Rip compacted areas</v>
      </c>
      <c r="C15" s="42" t="str">
        <f>+VLOOKUP(B15,Rates[[Work_Item]:[BASE]],2,FALSE)</f>
        <v>m²</v>
      </c>
      <c r="D15" s="175"/>
      <c r="E15" s="44" t="e">
        <f>+VLOOKUP(B15,Rates[[Work_Item]:[FY3]],5,FALSE)</f>
        <v>#N/A</v>
      </c>
      <c r="F15" s="39">
        <f t="shared" si="0"/>
        <v>0</v>
      </c>
    </row>
    <row r="16" spans="2:10" ht="30" outlineLevel="1">
      <c r="B16" s="67" t="str">
        <f>+'Rates'!D78</f>
        <v>Excavation in hard rock material (materials that cannot be efficiently removed without use of pneumatic tools or without wedging and splitting before removal)</v>
      </c>
      <c r="C16" s="42" t="str">
        <f>+VLOOKUP(B16,Rates[[Work_Item]:[BASE]],2,FALSE)</f>
        <v>m³</v>
      </c>
      <c r="D16" s="175"/>
      <c r="E16" s="44" t="e">
        <f>+VLOOKUP(B16,Rates[[Work_Item]:[FY3]],5,FALSE)</f>
        <v>#N/A</v>
      </c>
      <c r="F16" s="39">
        <f t="shared" si="0"/>
        <v>0</v>
      </c>
    </row>
    <row r="17" spans="2:6" outlineLevel="1">
      <c r="B17" s="67" t="str">
        <f>+'Rates'!D79</f>
        <v xml:space="preserve">General area blasting and shaping (Drill, blast, &amp; Dozing 100% of blasted materials up to 50m) - drill patterns widely spread </v>
      </c>
      <c r="C17" s="42" t="str">
        <f>+VLOOKUP(B17,Rates[[Work_Item]:[BASE]],2,FALSE)</f>
        <v>m³</v>
      </c>
      <c r="D17" s="175"/>
      <c r="E17" s="44" t="e">
        <f>+VLOOKUP(B17,Rates[[Work_Item]:[FY3]],5,FALSE)</f>
        <v>#N/A</v>
      </c>
      <c r="F17" s="39">
        <f t="shared" si="0"/>
        <v>0</v>
      </c>
    </row>
    <row r="18" spans="2:6" ht="30" outlineLevel="1">
      <c r="B18" s="67" t="str">
        <f>+'Rates'!D80</f>
        <v>Highwall blasting and shaping (Drill, blast, &amp; Dozing 50% of blasted materials up to 50m) - drill patterns widely spread on to depths reaching design level over larger areas to enable cast blasting of materials into void</v>
      </c>
      <c r="C18" s="42" t="str">
        <f>+VLOOKUP(B18,Rates[[Work_Item]:[BASE]],2,FALSE)</f>
        <v>m³</v>
      </c>
      <c r="D18" s="175"/>
      <c r="E18" s="44" t="e">
        <f>+VLOOKUP(B18,Rates[[Work_Item]:[FY3]],5,FALSE)</f>
        <v>#N/A</v>
      </c>
      <c r="F18" s="39">
        <f t="shared" si="0"/>
        <v>0</v>
      </c>
    </row>
    <row r="19" spans="2:6">
      <c r="B19" s="67"/>
      <c r="C19" s="42"/>
      <c r="D19" s="56"/>
      <c r="E19" s="44"/>
      <c r="F19" s="39"/>
    </row>
    <row r="20" spans="2:6">
      <c r="B20" s="31" t="str">
        <f>+'Rates'!B81</f>
        <v>20 - TOPSOIL AND VEGETATION</v>
      </c>
      <c r="C20" s="42"/>
      <c r="D20" s="56"/>
      <c r="E20" s="43"/>
      <c r="F20" s="71">
        <f>SUM(F22:F30)</f>
        <v>0</v>
      </c>
    </row>
    <row r="21" spans="2:6">
      <c r="B21" s="66" t="str">
        <f>+'Rates'!C81</f>
        <v>20.1 - Topsoil</v>
      </c>
      <c r="C21" s="42"/>
      <c r="D21" s="56"/>
      <c r="E21" s="43"/>
      <c r="F21" s="39"/>
    </row>
    <row r="22" spans="2:6" outlineLevel="1">
      <c r="B22" s="65" t="str">
        <f>+'Rates'!D81</f>
        <v>Supply, deliver and spread topsoil (assume commercial sources)</v>
      </c>
      <c r="C22" s="42" t="str">
        <f>+VLOOKUP(B22,Rates[[Work_Item]:[BASE]],2,FALSE)</f>
        <v>m³</v>
      </c>
      <c r="D22" s="175"/>
      <c r="E22" s="44" t="e">
        <f>+VLOOKUP(B22,Rates[[Work_Item]:[FY3]],5,FALSE)</f>
        <v>#N/A</v>
      </c>
      <c r="F22" s="39">
        <f>+IF(D22="",0,E22*D22)</f>
        <v>0</v>
      </c>
    </row>
    <row r="23" spans="2:6" outlineLevel="1">
      <c r="B23" s="65" t="str">
        <f>+'Rates'!D82</f>
        <v>Import topsoil from a stockpile within 1km, offload and spreading</v>
      </c>
      <c r="C23" s="42" t="str">
        <f>+VLOOKUP(B23,Rates[[Work_Item]:[BASE]],2,FALSE)</f>
        <v>m³</v>
      </c>
      <c r="D23" s="175"/>
      <c r="E23" s="44" t="e">
        <f>+VLOOKUP(B23,Rates[[Work_Item]:[FY3]],5,FALSE)</f>
        <v>#N/A</v>
      </c>
      <c r="F23" s="39">
        <f>+IF(D23="",0,E23*D23)</f>
        <v>0</v>
      </c>
    </row>
    <row r="24" spans="2:6" outlineLevel="1">
      <c r="B24" s="65" t="str">
        <f>+'Rates'!D83</f>
        <v>Overhaul of topsoil material in excess of free-haul 1 km</v>
      </c>
      <c r="C24" s="42" t="str">
        <f>+VLOOKUP(B24,Rates[[Work_Item]:[BASE]],2,FALSE)</f>
        <v>m³.km</v>
      </c>
      <c r="D24" s="175"/>
      <c r="E24" s="44" t="e">
        <f>+VLOOKUP(B24,Rates[[Work_Item]:[FY3]],5,FALSE)</f>
        <v>#N/A</v>
      </c>
      <c r="F24" s="39">
        <f>+IF(D24="",0,E24*D24)</f>
        <v>0</v>
      </c>
    </row>
    <row r="25" spans="2:6">
      <c r="B25" s="65"/>
      <c r="C25" s="42"/>
      <c r="D25" s="56"/>
      <c r="E25" s="44"/>
      <c r="F25" s="39"/>
    </row>
    <row r="26" spans="2:6">
      <c r="B26" s="66" t="str">
        <f>+'Rates'!C87</f>
        <v>20.2 - Establish vegetation (first time)</v>
      </c>
      <c r="C26" s="42"/>
      <c r="D26" s="56"/>
      <c r="E26" s="44"/>
      <c r="F26" s="39"/>
    </row>
    <row r="27" spans="2:6" outlineLevel="1">
      <c r="B27" s="65" t="str">
        <f>+'Rates'!D84</f>
        <v>Supply and deliver agricultural lime for neutralisation of areas</v>
      </c>
      <c r="C27" s="42" t="str">
        <f>+VLOOKUP(B27,Rates[[Work_Item]:[BASE]],2,FALSE)</f>
        <v>t</v>
      </c>
      <c r="D27" s="175"/>
      <c r="E27" s="44" t="e">
        <f>+VLOOKUP(B27,Rates[[Work_Item]:[FY3]],5,FALSE)</f>
        <v>#N/A</v>
      </c>
      <c r="F27" s="39">
        <f>+IF(D27="",0,E27*D27)</f>
        <v>0</v>
      </c>
    </row>
    <row r="28" spans="2:6" outlineLevel="1">
      <c r="B28" s="65" t="str">
        <f>+'Rates'!D85</f>
        <v>Spread agricultural lime to areas</v>
      </c>
      <c r="C28" s="42" t="str">
        <f>+VLOOKUP(B28,Rates[[Work_Item]:[BASE]],2,FALSE)</f>
        <v>m²</v>
      </c>
      <c r="D28" s="175"/>
      <c r="E28" s="44" t="e">
        <f>+VLOOKUP(B28,Rates[[Work_Item]:[FY3]],5,FALSE)</f>
        <v>#N/A</v>
      </c>
      <c r="F28" s="39">
        <f>+IF(D28="",0,E28*D28)</f>
        <v>0</v>
      </c>
    </row>
    <row r="29" spans="2:6" outlineLevel="1">
      <c r="B29" s="65" t="str">
        <f>+'Rates'!D86</f>
        <v xml:space="preserve">Vegetate areas - local grass seed mix </v>
      </c>
      <c r="C29" s="42" t="str">
        <f>+VLOOKUP(B29,Rates[[Work_Item]:[BASE]],2,FALSE)</f>
        <v>m²</v>
      </c>
      <c r="D29" s="175"/>
      <c r="E29" s="44" t="e">
        <f>+VLOOKUP(B29,Rates[[Work_Item]:[FY3]],5,FALSE)</f>
        <v>#N/A</v>
      </c>
      <c r="F29" s="39">
        <f>+IF(D29="",0,E29*D29)</f>
        <v>0</v>
      </c>
    </row>
    <row r="30" spans="2:6" outlineLevel="1">
      <c r="B30" s="65" t="str">
        <f>+'Rates'!D87</f>
        <v>Supply and fertilize areas</v>
      </c>
      <c r="C30" s="42" t="str">
        <f>+VLOOKUP(B30,Rates[[Work_Item]:[BASE]],2,FALSE)</f>
        <v>m²</v>
      </c>
      <c r="D30" s="175"/>
      <c r="E30" s="44" t="e">
        <f>+VLOOKUP(B30,Rates[[Work_Item]:[FY3]],5,FALSE)</f>
        <v>#N/A</v>
      </c>
      <c r="F30" s="39">
        <f>+IF(D30="",0,E30*D30)</f>
        <v>0</v>
      </c>
    </row>
    <row r="31" spans="2:6">
      <c r="B31" s="65"/>
      <c r="C31" s="42"/>
      <c r="D31" s="56"/>
      <c r="E31" s="44"/>
      <c r="F31" s="39"/>
    </row>
    <row r="32" spans="2:6">
      <c r="B32" s="31" t="str">
        <f>+'Rates'!B88</f>
        <v>30 - STORMWATER MANAGEMENT</v>
      </c>
      <c r="C32" s="42"/>
      <c r="D32" s="56"/>
      <c r="E32" s="43"/>
      <c r="F32" s="71">
        <f>+SUM(F34:F45)</f>
        <v>0</v>
      </c>
    </row>
    <row r="33" spans="2:6">
      <c r="B33" s="66" t="str">
        <f>+'Rates'!C88</f>
        <v>30.1 - Construct earth berms</v>
      </c>
      <c r="C33" s="42"/>
      <c r="D33" s="56"/>
      <c r="E33" s="43"/>
      <c r="F33" s="39"/>
    </row>
    <row r="34" spans="2:6" outlineLevel="1">
      <c r="B34" s="67" t="str">
        <f>+'Rates'!D88</f>
        <v>Construct earth berm (compacted) in engineered layers using on-site suitable materials obtained within 1km freehaul distance</v>
      </c>
      <c r="C34" s="42" t="str">
        <f>+VLOOKUP(B34,Rates[[Work_Item]:[BASE]],2,FALSE)</f>
        <v>m³</v>
      </c>
      <c r="D34" s="175"/>
      <c r="E34" s="44" t="e">
        <f>+VLOOKUP(B34,Rates[[Work_Item]:[FY3]],5,FALSE)</f>
        <v>#N/A</v>
      </c>
      <c r="F34" s="39">
        <f>+IF(D34="",0,E34*D34)</f>
        <v>0</v>
      </c>
    </row>
    <row r="35" spans="2:6">
      <c r="B35" s="67"/>
      <c r="C35" s="42"/>
      <c r="D35" s="56"/>
      <c r="E35" s="44"/>
      <c r="F35" s="39"/>
    </row>
    <row r="36" spans="2:6">
      <c r="B36" s="66" t="str">
        <f>+'Rates'!C90</f>
        <v>30.2 - Construct canals/drains</v>
      </c>
      <c r="C36" s="42"/>
      <c r="D36" s="56"/>
      <c r="E36" s="43"/>
      <c r="F36" s="39"/>
    </row>
    <row r="37" spans="2:6" outlineLevel="1">
      <c r="B37" s="67" t="str">
        <f>+'Rates'!D89</f>
        <v>Excavation of canals (in all materials excluding hard rock) up to 3m depth and place material next to canal excavation to form a berm</v>
      </c>
      <c r="C37" s="42" t="str">
        <f>+VLOOKUP(B37,Rates[[Work_Item]:[BASE]],2,FALSE)</f>
        <v>m³</v>
      </c>
      <c r="D37" s="175"/>
      <c r="E37" s="44" t="e">
        <f>+VLOOKUP(B37,Rates[[Work_Item]:[FY3]],5,FALSE)</f>
        <v>#N/A</v>
      </c>
      <c r="F37" s="39">
        <f>+IF(D37="",0,E37*D37)</f>
        <v>0</v>
      </c>
    </row>
    <row r="38" spans="2:6" outlineLevel="1">
      <c r="B38" s="67" t="str">
        <f>+'Rates'!D90</f>
        <v>Excavation of canals (in hard rock) up to 3m depth and dispose of material (or use as erosion protection if suitable) within 1km freehaul distance</v>
      </c>
      <c r="C38" s="42" t="str">
        <f>+VLOOKUP(B38,Rates[[Work_Item]:[BASE]],2,FALSE)</f>
        <v>m³</v>
      </c>
      <c r="D38" s="175"/>
      <c r="E38" s="44" t="e">
        <f>+VLOOKUP(B38,Rates[[Work_Item]:[FY3]],5,FALSE)</f>
        <v>#N/A</v>
      </c>
      <c r="F38" s="39">
        <f>+IF(D38="",0,E38*D38)</f>
        <v>0</v>
      </c>
    </row>
    <row r="39" spans="2:6" outlineLevel="1">
      <c r="B39" s="67" t="str">
        <f>+'Rates'!D91</f>
        <v>Restricted blasting within canal profile and shaping (Drill, blast, &amp; load&amp;haul blasted materials up to 1km)</v>
      </c>
      <c r="C39" s="42" t="str">
        <f>+VLOOKUP(B39,Rates[[Work_Item]:[BASE]],2,FALSE)</f>
        <v>m³</v>
      </c>
      <c r="D39" s="175"/>
      <c r="E39" s="44" t="e">
        <f>+VLOOKUP(B39,Rates[[Work_Item]:[FY3]],5,FALSE)</f>
        <v>#N/A</v>
      </c>
      <c r="F39" s="39">
        <f>+IF(D39="",0,E39*D39)</f>
        <v>0</v>
      </c>
    </row>
    <row r="40" spans="2:6" ht="30" outlineLevel="1">
      <c r="B40" s="67" t="str">
        <f>+'Rates'!D92</f>
        <v>Supply and install culverts (assuming 2.1 x 2.1 precast portal culverts, inclusive of excavation, backfill, joining materials, cover (assuming 500mm), re-instatement of road (if applicable) - excluding temporary bypass))</v>
      </c>
      <c r="C40" s="42" t="str">
        <f>+VLOOKUP(B40,Rates[[Work_Item]:[BASE]],2,FALSE)</f>
        <v>m</v>
      </c>
      <c r="D40" s="175"/>
      <c r="E40" s="44" t="e">
        <f>+VLOOKUP(B40,Rates[[Work_Item]:[FY3]],5,FALSE)</f>
        <v>#N/A</v>
      </c>
      <c r="F40" s="39">
        <f>+IF(D40="",0,E40*D40)</f>
        <v>0</v>
      </c>
    </row>
    <row r="41" spans="2:6">
      <c r="B41" s="67"/>
      <c r="C41" s="42"/>
      <c r="D41" s="56"/>
      <c r="E41" s="44"/>
      <c r="F41" s="39"/>
    </row>
    <row r="42" spans="2:6">
      <c r="B42" s="66" t="str">
        <f>+'Rates'!C95</f>
        <v>30.3 - Erosion protection</v>
      </c>
      <c r="C42" s="42"/>
      <c r="D42" s="56"/>
      <c r="E42" s="44"/>
      <c r="F42" s="39"/>
    </row>
    <row r="43" spans="2:6" ht="30" outlineLevel="1">
      <c r="B43" s="67" t="str">
        <f>+'Rates'!D93</f>
        <v>Supply installation of erosion protection lining on excavated canal profile from commercial sources (including granular filter, geotextile and rip rap lining (average stone size between 175mm-350mm))</v>
      </c>
      <c r="C43" s="42" t="str">
        <f>+VLOOKUP(B43,Rates[[Work_Item]:[BASE]],2,FALSE)</f>
        <v>m²</v>
      </c>
      <c r="D43" s="175"/>
      <c r="E43" s="44" t="e">
        <f>+VLOOKUP(B43,Rates[[Work_Item]:[FY3]],5,FALSE)</f>
        <v>#N/A</v>
      </c>
      <c r="F43" s="39">
        <f>+IF(D43="",0,E43*D43)</f>
        <v>0</v>
      </c>
    </row>
    <row r="44" spans="2:6" ht="30" outlineLevel="1">
      <c r="B44" s="67" t="str">
        <f>+'Rates'!D94</f>
        <v>Supply installation of erosion protection lining on excavated canal profile from commercial sources (including granular filter, geotextile and rip rap lining (average stone size between 350mm-500mm))</v>
      </c>
      <c r="C44" s="42" t="str">
        <f>+VLOOKUP(B44,Rates[[Work_Item]:[BASE]],2,FALSE)</f>
        <v>m²</v>
      </c>
      <c r="D44" s="175"/>
      <c r="E44" s="44" t="e">
        <f>+VLOOKUP(B44,Rates[[Work_Item]:[FY3]],5,FALSE)</f>
        <v>#N/A</v>
      </c>
      <c r="F44" s="39">
        <f>+IF(D44="",0,E44*D44)</f>
        <v>0</v>
      </c>
    </row>
    <row r="45" spans="2:6" outlineLevel="1">
      <c r="B45" s="67" t="str">
        <f>+'Rates'!D95</f>
        <v>Supply and install pre-cast erosion protection segmented concrete paving blocks in canal profile (inclusive of geotextile filter material)</v>
      </c>
      <c r="C45" s="42" t="str">
        <f>+VLOOKUP(B45,Rates[[Work_Item]:[BASE]],2,FALSE)</f>
        <v>m²</v>
      </c>
      <c r="D45" s="175"/>
      <c r="E45" s="44" t="e">
        <f>+VLOOKUP(B45,Rates[[Work_Item]:[FY3]],5,FALSE)</f>
        <v>#N/A</v>
      </c>
      <c r="F45" s="39">
        <f>+IF(D45="",0,E45*D45)</f>
        <v>0</v>
      </c>
    </row>
    <row r="46" spans="2:6">
      <c r="B46" s="67"/>
      <c r="C46" s="42"/>
      <c r="D46" s="56"/>
      <c r="E46" s="44"/>
      <c r="F46" s="39"/>
    </row>
    <row r="47" spans="2:6">
      <c r="B47" s="31" t="str">
        <f>+'Rates'!B6</f>
        <v>40 - DEMOLISH INFRASTRUCTURE</v>
      </c>
      <c r="C47" s="42"/>
      <c r="D47" s="42"/>
      <c r="E47" s="43"/>
      <c r="F47" s="39"/>
    </row>
    <row r="48" spans="2:6">
      <c r="B48" s="59" t="str">
        <f>+'Rates'!C6</f>
        <v>40.1 - Demolish buildings and structures</v>
      </c>
      <c r="C48" s="42"/>
      <c r="D48" s="42"/>
      <c r="E48" s="43"/>
      <c r="F48" s="71">
        <f>+SUM(F50:F132)</f>
        <v>0</v>
      </c>
    </row>
    <row r="49" spans="2:6" outlineLevel="1">
      <c r="B49" s="88" t="s">
        <v>115</v>
      </c>
      <c r="C49" s="42"/>
      <c r="D49" s="42"/>
      <c r="E49" s="43"/>
      <c r="F49" s="39"/>
    </row>
    <row r="50" spans="2:6" outlineLevel="1">
      <c r="B50" s="60" t="str">
        <f>+'Rates'!D6</f>
        <v>Single storey buildings: precast concrete/brick walls and metal sheet roofing on timber trusses (area = footprint area of structure), including concrete floors,  excluding concrete footings and floors</v>
      </c>
      <c r="C50" s="42" t="str">
        <f>+VLOOKUP(B50,Rates[[Work_Item]:[BASE]],2,FALSE)</f>
        <v>m²</v>
      </c>
      <c r="D50" s="175"/>
      <c r="E50" s="44" t="e">
        <f>+VLOOKUP(B50,Rates[[Work_Item]:[FY3]],5,FALSE)</f>
        <v>#N/A</v>
      </c>
      <c r="F50" s="39">
        <f>+IF(D50="",0,E50*D50)</f>
        <v>0</v>
      </c>
    </row>
    <row r="51" spans="2:6" outlineLevel="1">
      <c r="B51" s="60" t="str">
        <f>+'Rates'!D7</f>
        <v>Double storey buildings: brick walls and metal sheet roofing on timber trusses (area = footprint area of structure), excluding concrete footings and floors</v>
      </c>
      <c r="C51" s="42" t="str">
        <f>+VLOOKUP(B51,Rates[[Work_Item]:[BASE]],2,FALSE)</f>
        <v>m²</v>
      </c>
      <c r="D51" s="175"/>
      <c r="E51" s="44" t="e">
        <f>+VLOOKUP(B51,Rates[[Work_Item]:[FY3]],5,FALSE)</f>
        <v>#N/A</v>
      </c>
      <c r="F51" s="39">
        <f>+IF(D51="",0,E51*D51)</f>
        <v>0</v>
      </c>
    </row>
    <row r="52" spans="2:6" outlineLevel="1">
      <c r="B52" s="60" t="str">
        <f>+'Rates'!D8</f>
        <v>Triple storey buildings: brick walls metal sheet roofing on timber trusses (area = footprint area of structure), excluding concrete footings and floors</v>
      </c>
      <c r="C52" s="42" t="str">
        <f>+VLOOKUP(B52,Rates[[Work_Item]:[BASE]],2,FALSE)</f>
        <v>m²</v>
      </c>
      <c r="D52" s="175"/>
      <c r="E52" s="44" t="e">
        <f>+VLOOKUP(B52,Rates[[Work_Item]:[FY3]],5,FALSE)</f>
        <v>#N/A</v>
      </c>
      <c r="F52" s="39">
        <f>+IF(D52="",0,E52*D52)</f>
        <v>0</v>
      </c>
    </row>
    <row r="53" spans="2:6" outlineLevel="1">
      <c r="B53" s="87" t="s">
        <v>116</v>
      </c>
      <c r="C53" s="42"/>
      <c r="D53" s="56"/>
      <c r="E53" s="44"/>
      <c r="F53" s="39"/>
    </row>
    <row r="54" spans="2:6" outlineLevel="1">
      <c r="B54" s="60" t="str">
        <f>+'Rates'!D9</f>
        <v>Unreinforced concrete foundations, floor slabs, ceilings, walls, etc. (volume = length x width x height)</v>
      </c>
      <c r="C54" s="42" t="str">
        <f>+VLOOKUP(B54,Rates[[Work_Item]:[BASE]],2,FALSE)</f>
        <v>m³</v>
      </c>
      <c r="D54" s="175"/>
      <c r="E54" s="44" t="e">
        <f>+VLOOKUP(B54,Rates[[Work_Item]:[FY3]],5,FALSE)</f>
        <v>#N/A</v>
      </c>
      <c r="F54" s="39">
        <f>+IF(D54="",0,E54*D54)</f>
        <v>0</v>
      </c>
    </row>
    <row r="55" spans="2:6" outlineLevel="1">
      <c r="B55" s="60" t="str">
        <f>+'Rates'!D10</f>
        <v>Reinforced concrete foundations, floor slabs, ceilings, walls, etc. (volume = length x width x height)</v>
      </c>
      <c r="C55" s="42" t="str">
        <f>+VLOOKUP(B55,Rates[[Work_Item]:[BASE]],2,FALSE)</f>
        <v>m³</v>
      </c>
      <c r="D55" s="175"/>
      <c r="E55" s="44" t="e">
        <f>+VLOOKUP(B55,Rates[[Work_Item]:[FY3]],5,FALSE)</f>
        <v>#N/A</v>
      </c>
      <c r="F55" s="39">
        <f>+IF(D55="",0,E55*D55)</f>
        <v>0</v>
      </c>
    </row>
    <row r="56" spans="2:6" outlineLevel="1">
      <c r="B56" s="60" t="str">
        <f>+'Rates'!D11</f>
        <v>Concrete silo - up to 10 m high, up to 50 m² floor area (area = structure footprint area)</v>
      </c>
      <c r="C56" s="42" t="str">
        <f>+VLOOKUP(B56,Rates[[Work_Item]:[BASE]],2,FALSE)</f>
        <v>m²</v>
      </c>
      <c r="D56" s="175"/>
      <c r="E56" s="44" t="e">
        <f>+VLOOKUP(B56,Rates[[Work_Item]:[FY3]],5,FALSE)</f>
        <v>#N/A</v>
      </c>
      <c r="F56" s="39">
        <f>+IF(D56="",0,E56*D56)</f>
        <v>0</v>
      </c>
    </row>
    <row r="57" spans="2:6" outlineLevel="1">
      <c r="B57" s="87" t="s">
        <v>117</v>
      </c>
      <c r="C57" s="42"/>
      <c r="D57" s="56"/>
      <c r="E57" s="44"/>
      <c r="F57" s="39"/>
    </row>
    <row r="58" spans="2:6" outlineLevel="1">
      <c r="B58" s="60" t="str">
        <f>+'Rates'!D12</f>
        <v>Steel carport structure with shadenet/steel covering (area = structure footprint area)</v>
      </c>
      <c r="C58" s="42" t="str">
        <f>+VLOOKUP(B58,Rates[[Work_Item]:[BASE]],2,FALSE)</f>
        <v>m²</v>
      </c>
      <c r="D58" s="175"/>
      <c r="E58" s="44" t="e">
        <f>+VLOOKUP(B58,Rates[[Work_Item]:[FY3]],5,FALSE)</f>
        <v>#N/A</v>
      </c>
      <c r="F58" s="39">
        <f t="shared" ref="F58:F66" si="1">+IF(D58="",0,E58*D58)</f>
        <v>0</v>
      </c>
    </row>
    <row r="59" spans="2:6" outlineLevel="1">
      <c r="B59" s="60" t="str">
        <f>+'Rates'!D13</f>
        <v>Steel water tanks - on ground level (1,2m x 1,2m panels bolted together, assuming two panels high) (area = structure footprint area), excluding foundations</v>
      </c>
      <c r="C59" s="42" t="str">
        <f>+VLOOKUP(B59,Rates[[Work_Item]:[BASE]],2,FALSE)</f>
        <v>m²</v>
      </c>
      <c r="D59" s="175"/>
      <c r="E59" s="44" t="e">
        <f>+VLOOKUP(B59,Rates[[Work_Item]:[FY3]],5,FALSE)</f>
        <v>#N/A</v>
      </c>
      <c r="F59" s="39">
        <f t="shared" si="1"/>
        <v>0</v>
      </c>
    </row>
    <row r="60" spans="2:6" outlineLevel="1">
      <c r="B60" s="60" t="str">
        <f>+'Rates'!D14</f>
        <v>Steel water tanks - elevated (1,2m x 1,2m panels bolted together, assumign two panels high) (area = structure footprint area), excluding stand (refer various steel structures) and foundations</v>
      </c>
      <c r="C60" s="42" t="str">
        <f>+VLOOKUP(B60,Rates[[Work_Item]:[BASE]],2,FALSE)</f>
        <v>m²</v>
      </c>
      <c r="D60" s="175"/>
      <c r="E60" s="44" t="e">
        <f>+VLOOKUP(B60,Rates[[Work_Item]:[FY3]],5,FALSE)</f>
        <v>#N/A</v>
      </c>
      <c r="F60" s="39">
        <f t="shared" si="1"/>
        <v>0</v>
      </c>
    </row>
    <row r="61" spans="2:6" outlineLevel="1">
      <c r="B61" s="60" t="str">
        <f>+'Rates'!D15</f>
        <v>Various steel structures, light steel at 35kg/m2 (area  = structure footprint area x no of stories)</v>
      </c>
      <c r="C61" s="42" t="str">
        <f>+VLOOKUP(B61,Rates[[Work_Item]:[BASE]],2,FALSE)</f>
        <v>m²</v>
      </c>
      <c r="D61" s="175"/>
      <c r="E61" s="44" t="e">
        <f>+VLOOKUP(B61,Rates[[Work_Item]:[FY3]],5,FALSE)</f>
        <v>#N/A</v>
      </c>
      <c r="F61" s="39">
        <f t="shared" si="1"/>
        <v>0</v>
      </c>
    </row>
    <row r="62" spans="2:6" outlineLevel="1">
      <c r="B62" s="60" t="str">
        <f>+'Rates'!D16</f>
        <v>Various steel structures, medium steel at 70kg/m2 (area  = structure footprint area x no of stories)</v>
      </c>
      <c r="C62" s="42" t="str">
        <f>+VLOOKUP(B62,Rates[[Work_Item]:[BASE]],2,FALSE)</f>
        <v>m²</v>
      </c>
      <c r="D62" s="175"/>
      <c r="E62" s="44" t="e">
        <f>+VLOOKUP(B62,Rates[[Work_Item]:[FY3]],5,FALSE)</f>
        <v>#N/A</v>
      </c>
      <c r="F62" s="39">
        <f t="shared" si="1"/>
        <v>0</v>
      </c>
    </row>
    <row r="63" spans="2:6" outlineLevel="1">
      <c r="B63" s="60" t="str">
        <f>+'Rates'!D17</f>
        <v>Various steel structures, heavy steel at 150kg/m2 (area  = structure footprint area x no of stories)</v>
      </c>
      <c r="C63" s="42" t="str">
        <f>+VLOOKUP(B63,Rates[[Work_Item]:[BASE]],2,FALSE)</f>
        <v>m²</v>
      </c>
      <c r="D63" s="175"/>
      <c r="E63" s="44" t="e">
        <f>+VLOOKUP(B63,Rates[[Work_Item]:[FY3]],5,FALSE)</f>
        <v>#N/A</v>
      </c>
      <c r="F63" s="39">
        <f t="shared" si="1"/>
        <v>0</v>
      </c>
    </row>
    <row r="64" spans="2:6" outlineLevel="1">
      <c r="B64" s="60" t="str">
        <f>+'Rates'!D18</f>
        <v>Weighbridge ramp</v>
      </c>
      <c r="C64" s="42" t="str">
        <f>+VLOOKUP(B64,Rates[[Work_Item]:[BASE]],2,FALSE)</f>
        <v>m²</v>
      </c>
      <c r="D64" s="175"/>
      <c r="E64" s="44" t="e">
        <f>+VLOOKUP(B64,Rates[[Work_Item]:[FY3]],5,FALSE)</f>
        <v>#N/A</v>
      </c>
      <c r="F64" s="39">
        <f t="shared" si="1"/>
        <v>0</v>
      </c>
    </row>
    <row r="65" spans="2:6" outlineLevel="1">
      <c r="B65" s="60" t="str">
        <f>+'Rates'!D19</f>
        <v>Weighbridge deck</v>
      </c>
      <c r="C65" s="42" t="str">
        <f>+VLOOKUP(B65,Rates[[Work_Item]:[BASE]],2,FALSE)</f>
        <v>m²</v>
      </c>
      <c r="D65" s="175"/>
      <c r="E65" s="44" t="e">
        <f>+VLOOKUP(B65,Rates[[Work_Item]:[FY3]],5,FALSE)</f>
        <v>#N/A</v>
      </c>
      <c r="F65" s="39">
        <f t="shared" si="1"/>
        <v>0</v>
      </c>
    </row>
    <row r="66" spans="2:6" outlineLevel="1">
      <c r="B66" s="60" t="str">
        <f>+'Rates'!D20</f>
        <v xml:space="preserve">Remove and dispose of HDPE liner to a collection point within 1km (refer removal of rubble item for removal of material off site) </v>
      </c>
      <c r="C66" s="42" t="str">
        <f>+VLOOKUP(B66,Rates[[Work_Item]:[BASE]],2,FALSE)</f>
        <v>m²</v>
      </c>
      <c r="D66" s="175"/>
      <c r="E66" s="44" t="e">
        <f>+VLOOKUP(B66,Rates[[Work_Item]:[FY3]],5,FALSE)</f>
        <v>#N/A</v>
      </c>
      <c r="F66" s="39">
        <f t="shared" si="1"/>
        <v>0</v>
      </c>
    </row>
    <row r="67" spans="2:6">
      <c r="B67" s="60"/>
      <c r="C67" s="42"/>
      <c r="D67" s="56"/>
      <c r="E67" s="44"/>
      <c r="F67" s="39"/>
    </row>
    <row r="68" spans="2:6">
      <c r="B68" s="59" t="str">
        <f>+'Rates'!C21</f>
        <v>40.2 - Demolish fencing, walls and gates</v>
      </c>
      <c r="C68" s="42"/>
      <c r="D68" s="56"/>
      <c r="E68" s="44"/>
      <c r="F68" s="39"/>
    </row>
    <row r="69" spans="2:6" outlineLevel="1">
      <c r="B69" s="60" t="str">
        <f>+'Rates'!D21</f>
        <v>Steel fence (mesh) complete</v>
      </c>
      <c r="C69" s="42" t="str">
        <f>+VLOOKUP(B69,Rates[[Work_Item]:[BASE]],2,FALSE)</f>
        <v>m</v>
      </c>
      <c r="D69" s="175"/>
      <c r="E69" s="44" t="e">
        <f>+VLOOKUP(B69,Rates[[Work_Item]:[FY3]],5,FALSE)</f>
        <v>#N/A</v>
      </c>
      <c r="F69" s="39">
        <f>+IF(D69="",0,E69*D69)</f>
        <v>0</v>
      </c>
    </row>
    <row r="70" spans="2:6" outlineLevel="1">
      <c r="B70" s="60" t="str">
        <f>+'Rates'!D22</f>
        <v>Precast walling complete</v>
      </c>
      <c r="C70" s="42" t="str">
        <f>+VLOOKUP(B70,Rates[[Work_Item]:[BASE]],2,FALSE)</f>
        <v>m</v>
      </c>
      <c r="D70" s="175"/>
      <c r="E70" s="44" t="e">
        <f>+VLOOKUP(B70,Rates[[Work_Item]:[FY3]],5,FALSE)</f>
        <v>#N/A</v>
      </c>
      <c r="F70" s="39">
        <f>+IF(D70="",0,E70*D70)</f>
        <v>0</v>
      </c>
    </row>
    <row r="71" spans="2:6" outlineLevel="1">
      <c r="B71" s="60" t="str">
        <f>+'Rates'!D23</f>
        <v>Steel palisade fence complete</v>
      </c>
      <c r="C71" s="42" t="str">
        <f>+VLOOKUP(B71,Rates[[Work_Item]:[BASE]],2,FALSE)</f>
        <v>m</v>
      </c>
      <c r="D71" s="175"/>
      <c r="E71" s="44" t="e">
        <f>+VLOOKUP(B71,Rates[[Work_Item]:[FY3]],5,FALSE)</f>
        <v>#N/A</v>
      </c>
      <c r="F71" s="39">
        <f>+IF(D71="",0,E71*D71)</f>
        <v>0</v>
      </c>
    </row>
    <row r="72" spans="2:6" outlineLevel="1">
      <c r="B72" s="60" t="str">
        <f>+'Rates'!D24</f>
        <v>Rolling security gate (steel)</v>
      </c>
      <c r="C72" s="42" t="str">
        <f>+VLOOKUP(B72,Rates[[Work_Item]:[BASE]],2,FALSE)</f>
        <v>no.</v>
      </c>
      <c r="D72" s="175"/>
      <c r="E72" s="44" t="e">
        <f>+VLOOKUP(B72,Rates[[Work_Item]:[FY3]],5,FALSE)</f>
        <v>#N/A</v>
      </c>
      <c r="F72" s="39">
        <f>+IF(D72="",0,E72*D72)</f>
        <v>0</v>
      </c>
    </row>
    <row r="73" spans="2:6" outlineLevel="1">
      <c r="B73" s="60" t="str">
        <f>+'Rates'!D25</f>
        <v>Concrete palisade fence complete</v>
      </c>
      <c r="C73" s="42" t="str">
        <f>+VLOOKUP(B73,Rates[[Work_Item]:[BASE]],2,FALSE)</f>
        <v>m</v>
      </c>
      <c r="D73" s="175"/>
      <c r="E73" s="44" t="e">
        <f>+VLOOKUP(B73,Rates[[Work_Item]:[FY3]],5,FALSE)</f>
        <v>#N/A</v>
      </c>
      <c r="F73" s="39">
        <f t="shared" ref="F73:F78" si="2">+IF(D73="",0,E73*D73)</f>
        <v>0</v>
      </c>
    </row>
    <row r="74" spans="2:6" outlineLevel="1">
      <c r="B74" s="60" t="str">
        <f>+'Rates'!D26</f>
        <v>Standard swing gate (steel frame, diamond mesh)</v>
      </c>
      <c r="C74" s="42" t="str">
        <f>+VLOOKUP(B74,Rates[[Work_Item]:[BASE]],2,FALSE)</f>
        <v>no.</v>
      </c>
      <c r="D74" s="175"/>
      <c r="E74" s="44" t="e">
        <f>+VLOOKUP(B74,Rates[[Work_Item]:[FY3]],5,FALSE)</f>
        <v>#N/A</v>
      </c>
      <c r="F74" s="39">
        <f t="shared" si="2"/>
        <v>0</v>
      </c>
    </row>
    <row r="75" spans="2:6" outlineLevel="1">
      <c r="B75" s="60" t="str">
        <f>+'Rates'!D27</f>
        <v>Single-brick walls (area = front/face area of wall)</v>
      </c>
      <c r="C75" s="42" t="str">
        <f>+VLOOKUP(B75,Rates[[Work_Item]:[BASE]],2,FALSE)</f>
        <v>m²</v>
      </c>
      <c r="D75" s="175"/>
      <c r="E75" s="44" t="e">
        <f>+VLOOKUP(B75,Rates[[Work_Item]:[FY3]],5,FALSE)</f>
        <v>#N/A</v>
      </c>
      <c r="F75" s="39">
        <f t="shared" si="2"/>
        <v>0</v>
      </c>
    </row>
    <row r="76" spans="2:6" outlineLevel="1">
      <c r="B76" s="60" t="str">
        <f>+'Rates'!D28</f>
        <v>Double-brick walls (area = front/face area of wall)</v>
      </c>
      <c r="C76" s="42" t="str">
        <f>+VLOOKUP(B76,Rates[[Work_Item]:[BASE]],2,FALSE)</f>
        <v>m²</v>
      </c>
      <c r="D76" s="175"/>
      <c r="E76" s="44" t="e">
        <f>+VLOOKUP(B76,Rates[[Work_Item]:[FY3]],5,FALSE)</f>
        <v>#N/A</v>
      </c>
      <c r="F76" s="39">
        <f t="shared" si="2"/>
        <v>0</v>
      </c>
    </row>
    <row r="77" spans="2:6" outlineLevel="1">
      <c r="B77" s="60" t="str">
        <f>+'Rates'!D29</f>
        <v>Concrete-brick walls (area = front/face area of wall)</v>
      </c>
      <c r="C77" s="42" t="str">
        <f>+VLOOKUP(B77,Rates[[Work_Item]:[BASE]],2,FALSE)</f>
        <v>m²</v>
      </c>
      <c r="D77" s="175"/>
      <c r="E77" s="44" t="e">
        <f>+VLOOKUP(B77,Rates[[Work_Item]:[FY3]],5,FALSE)</f>
        <v>#N/A</v>
      </c>
      <c r="F77" s="39">
        <f t="shared" si="2"/>
        <v>0</v>
      </c>
    </row>
    <row r="78" spans="2:6" outlineLevel="1">
      <c r="B78" s="60" t="str">
        <f>+'Rates'!D30</f>
        <v>Gabion  Retaining wall (1m wide) including removal of reinforcing strips (10m long), 4 strips per square meter</v>
      </c>
      <c r="C78" s="42" t="str">
        <f>+VLOOKUP(B78,Rates[[Work_Item]:[BASE]],2,FALSE)</f>
        <v>m²</v>
      </c>
      <c r="D78" s="175"/>
      <c r="E78" s="44" t="e">
        <f>+VLOOKUP(B78,Rates[[Work_Item]:[FY3]],5,FALSE)</f>
        <v>#N/A</v>
      </c>
      <c r="F78" s="39">
        <f t="shared" si="2"/>
        <v>0</v>
      </c>
    </row>
    <row r="79" spans="2:6">
      <c r="B79" s="60"/>
      <c r="C79" s="42"/>
      <c r="D79" s="56"/>
      <c r="E79" s="44"/>
      <c r="F79" s="39"/>
    </row>
    <row r="80" spans="2:6">
      <c r="B80" s="59" t="str">
        <f>+'Rates'!C31</f>
        <v>40.3 - Rehabilitate boreholes</v>
      </c>
      <c r="C80" s="42"/>
      <c r="D80" s="56"/>
      <c r="E80" s="44"/>
      <c r="F80" s="39"/>
    </row>
    <row r="81" spans="2:6" outlineLevel="1">
      <c r="B81" s="60" t="str">
        <f>+'Rates'!D31</f>
        <v>Borehole seal - 100mm diameter borehole - cap</v>
      </c>
      <c r="C81" s="42" t="str">
        <f>+VLOOKUP(B81,Rates[[Work_Item]:[BASE]],2,FALSE)</f>
        <v>no.</v>
      </c>
      <c r="D81" s="175"/>
      <c r="E81" s="44" t="e">
        <f>+VLOOKUP(B81,Rates[[Work_Item]:[FY3]],5,FALSE)</f>
        <v>#N/A</v>
      </c>
      <c r="F81" s="39">
        <f t="shared" ref="F81:F88" si="3">+IF(D81="",0,E81*D81)</f>
        <v>0</v>
      </c>
    </row>
    <row r="82" spans="2:6" outlineLevel="1">
      <c r="B82" s="60" t="str">
        <f>+'Rates'!D32</f>
        <v>Borehole seal - 100mm diameter borehole - backfill shaft</v>
      </c>
      <c r="C82" s="42" t="str">
        <f>+VLOOKUP(B82,Rates[[Work_Item]:[BASE]],2,FALSE)</f>
        <v>m</v>
      </c>
      <c r="D82" s="175"/>
      <c r="E82" s="44" t="e">
        <f>+VLOOKUP(B82,Rates[[Work_Item]:[FY3]],5,FALSE)</f>
        <v>#N/A</v>
      </c>
      <c r="F82" s="39">
        <f t="shared" si="3"/>
        <v>0</v>
      </c>
    </row>
    <row r="83" spans="2:6" outlineLevel="1">
      <c r="B83" s="60" t="str">
        <f>+'Rates'!D33</f>
        <v>Borehole seal - 200mm diameter borehole - cap</v>
      </c>
      <c r="C83" s="42" t="str">
        <f>+VLOOKUP(B83,Rates[[Work_Item]:[BASE]],2,FALSE)</f>
        <v>no.</v>
      </c>
      <c r="D83" s="175"/>
      <c r="E83" s="44" t="e">
        <f>+VLOOKUP(B83,Rates[[Work_Item]:[FY3]],5,FALSE)</f>
        <v>#N/A</v>
      </c>
      <c r="F83" s="39">
        <f t="shared" si="3"/>
        <v>0</v>
      </c>
    </row>
    <row r="84" spans="2:6" outlineLevel="1">
      <c r="B84" s="60" t="str">
        <f>+'Rates'!D34</f>
        <v>Borehole seal - 200mm diameter borehole - backfill shaft</v>
      </c>
      <c r="C84" s="42" t="str">
        <f>+VLOOKUP(B84,Rates[[Work_Item]:[BASE]],2,FALSE)</f>
        <v>m</v>
      </c>
      <c r="D84" s="175"/>
      <c r="E84" s="44" t="e">
        <f>+VLOOKUP(B84,Rates[[Work_Item]:[FY3]],5,FALSE)</f>
        <v>#N/A</v>
      </c>
      <c r="F84" s="39">
        <f t="shared" si="3"/>
        <v>0</v>
      </c>
    </row>
    <row r="85" spans="2:6" outlineLevel="1">
      <c r="B85" s="60" t="str">
        <f>+'Rates'!D35</f>
        <v>Borehole seal - 250mm diameter borehole - cap</v>
      </c>
      <c r="C85" s="42" t="str">
        <f>+VLOOKUP(B85,Rates[[Work_Item]:[BASE]],2,FALSE)</f>
        <v>no.</v>
      </c>
      <c r="D85" s="175"/>
      <c r="E85" s="44" t="e">
        <f>+VLOOKUP(B85,Rates[[Work_Item]:[FY3]],5,FALSE)</f>
        <v>#N/A</v>
      </c>
      <c r="F85" s="39">
        <f t="shared" si="3"/>
        <v>0</v>
      </c>
    </row>
    <row r="86" spans="2:6" outlineLevel="1">
      <c r="B86" s="60" t="str">
        <f>+'Rates'!D36</f>
        <v>Borehole seal - 250mm diameter borehole - backfill shaft</v>
      </c>
      <c r="C86" s="42" t="str">
        <f>+VLOOKUP(B86,Rates[[Work_Item]:[BASE]],2,FALSE)</f>
        <v>m</v>
      </c>
      <c r="D86" s="175"/>
      <c r="E86" s="44" t="e">
        <f>+VLOOKUP(B86,Rates[[Work_Item]:[FY3]],5,FALSE)</f>
        <v>#N/A</v>
      </c>
      <c r="F86" s="39">
        <f t="shared" si="3"/>
        <v>0</v>
      </c>
    </row>
    <row r="87" spans="2:6" outlineLevel="1">
      <c r="B87" s="60" t="str">
        <f>+'Rates'!D37</f>
        <v>Borehole seal - 500mm diameter borehole - cap</v>
      </c>
      <c r="C87" s="42" t="str">
        <f>+VLOOKUP(B87,Rates[[Work_Item]:[BASE]],2,FALSE)</f>
        <v>no.</v>
      </c>
      <c r="D87" s="175"/>
      <c r="E87" s="44" t="e">
        <f>+VLOOKUP(B87,Rates[[Work_Item]:[FY3]],5,FALSE)</f>
        <v>#N/A</v>
      </c>
      <c r="F87" s="39">
        <f t="shared" si="3"/>
        <v>0</v>
      </c>
    </row>
    <row r="88" spans="2:6" outlineLevel="1">
      <c r="B88" s="60" t="str">
        <f>+'Rates'!D38</f>
        <v>Borehole seal - 500mm diameter borehole - backfill shaft</v>
      </c>
      <c r="C88" s="42" t="str">
        <f>+VLOOKUP(B88,Rates[[Work_Item]:[BASE]],2,FALSE)</f>
        <v>m</v>
      </c>
      <c r="D88" s="175"/>
      <c r="E88" s="44" t="e">
        <f>+VLOOKUP(B88,Rates[[Work_Item]:[FY3]],5,FALSE)</f>
        <v>#N/A</v>
      </c>
      <c r="F88" s="39">
        <f t="shared" si="3"/>
        <v>0</v>
      </c>
    </row>
    <row r="89" spans="2:6">
      <c r="B89" s="60"/>
      <c r="C89" s="42"/>
      <c r="D89" s="56"/>
      <c r="E89" s="44"/>
      <c r="F89" s="39"/>
    </row>
    <row r="90" spans="2:6">
      <c r="B90" s="59" t="str">
        <f>+'Rates'!C39</f>
        <v>40.4 - Remove roads and parking</v>
      </c>
      <c r="C90" s="42"/>
      <c r="D90" s="56"/>
      <c r="E90" s="44"/>
      <c r="F90" s="39"/>
    </row>
    <row r="91" spans="2:6" outlineLevel="1">
      <c r="B91" s="60" t="str">
        <f>+'Rates'!D39</f>
        <v>Break up and remove concrete paving blocks</v>
      </c>
      <c r="C91" s="42" t="str">
        <f>+VLOOKUP(B91,Rates[[Work_Item]:[BASE]],2,FALSE)</f>
        <v>m²</v>
      </c>
      <c r="D91" s="175"/>
      <c r="E91" s="44" t="e">
        <f>+VLOOKUP(B91,Rates[[Work_Item]:[FY3]],5,FALSE)</f>
        <v>#N/A</v>
      </c>
      <c r="F91" s="39">
        <f>+IF(D91="",0,E91*D91)</f>
        <v>0</v>
      </c>
    </row>
    <row r="92" spans="2:6" outlineLevel="1">
      <c r="B92" s="60" t="str">
        <f>+'Rates'!D40</f>
        <v>Break up and remove asphalt surface (30 mm thickness)</v>
      </c>
      <c r="C92" s="42" t="str">
        <f>+VLOOKUP(B92,Rates[[Work_Item]:[BASE]],2,FALSE)</f>
        <v>m²</v>
      </c>
      <c r="D92" s="175"/>
      <c r="E92" s="44" t="e">
        <f>+VLOOKUP(B92,Rates[[Work_Item]:[FY3]],5,FALSE)</f>
        <v>#N/A</v>
      </c>
      <c r="F92" s="39">
        <f>+IF(D92="",0,E92*D92)</f>
        <v>0</v>
      </c>
    </row>
    <row r="93" spans="2:6" outlineLevel="1">
      <c r="B93" s="60" t="str">
        <f>+'Rates'!D41</f>
        <v>Rip gravel roads and pavement layers</v>
      </c>
      <c r="C93" s="42" t="str">
        <f>+VLOOKUP(B93,Rates[[Work_Item]:[BASE]],2,FALSE)</f>
        <v>m²</v>
      </c>
      <c r="D93" s="175"/>
      <c r="E93" s="44" t="e">
        <f>+VLOOKUP(B93,Rates[[Work_Item]:[FY3]],5,FALSE)</f>
        <v>#N/A</v>
      </c>
      <c r="F93" s="39">
        <f>+IF(D93="",0,E93*D93)</f>
        <v>0</v>
      </c>
    </row>
    <row r="94" spans="2:6" outlineLevel="1">
      <c r="B94" s="60" t="str">
        <f>+'Rates'!D42</f>
        <v>Remove and discard concrete kerbing</v>
      </c>
      <c r="C94" s="42" t="str">
        <f>+VLOOKUP(B94,Rates[[Work_Item]:[BASE]],2,FALSE)</f>
        <v>m</v>
      </c>
      <c r="D94" s="175"/>
      <c r="E94" s="44" t="e">
        <f>+VLOOKUP(B94,Rates[[Work_Item]:[FY3]],5,FALSE)</f>
        <v>#N/A</v>
      </c>
      <c r="F94" s="39">
        <f>+IF(D94="",0,E94*D94)</f>
        <v>0</v>
      </c>
    </row>
    <row r="95" spans="2:6" outlineLevel="1">
      <c r="B95" s="60" t="str">
        <f>+'Rates'!D43</f>
        <v>Remove and discard guardrails</v>
      </c>
      <c r="C95" s="42" t="str">
        <f>+VLOOKUP(B95,Rates[[Work_Item]:[BASE]],2,FALSE)</f>
        <v>m</v>
      </c>
      <c r="D95" s="175"/>
      <c r="E95" s="44" t="e">
        <f>+VLOOKUP(B95,Rates[[Work_Item]:[FY3]],5,FALSE)</f>
        <v>#N/A</v>
      </c>
      <c r="F95" s="39">
        <f>+IF(D95="",0,E95*D95)</f>
        <v>0</v>
      </c>
    </row>
    <row r="96" spans="2:6">
      <c r="B96" s="60"/>
      <c r="C96" s="42"/>
      <c r="D96" s="56"/>
      <c r="E96" s="44"/>
      <c r="F96" s="39"/>
    </row>
    <row r="97" spans="2:6">
      <c r="B97" s="61" t="str">
        <f>+'Rates'!C44</f>
        <v>40.5 - Demolish and remove storm water drainage structures</v>
      </c>
      <c r="C97" s="42"/>
      <c r="D97" s="56"/>
      <c r="E97" s="44"/>
      <c r="F97" s="39"/>
    </row>
    <row r="98" spans="2:6" outlineLevel="1">
      <c r="B98" s="60" t="str">
        <f>+'Rates'!D44</f>
        <v>Remove precast concrete pipes (&lt;1m dia.) and culverts (&lt;1 m x 1 m)</v>
      </c>
      <c r="C98" s="42" t="str">
        <f>+VLOOKUP(B98,Rates[[Work_Item]:[BASE]],2,FALSE)</f>
        <v>m</v>
      </c>
      <c r="D98" s="175"/>
      <c r="E98" s="44" t="e">
        <f>+VLOOKUP(B98,Rates[[Work_Item]:[FY3]],5,FALSE)</f>
        <v>#N/A</v>
      </c>
      <c r="F98" s="39">
        <f t="shared" ref="F98:F103" si="4">+IF(D98="",0,E98*D98)</f>
        <v>0</v>
      </c>
    </row>
    <row r="99" spans="2:6" outlineLevel="1">
      <c r="B99" s="60" t="str">
        <f>+'Rates'!D45</f>
        <v>Remove precast concrete portal culverts (&lt;2.1 m x 2.1 m)</v>
      </c>
      <c r="C99" s="42" t="str">
        <f>+VLOOKUP(B99,Rates[[Work_Item]:[BASE]],2,FALSE)</f>
        <v>m</v>
      </c>
      <c r="D99" s="175"/>
      <c r="E99" s="44" t="e">
        <f>+VLOOKUP(B99,Rates[[Work_Item]:[FY3]],5,FALSE)</f>
        <v>#N/A</v>
      </c>
      <c r="F99" s="39">
        <f t="shared" si="4"/>
        <v>0</v>
      </c>
    </row>
    <row r="100" spans="2:6" outlineLevel="1">
      <c r="B100" s="60" t="str">
        <f>+'Rates'!D46</f>
        <v>Demolish concrete from conrete-lined drains</v>
      </c>
      <c r="C100" s="42" t="str">
        <f>+VLOOKUP(B100,Rates[[Work_Item]:[BASE]],2,FALSE)</f>
        <v>m³</v>
      </c>
      <c r="D100" s="175"/>
      <c r="E100" s="44" t="e">
        <f>+VLOOKUP(B100,Rates[[Work_Item]:[FY3]],5,FALSE)</f>
        <v>#N/A</v>
      </c>
      <c r="F100" s="39">
        <f t="shared" si="4"/>
        <v>0</v>
      </c>
    </row>
    <row r="101" spans="2:6" outlineLevel="1">
      <c r="B101" s="60" t="str">
        <f>+'Rates'!D47</f>
        <v>Remove and discard grouted stone pitching</v>
      </c>
      <c r="C101" s="42" t="str">
        <f>+VLOOKUP(B101,Rates[[Work_Item]:[BASE]],2,FALSE)</f>
        <v>m³</v>
      </c>
      <c r="D101" s="175"/>
      <c r="E101" s="44" t="e">
        <f>+VLOOKUP(B101,Rates[[Work_Item]:[FY3]],5,FALSE)</f>
        <v>#N/A</v>
      </c>
      <c r="F101" s="39">
        <f t="shared" si="4"/>
        <v>0</v>
      </c>
    </row>
    <row r="102" spans="2:6" outlineLevel="1">
      <c r="B102" s="60" t="str">
        <f>+'Rates'!D48</f>
        <v>Excavate, expose and remove concrete pipes (&lt;1m dia.), backfill trenches</v>
      </c>
      <c r="C102" s="42" t="str">
        <f>+VLOOKUP(B102,Rates[[Work_Item]:[BASE]],2,FALSE)</f>
        <v>m</v>
      </c>
      <c r="D102" s="175"/>
      <c r="E102" s="44" t="e">
        <f>+VLOOKUP(B102,Rates[[Work_Item]:[FY3]],5,FALSE)</f>
        <v>#N/A</v>
      </c>
      <c r="F102" s="39">
        <f t="shared" si="4"/>
        <v>0</v>
      </c>
    </row>
    <row r="103" spans="2:6" outlineLevel="1">
      <c r="B103" s="60" t="str">
        <f>+'Rates'!D49</f>
        <v>Excavate, expose and remove gabion/reno mattresses, backfill excavations</v>
      </c>
      <c r="C103" s="42" t="str">
        <f>+VLOOKUP(B103,Rates[[Work_Item]:[BASE]],2,FALSE)</f>
        <v>m³</v>
      </c>
      <c r="D103" s="175"/>
      <c r="E103" s="44" t="e">
        <f>+VLOOKUP(B103,Rates[[Work_Item]:[FY3]],5,FALSE)</f>
        <v>#N/A</v>
      </c>
      <c r="F103" s="39">
        <f t="shared" si="4"/>
        <v>0</v>
      </c>
    </row>
    <row r="104" spans="2:6">
      <c r="B104" s="60"/>
      <c r="C104" s="42"/>
      <c r="D104" s="56"/>
      <c r="E104" s="44"/>
      <c r="F104" s="39"/>
    </row>
    <row r="105" spans="2:6">
      <c r="B105" s="61" t="str">
        <f>+'Rates'!C50</f>
        <v>40.6 - Remove, demolish and discard electrical items</v>
      </c>
      <c r="C105" s="42"/>
      <c r="D105" s="56"/>
      <c r="E105" s="44"/>
      <c r="F105" s="39"/>
    </row>
    <row r="106" spans="2:6" outlineLevel="1">
      <c r="B106" s="60" t="str">
        <f>+'Rates'!D50</f>
        <v>Cables - Above surface</v>
      </c>
      <c r="C106" s="42" t="str">
        <f>+VLOOKUP(B106,Rates[[Work_Item]:[BASE]],2,FALSE)</f>
        <v>m</v>
      </c>
      <c r="D106" s="175"/>
      <c r="E106" s="44" t="e">
        <f>+VLOOKUP(B106,Rates[[Work_Item]:[FY3]],5,FALSE)</f>
        <v>#N/A</v>
      </c>
      <c r="F106" s="39">
        <f t="shared" ref="F106:F112" si="5">+IF(D106="",0,E106*D106)</f>
        <v>0</v>
      </c>
    </row>
    <row r="107" spans="2:6" outlineLevel="1">
      <c r="B107" s="60" t="str">
        <f>+'Rates'!D51</f>
        <v>Electrical Main Feed - Mini Subs</v>
      </c>
      <c r="C107" s="42" t="str">
        <f>+VLOOKUP(B107,Rates[[Work_Item]:[BASE]],2,FALSE)</f>
        <v>no.</v>
      </c>
      <c r="D107" s="175"/>
      <c r="E107" s="44" t="e">
        <f>+VLOOKUP(B107,Rates[[Work_Item]:[FY3]],5,FALSE)</f>
        <v>#N/A</v>
      </c>
      <c r="F107" s="39">
        <f t="shared" si="5"/>
        <v>0</v>
      </c>
    </row>
    <row r="108" spans="2:6" outlineLevel="1">
      <c r="B108" s="60" t="str">
        <f>+'Rates'!D52</f>
        <v>Electrical Main Feed - 11kv Ring</v>
      </c>
      <c r="C108" s="42" t="str">
        <f>+VLOOKUP(B108,Rates[[Work_Item]:[BASE]],2,FALSE)</f>
        <v>m</v>
      </c>
      <c r="D108" s="175"/>
      <c r="E108" s="44" t="e">
        <f>+VLOOKUP(B108,Rates[[Work_Item]:[FY3]],5,FALSE)</f>
        <v>#N/A</v>
      </c>
      <c r="F108" s="39">
        <f t="shared" si="5"/>
        <v>0</v>
      </c>
    </row>
    <row r="109" spans="2:6" outlineLevel="1">
      <c r="B109" s="60" t="str">
        <f>+'Rates'!D53</f>
        <v>Electrical Main Feed - Timber poles</v>
      </c>
      <c r="C109" s="42" t="str">
        <f>+VLOOKUP(B109,Rates[[Work_Item]:[BASE]],2,FALSE)</f>
        <v>no.</v>
      </c>
      <c r="D109" s="175"/>
      <c r="E109" s="44" t="e">
        <f>+VLOOKUP(B109,Rates[[Work_Item]:[FY3]],5,FALSE)</f>
        <v>#N/A</v>
      </c>
      <c r="F109" s="39">
        <f t="shared" si="5"/>
        <v>0</v>
      </c>
    </row>
    <row r="110" spans="2:6" outlineLevel="1">
      <c r="B110" s="60" t="str">
        <f>+'Rates'!D54</f>
        <v>Lighting - Street lights / parking area lights</v>
      </c>
      <c r="C110" s="42" t="str">
        <f>+VLOOKUP(B110,Rates[[Work_Item]:[BASE]],2,FALSE)</f>
        <v>no.</v>
      </c>
      <c r="D110" s="175"/>
      <c r="E110" s="44" t="e">
        <f>+VLOOKUP(B110,Rates[[Work_Item]:[FY3]],5,FALSE)</f>
        <v>#N/A</v>
      </c>
      <c r="F110" s="39">
        <f t="shared" si="5"/>
        <v>0</v>
      </c>
    </row>
    <row r="111" spans="2:6" outlineLevel="1">
      <c r="B111" s="60" t="str">
        <f>+'Rates'!D55</f>
        <v>Lighting - High Mast Lights complete</v>
      </c>
      <c r="C111" s="42" t="str">
        <f>+VLOOKUP(B111,Rates[[Work_Item]:[BASE]],2,FALSE)</f>
        <v>no.</v>
      </c>
      <c r="D111" s="175"/>
      <c r="E111" s="44" t="e">
        <f>+VLOOKUP(B111,Rates[[Work_Item]:[FY3]],5,FALSE)</f>
        <v>#N/A</v>
      </c>
      <c r="F111" s="39">
        <f t="shared" si="5"/>
        <v>0</v>
      </c>
    </row>
    <row r="112" spans="2:6" outlineLevel="1">
      <c r="B112" s="60" t="str">
        <f>+'Rates'!D56</f>
        <v>Electrical Main Feed - Sub stations</v>
      </c>
      <c r="C112" s="42" t="str">
        <f>+VLOOKUP(B112,Rates[[Work_Item]:[BASE]],2,FALSE)</f>
        <v>no.</v>
      </c>
      <c r="D112" s="175"/>
      <c r="E112" s="44" t="e">
        <f>+VLOOKUP(B112,Rates[[Work_Item]:[FY3]],5,FALSE)</f>
        <v>#N/A</v>
      </c>
      <c r="F112" s="39">
        <f t="shared" si="5"/>
        <v>0</v>
      </c>
    </row>
    <row r="113" spans="2:10">
      <c r="B113" s="60"/>
      <c r="C113" s="42"/>
      <c r="D113" s="56"/>
      <c r="E113" s="44"/>
      <c r="F113" s="39"/>
    </row>
    <row r="114" spans="2:10">
      <c r="B114" s="59" t="str">
        <f>+'Rates'!C57</f>
        <v>40.7 - Demolish and remove mechanical equipment</v>
      </c>
      <c r="C114" s="42"/>
      <c r="D114" s="56"/>
      <c r="E114" s="44"/>
      <c r="F114" s="39"/>
    </row>
    <row r="115" spans="2:10" outlineLevel="1">
      <c r="B115" s="60" t="str">
        <f>+'Rates'!D57</f>
        <v xml:space="preserve">Remove steel headgear </v>
      </c>
      <c r="C115" s="42" t="str">
        <f>+VLOOKUP(B115,Rates[[Work_Item]:[BASE]],2,FALSE)</f>
        <v>t</v>
      </c>
      <c r="D115" s="175"/>
      <c r="E115" s="44" t="e">
        <f>+VLOOKUP(B115,Rates[[Work_Item]:[FY3]],5,FALSE)</f>
        <v>#N/A</v>
      </c>
      <c r="F115" s="39">
        <f t="shared" ref="F115:F121" si="6">+IF(D115="",0,E115*D115)</f>
        <v>0</v>
      </c>
    </row>
    <row r="116" spans="2:10" outlineLevel="1">
      <c r="B116" s="60" t="str">
        <f>+'Rates'!D58</f>
        <v>Small Pump</v>
      </c>
      <c r="C116" s="42" t="str">
        <f>+VLOOKUP(B116,Rates[[Work_Item]:[BASE]],2,FALSE)</f>
        <v>no.</v>
      </c>
      <c r="D116" s="175"/>
      <c r="E116" s="44" t="e">
        <f>+VLOOKUP(B116,Rates[[Work_Item]:[FY3]],5,FALSE)</f>
        <v>#N/A</v>
      </c>
      <c r="F116" s="39">
        <f t="shared" si="6"/>
        <v>0</v>
      </c>
    </row>
    <row r="117" spans="2:10" outlineLevel="1">
      <c r="B117" s="60" t="str">
        <f>+'Rates'!D59</f>
        <v>Medium Pump</v>
      </c>
      <c r="C117" s="42" t="str">
        <f>+VLOOKUP(B117,Rates[[Work_Item]:[BASE]],2,FALSE)</f>
        <v>no.</v>
      </c>
      <c r="D117" s="175"/>
      <c r="E117" s="44" t="e">
        <f>+VLOOKUP(B117,Rates[[Work_Item]:[FY3]],5,FALSE)</f>
        <v>#N/A</v>
      </c>
      <c r="F117" s="39">
        <f t="shared" si="6"/>
        <v>0</v>
      </c>
    </row>
    <row r="118" spans="2:10" outlineLevel="1">
      <c r="B118" s="60" t="str">
        <f>+'Rates'!D60</f>
        <v>Hoists - not exceeding 10 tons</v>
      </c>
      <c r="C118" s="42" t="str">
        <f>+VLOOKUP(B118,Rates[[Work_Item]:[BASE]],2,FALSE)</f>
        <v>no.</v>
      </c>
      <c r="D118" s="175"/>
      <c r="E118" s="44" t="e">
        <f>+VLOOKUP(B118,Rates[[Work_Item]:[FY3]],5,FALSE)</f>
        <v>#N/A</v>
      </c>
      <c r="F118" s="39">
        <f t="shared" si="6"/>
        <v>0</v>
      </c>
    </row>
    <row r="119" spans="2:10" outlineLevel="1">
      <c r="B119" s="60" t="str">
        <f>+'Rates'!D61</f>
        <v>Remove cage, skip and counterweights</v>
      </c>
      <c r="C119" s="42" t="str">
        <f>+VLOOKUP(B119,Rates[[Work_Item]:[BASE]],2,FALSE)</f>
        <v>no.</v>
      </c>
      <c r="D119" s="175"/>
      <c r="E119" s="44" t="e">
        <f>+VLOOKUP(B119,Rates[[Work_Item]:[FY3]],5,FALSE)</f>
        <v>#N/A</v>
      </c>
      <c r="F119" s="39">
        <f t="shared" si="6"/>
        <v>0</v>
      </c>
    </row>
    <row r="120" spans="2:10" outlineLevel="1">
      <c r="B120" s="60" t="str">
        <f>+'Rates'!D62</f>
        <v>Conveyor Transfer points (no.)</v>
      </c>
      <c r="C120" s="42" t="str">
        <f>+VLOOKUP(B120,Rates[[Work_Item]:[BASE]],2,FALSE)</f>
        <v>no.</v>
      </c>
      <c r="D120" s="175"/>
      <c r="E120" s="44" t="e">
        <f>+VLOOKUP(B120,Rates[[Work_Item]:[FY3]],5,FALSE)</f>
        <v>#N/A</v>
      </c>
      <c r="F120" s="39">
        <f t="shared" si="6"/>
        <v>0</v>
      </c>
    </row>
    <row r="121" spans="2:10" outlineLevel="1">
      <c r="B121" s="60" t="str">
        <f>+'Rates'!D63</f>
        <v>Conveyors up to 1500mm wide (including removing belt, winders, steel supports and concrete plinths every 6m length)</v>
      </c>
      <c r="C121" s="42" t="str">
        <f>+VLOOKUP(B121,Rates[[Work_Item]:[BASE]],2,FALSE)</f>
        <v>m</v>
      </c>
      <c r="D121" s="175"/>
      <c r="E121" s="44" t="e">
        <f>+VLOOKUP(B121,Rates[[Work_Item]:[FY3]],5,FALSE)</f>
        <v>#N/A</v>
      </c>
      <c r="F121" s="39">
        <f t="shared" si="6"/>
        <v>0</v>
      </c>
    </row>
    <row r="122" spans="2:10">
      <c r="B122" s="60"/>
      <c r="C122" s="42"/>
      <c r="D122" s="56"/>
      <c r="E122" s="44"/>
      <c r="F122" s="39"/>
      <c r="J122" s="18"/>
    </row>
    <row r="123" spans="2:10">
      <c r="B123" s="59" t="str">
        <f>+'Rates'!C64</f>
        <v>40.8 - Demolish and remove piping</v>
      </c>
      <c r="C123" s="42"/>
      <c r="D123" s="56"/>
      <c r="E123" s="44"/>
      <c r="F123" s="39"/>
    </row>
    <row r="124" spans="2:10" outlineLevel="1">
      <c r="B124" s="60" t="str">
        <f>+'Rates'!D64</f>
        <v>Pipe (steel/HDPE) &lt;300 mm dia. (above ground, excluding concrete plinths)</v>
      </c>
      <c r="C124" s="42" t="str">
        <f>+VLOOKUP(B124,Rates[[Work_Item]:[BASE]],2,FALSE)</f>
        <v>m</v>
      </c>
      <c r="D124" s="175"/>
      <c r="E124" s="44" t="e">
        <f>+VLOOKUP(B124,Rates[[Work_Item]:[FY3]],5,FALSE)</f>
        <v>#N/A</v>
      </c>
      <c r="F124" s="39">
        <f>+IF(D124="",0,E124*D124)</f>
        <v>0</v>
      </c>
    </row>
    <row r="125" spans="2:10" outlineLevel="1">
      <c r="B125" s="60" t="str">
        <f>+'Rates'!D65</f>
        <v>Pipe (steel/HDPE) &lt;300 mm dia. (above ground, including concrete plinths every 6m)</v>
      </c>
      <c r="C125" s="42" t="str">
        <f>+VLOOKUP(B125,Rates[[Work_Item]:[BASE]],2,FALSE)</f>
        <v>m</v>
      </c>
      <c r="D125" s="175"/>
      <c r="E125" s="44" t="e">
        <f>+VLOOKUP(B125,Rates[[Work_Item]:[FY3]],5,FALSE)</f>
        <v>#N/A</v>
      </c>
      <c r="F125" s="39">
        <f>+IF(D125="",0,E125*D125)</f>
        <v>0</v>
      </c>
    </row>
    <row r="126" spans="2:10" outlineLevel="1">
      <c r="B126" s="60" t="str">
        <f>+'Rates'!D66</f>
        <v>Excavate to expose buried pipes (&lt;300m dia.), less than 1m depth, backfill trenches (pipe removal to be measured above)</v>
      </c>
      <c r="C126" s="42" t="str">
        <f>+VLOOKUP(B126,Rates[[Work_Item]:[BASE]],2,FALSE)</f>
        <v>m</v>
      </c>
      <c r="D126" s="175"/>
      <c r="E126" s="44" t="e">
        <f>+VLOOKUP(B126,Rates[[Work_Item]:[FY3]],5,FALSE)</f>
        <v>#N/A</v>
      </c>
      <c r="F126" s="39">
        <f>+IF(D126="",0,E126*D126)</f>
        <v>0</v>
      </c>
    </row>
    <row r="127" spans="2:10">
      <c r="B127" s="62"/>
      <c r="C127" s="42"/>
      <c r="D127" s="56"/>
      <c r="E127" s="43"/>
      <c r="F127" s="39"/>
      <c r="J127" s="18"/>
    </row>
    <row r="128" spans="2:10">
      <c r="B128" s="63" t="str">
        <f>+'Rates'!C67</f>
        <v>40.9 - Moving materials to central location/off site</v>
      </c>
      <c r="C128" s="69"/>
      <c r="D128" s="57"/>
      <c r="E128" s="70"/>
      <c r="F128" s="39"/>
      <c r="J128" s="18"/>
    </row>
    <row r="129" spans="2:10" ht="26.25" outlineLevel="1">
      <c r="B129" s="64" t="str">
        <f>+'Rates'!D67</f>
        <v>Remove and dispose of loose gravel / rubble (into authorised facility on site within 1km freehaul distance - if authorised) - this item must include all infrastructure demolished volumes</v>
      </c>
      <c r="C129" s="69" t="str">
        <f>+VLOOKUP(B129,Rates[[Work_Item]:[BASE]],2,FALSE)</f>
        <v>m³</v>
      </c>
      <c r="D129" s="175"/>
      <c r="E129" s="44" t="e">
        <f>+VLOOKUP(B129,Rates[[Work_Item]:[FY3]],5,FALSE)</f>
        <v>#N/A</v>
      </c>
      <c r="F129" s="39">
        <f>+IF(D129="",0,E129*D129)</f>
        <v>0</v>
      </c>
      <c r="J129" s="18"/>
    </row>
    <row r="130" spans="2:10" outlineLevel="1">
      <c r="B130" s="64" t="str">
        <f>+'Rates'!D68</f>
        <v>Overhaul of material (either where central location is further than 1km freehaul or off-site to authorised facility) above freehaul distance of 1 km</v>
      </c>
      <c r="C130" s="69" t="str">
        <f>+VLOOKUP(B130,Rates[[Work_Item]:[BASE]],2,FALSE)</f>
        <v>m³.km</v>
      </c>
      <c r="D130" s="175"/>
      <c r="E130" s="44" t="e">
        <f>+VLOOKUP(B130,Rates[[Work_Item]:[FY3]],5,FALSE)</f>
        <v>#N/A</v>
      </c>
      <c r="F130" s="39">
        <f>+IF(D130="",0,E130*D130)</f>
        <v>0</v>
      </c>
      <c r="J130" s="18"/>
    </row>
    <row r="131" spans="2:10" ht="26.25" outlineLevel="1">
      <c r="B131" s="64" t="str">
        <f>+'Rates'!D69</f>
        <v>Removal of contaminated  in-situ material (assumed 1m thick) (for example areas where spillages may have occurred, etc.) and dispose of into authorised facility on site within 1km freehaul</v>
      </c>
      <c r="C131" s="69" t="str">
        <f>+VLOOKUP(B131,Rates[[Work_Item]:[BASE]],2,FALSE)</f>
        <v>m³</v>
      </c>
      <c r="D131" s="175"/>
      <c r="E131" s="44" t="e">
        <f>+VLOOKUP(B131,Rates[[Work_Item]:[FY3]],5,FALSE)</f>
        <v>#N/A</v>
      </c>
      <c r="F131" s="39">
        <f>+IF(D131="",0,E131*D131)</f>
        <v>0</v>
      </c>
      <c r="J131" s="18"/>
    </row>
    <row r="132" spans="2:10" outlineLevel="1">
      <c r="B132" s="64" t="str">
        <f>+'Rates'!D70</f>
        <v>Overhaul of contaminated material in excess of free-haul 1 km (including disposing off site at authorised commercial facility/landfill)</v>
      </c>
      <c r="C132" s="69" t="str">
        <f>+VLOOKUP(B132,Rates[[Work_Item]:[BASE]],2,FALSE)</f>
        <v>m³.km</v>
      </c>
      <c r="D132" s="175"/>
      <c r="E132" s="44" t="e">
        <f>+VLOOKUP(B132,Rates[[Work_Item]:[FY3]],5,FALSE)</f>
        <v>#N/A</v>
      </c>
      <c r="F132" s="39">
        <f>+IF(D132="",0,E132*D132)</f>
        <v>0</v>
      </c>
      <c r="J132" s="18"/>
    </row>
    <row r="133" spans="2:10">
      <c r="B133" s="62"/>
      <c r="C133" s="42"/>
      <c r="D133" s="56"/>
      <c r="E133" s="43"/>
      <c r="F133" s="39"/>
    </row>
    <row r="134" spans="2:10">
      <c r="B134" s="31" t="str">
        <f>+'Rates'!B96</f>
        <v>50 - MAINTENANCE POST CLOSURE</v>
      </c>
      <c r="C134" s="42"/>
      <c r="D134" s="56"/>
      <c r="E134" s="44"/>
      <c r="F134" s="71">
        <f>+SUM(F136:F156)</f>
        <v>0</v>
      </c>
    </row>
    <row r="135" spans="2:10">
      <c r="B135" s="66" t="str">
        <f>+'Rates'!C96</f>
        <v>50.1 - Remove vegetation</v>
      </c>
      <c r="C135" s="42"/>
      <c r="D135" s="56"/>
      <c r="E135" s="44"/>
      <c r="F135" s="39"/>
    </row>
    <row r="136" spans="2:10" outlineLevel="1">
      <c r="B136" s="67" t="str">
        <f>+'Rates'!D96</f>
        <v>Remove alien trees: girth &lt; 1 m</v>
      </c>
      <c r="C136" s="42" t="str">
        <f>+VLOOKUP(B136,Rates[[Work_Item]:[BASE]],2,FALSE)</f>
        <v>no.</v>
      </c>
      <c r="D136" s="175"/>
      <c r="E136" s="44" t="e">
        <f>+VLOOKUP(B136,Rates[[Work_Item]:[FY3]],5,FALSE)</f>
        <v>#N/A</v>
      </c>
      <c r="F136" s="39">
        <f>+IF(D136="",0,E136*D136)</f>
        <v>0</v>
      </c>
    </row>
    <row r="137" spans="2:10" outlineLevel="1">
      <c r="B137" s="67" t="str">
        <f>+'Rates'!D97</f>
        <v>Remove alien trees: girth &gt; 1 m; &lt; 2 m</v>
      </c>
      <c r="C137" s="42" t="str">
        <f>+VLOOKUP(B137,Rates[[Work_Item]:[BASE]],2,FALSE)</f>
        <v>no.</v>
      </c>
      <c r="D137" s="175"/>
      <c r="E137" s="44" t="e">
        <f>+VLOOKUP(B137,Rates[[Work_Item]:[FY3]],5,FALSE)</f>
        <v>#N/A</v>
      </c>
      <c r="F137" s="39">
        <f>+IF(D137="",0,E137*D137)</f>
        <v>0</v>
      </c>
    </row>
    <row r="138" spans="2:10" outlineLevel="1">
      <c r="B138" s="67" t="str">
        <f>+'Rates'!D98</f>
        <v>Remove alien trees: girth &gt; 2 m</v>
      </c>
      <c r="C138" s="42" t="str">
        <f>+VLOOKUP(B138,Rates[[Work_Item]:[BASE]],2,FALSE)</f>
        <v>no.</v>
      </c>
      <c r="D138" s="175"/>
      <c r="E138" s="44" t="e">
        <f>+VLOOKUP(B138,Rates[[Work_Item]:[FY3]],5,FALSE)</f>
        <v>#N/A</v>
      </c>
      <c r="F138" s="39">
        <f>+IF(D138="",0,E138*D138)</f>
        <v>0</v>
      </c>
    </row>
    <row r="139" spans="2:10" outlineLevel="1">
      <c r="B139" s="67" t="str">
        <f>+'Rates'!D99</f>
        <v>Remove alien trees (densely populated forest)</v>
      </c>
      <c r="C139" s="42" t="str">
        <f>+VLOOKUP(B139,Rates[[Work_Item]:[BASE]],2,FALSE)</f>
        <v>ha</v>
      </c>
      <c r="D139" s="175"/>
      <c r="E139" s="44" t="e">
        <f>+VLOOKUP(B139,Rates[[Work_Item]:[FY3]],5,FALSE)</f>
        <v>#N/A</v>
      </c>
      <c r="F139" s="39">
        <f>+IF(D139="",0,E139*D139)</f>
        <v>0</v>
      </c>
    </row>
    <row r="140" spans="2:10" outlineLevel="1">
      <c r="B140" s="67" t="str">
        <f>+'Rates'!D100</f>
        <v>Remove alien vegetation</v>
      </c>
      <c r="C140" s="42" t="str">
        <f>+VLOOKUP(B140,Rates[[Work_Item]:[BASE]],2,FALSE)</f>
        <v>m²</v>
      </c>
      <c r="D140" s="175"/>
      <c r="E140" s="44" t="e">
        <f>+VLOOKUP(B140,Rates[[Work_Item]:[FY3]],5,FALSE)</f>
        <v>#N/A</v>
      </c>
      <c r="F140" s="39">
        <f>+IF(D140="",0,E140*D140)</f>
        <v>0</v>
      </c>
    </row>
    <row r="141" spans="2:10">
      <c r="B141" s="67"/>
      <c r="C141" s="42"/>
      <c r="D141" s="56"/>
      <c r="E141" s="44"/>
      <c r="F141" s="39"/>
    </row>
    <row r="142" spans="2:10">
      <c r="B142" s="66" t="str">
        <f>+'Rates'!C101</f>
        <v>50.2 - Repair erosion gullies</v>
      </c>
      <c r="C142" s="42"/>
      <c r="D142" s="56"/>
      <c r="E142" s="43"/>
      <c r="F142" s="39"/>
    </row>
    <row r="143" spans="2:10" ht="30" outlineLevel="1">
      <c r="B143" s="67" t="str">
        <f>+'Rates'!D101</f>
        <v>Import topsoil from a stockpile within 1km, offload and spreading into gullies (volume to be multiplied per number of maintenance years - if no gullies exists, assume 5% of total topsoilled areas will experience gullies, one per year)</v>
      </c>
      <c r="C143" s="42" t="str">
        <f>+VLOOKUP(B143,Rates[[Work_Item]:[BASE]],2,FALSE)</f>
        <v>m3.yr</v>
      </c>
      <c r="D143" s="175"/>
      <c r="E143" s="44" t="e">
        <f>+VLOOKUP(B143,Rates[[Work_Item]:[FY3]],5,FALSE)</f>
        <v>#N/A</v>
      </c>
      <c r="F143" s="39">
        <f>+IF(D143="",0,E143*D143)</f>
        <v>0</v>
      </c>
    </row>
    <row r="144" spans="2:10">
      <c r="B144" s="67"/>
      <c r="C144" s="42"/>
      <c r="D144" s="56"/>
      <c r="E144" s="44"/>
      <c r="F144" s="39"/>
    </row>
    <row r="145" spans="2:6">
      <c r="B145" s="66" t="str">
        <f>+'Rates'!C102</f>
        <v>50.3 - Rip hard/consolidated/compacted areas</v>
      </c>
      <c r="C145" s="42"/>
      <c r="D145" s="56"/>
      <c r="E145" s="43"/>
      <c r="F145" s="39"/>
    </row>
    <row r="146" spans="2:6" ht="30" outlineLevel="1">
      <c r="B146" s="67" t="str">
        <f>+'Rates'!D102</f>
        <v>Rip compacted areas (area to be multiplied per number of maintenance years - if no compacted areas exists, assume 2% of total topsoiled areas will experience compaction, once per year)</v>
      </c>
      <c r="C146" s="42" t="str">
        <f>+VLOOKUP(B146,Rates[[Work_Item]:[BASE]],2,FALSE)</f>
        <v>m².yr</v>
      </c>
      <c r="D146" s="175"/>
      <c r="E146" s="44" t="e">
        <f>+VLOOKUP(B146,Rates[[Work_Item]:[FY3]],5,FALSE)</f>
        <v>#N/A</v>
      </c>
      <c r="F146" s="39">
        <f>+IF(D146="",0,E146*D146)</f>
        <v>0</v>
      </c>
    </row>
    <row r="147" spans="2:6">
      <c r="B147" s="67"/>
      <c r="C147" s="42"/>
      <c r="D147" s="56"/>
      <c r="E147" s="44"/>
      <c r="F147" s="39"/>
    </row>
    <row r="148" spans="2:6">
      <c r="B148" s="66" t="str">
        <f>+'Rates'!C103</f>
        <v>50.4 - Re-fertilize and re-seed areas</v>
      </c>
      <c r="C148" s="42"/>
      <c r="D148" s="56"/>
      <c r="E148" s="43"/>
      <c r="F148" s="39"/>
    </row>
    <row r="149" spans="2:6" ht="30" outlineLevel="1">
      <c r="B149" s="67" t="str">
        <f>+'Rates'!D103</f>
        <v>Supply and re-fertilize areas (area to be multiplied per number of maintenance years - assume 20% of total vegetated areas will require to be re-fertilized, once per year)</v>
      </c>
      <c r="C149" s="42" t="str">
        <f>+VLOOKUP(B149,Rates[[Work_Item]:[BASE]],2,FALSE)</f>
        <v>m².yr</v>
      </c>
      <c r="D149" s="175"/>
      <c r="E149" s="44" t="e">
        <f>+VLOOKUP(B149,Rates[[Work_Item]:[FY3]],5,FALSE)</f>
        <v>#N/A</v>
      </c>
      <c r="F149" s="39">
        <f>+IF(D149="",0,E149*D149)</f>
        <v>0</v>
      </c>
    </row>
    <row r="150" spans="2:6" ht="30" outlineLevel="1">
      <c r="B150" s="67" t="str">
        <f>+'Rates'!D104</f>
        <v>Supply and re-seed areas (area to be multiplied per number of maintenance years - assume 20% of total vegetated areas will require to be re-seeded, once per year)</v>
      </c>
      <c r="C150" s="42" t="str">
        <f>+VLOOKUP(B150,Rates[[Work_Item]:[BASE]],2,FALSE)</f>
        <v>m².yr</v>
      </c>
      <c r="D150" s="175"/>
      <c r="E150" s="44" t="e">
        <f>+VLOOKUP(B150,Rates[[Work_Item]:[FY3]],5,FALSE)</f>
        <v>#N/A</v>
      </c>
      <c r="F150" s="39">
        <f>+IF(D150="",0,E150*D150)</f>
        <v>0</v>
      </c>
    </row>
    <row r="151" spans="2:6">
      <c r="B151" s="67"/>
      <c r="C151" s="42"/>
      <c r="D151" s="56"/>
      <c r="E151" s="44"/>
      <c r="F151" s="39"/>
    </row>
    <row r="152" spans="2:6">
      <c r="B152" s="66" t="str">
        <f>+'Rates'!C105</f>
        <v>50.5 - De-silting culverts/drains</v>
      </c>
      <c r="C152" s="42"/>
      <c r="D152" s="56"/>
      <c r="E152" s="43"/>
      <c r="F152" s="39"/>
    </row>
    <row r="153" spans="2:6" ht="30" outlineLevel="1">
      <c r="B153" s="67" t="str">
        <f>+'Rates'!D105</f>
        <v>Removal of silt at culvert openings/drains causing (volume to be multiplied per number of maintenance years, assume 10% of all culvert openings and 5% of all drains (measure capacity) will require removal of blockage, once per year)</v>
      </c>
      <c r="C153" s="42" t="str">
        <f>+VLOOKUP(B153,Rates[[Work_Item]:[BASE]],2,FALSE)</f>
        <v>m3.yr</v>
      </c>
      <c r="D153" s="175"/>
      <c r="E153" s="44" t="e">
        <f>+VLOOKUP(B153,Rates[[Work_Item]:[FY3]],5,FALSE)</f>
        <v>#N/A</v>
      </c>
      <c r="F153" s="39">
        <f>+IF(D153="",0,E153*D153)</f>
        <v>0</v>
      </c>
    </row>
    <row r="154" spans="2:6">
      <c r="B154" s="67"/>
      <c r="C154" s="42"/>
      <c r="D154" s="56"/>
      <c r="E154" s="44"/>
      <c r="F154" s="39"/>
    </row>
    <row r="155" spans="2:6">
      <c r="B155" s="66" t="str">
        <f>+'Rates'!C106</f>
        <v>50.6 - Cutting/mowing vegetation (twice per year)</v>
      </c>
      <c r="C155" s="42"/>
      <c r="D155" s="56"/>
      <c r="E155" s="43"/>
      <c r="F155" s="39"/>
    </row>
    <row r="156" spans="2:6" ht="30" outlineLevel="1">
      <c r="B156" s="67" t="str">
        <f>+'Rates'!D106</f>
        <v>Cutting and mowing of vegetation (area to be multiplied per number of maintenance years - assume 100% of total vegetated area to be mowed/grassed, twice per year)</v>
      </c>
      <c r="C156" s="42" t="str">
        <f>+VLOOKUP(B156,Rates[[Work_Item]:[BASE]],2,FALSE)</f>
        <v>ha.yr</v>
      </c>
      <c r="D156" s="175"/>
      <c r="E156" s="44" t="e">
        <f>+VLOOKUP(B156,Rates[[Work_Item]:[FY3]],5,FALSE)</f>
        <v>#N/A</v>
      </c>
      <c r="F156" s="39">
        <f>+IF(D156="",0,E156*D156)</f>
        <v>0</v>
      </c>
    </row>
    <row r="157" spans="2:6">
      <c r="B157" s="67"/>
      <c r="C157" s="42"/>
      <c r="D157" s="42"/>
      <c r="E157" s="44"/>
      <c r="F157" s="39"/>
    </row>
    <row r="158" spans="2:6">
      <c r="B158" s="31" t="s">
        <v>71</v>
      </c>
      <c r="C158" s="42"/>
      <c r="D158" s="42"/>
      <c r="E158" s="43"/>
      <c r="F158" s="71">
        <f>+SUM(F160:F178)</f>
        <v>0</v>
      </c>
    </row>
    <row r="159" spans="2:6" outlineLevel="1">
      <c r="B159" s="30"/>
      <c r="C159" s="42"/>
      <c r="D159" s="42"/>
      <c r="E159" s="43"/>
      <c r="F159" s="39"/>
    </row>
    <row r="160" spans="2:6" outlineLevel="1">
      <c r="B160" s="66" t="s">
        <v>78</v>
      </c>
      <c r="C160" s="42" t="s">
        <v>10</v>
      </c>
      <c r="D160" s="42">
        <v>1</v>
      </c>
      <c r="E160" s="175"/>
      <c r="F160" s="39">
        <f>+IF(D160="",0,E160*D160)</f>
        <v>0</v>
      </c>
    </row>
    <row r="161" spans="2:6" outlineLevel="1">
      <c r="B161" s="66"/>
      <c r="C161" s="42"/>
      <c r="D161" s="42"/>
      <c r="E161" s="56"/>
      <c r="F161" s="39"/>
    </row>
    <row r="162" spans="2:6" outlineLevel="1">
      <c r="B162" s="66" t="s">
        <v>77</v>
      </c>
      <c r="C162" s="42" t="s">
        <v>10</v>
      </c>
      <c r="D162" s="42">
        <v>1</v>
      </c>
      <c r="E162" s="175"/>
      <c r="F162" s="39">
        <f>+IF(D162="",0,E162*D162)</f>
        <v>0</v>
      </c>
    </row>
    <row r="163" spans="2:6" outlineLevel="1">
      <c r="B163" s="66"/>
      <c r="C163" s="42"/>
      <c r="D163" s="42"/>
      <c r="E163" s="56"/>
      <c r="F163" s="39"/>
    </row>
    <row r="164" spans="2:6" outlineLevel="1">
      <c r="B164" s="66" t="s">
        <v>79</v>
      </c>
      <c r="C164" s="42" t="s">
        <v>10</v>
      </c>
      <c r="D164" s="42">
        <v>1</v>
      </c>
      <c r="E164" s="175"/>
      <c r="F164" s="39">
        <f>+IF(D164="",0,E164*D164)</f>
        <v>0</v>
      </c>
    </row>
    <row r="165" spans="2:6" outlineLevel="1">
      <c r="B165" s="66"/>
      <c r="C165" s="42"/>
      <c r="D165" s="42"/>
      <c r="E165" s="56"/>
      <c r="F165" s="39"/>
    </row>
    <row r="166" spans="2:6" outlineLevel="1">
      <c r="B166" s="66" t="s">
        <v>419</v>
      </c>
      <c r="C166" s="42" t="s">
        <v>10</v>
      </c>
      <c r="D166" s="42">
        <v>1</v>
      </c>
      <c r="E166" s="175"/>
      <c r="F166" s="39">
        <f>+IF(D166="",0,E166*D166)</f>
        <v>0</v>
      </c>
    </row>
    <row r="167" spans="2:6" outlineLevel="1">
      <c r="B167" s="66"/>
      <c r="C167" s="42"/>
      <c r="D167" s="42"/>
      <c r="E167" s="56"/>
      <c r="F167" s="39"/>
    </row>
    <row r="168" spans="2:6" outlineLevel="1">
      <c r="B168" s="66" t="s">
        <v>419</v>
      </c>
      <c r="C168" s="42" t="s">
        <v>10</v>
      </c>
      <c r="D168" s="42">
        <v>1</v>
      </c>
      <c r="E168" s="175"/>
      <c r="F168" s="39">
        <f>+IF(D168="",0,E168*D168)</f>
        <v>0</v>
      </c>
    </row>
    <row r="169" spans="2:6" outlineLevel="1">
      <c r="B169" s="66"/>
      <c r="C169" s="42"/>
      <c r="D169" s="42"/>
      <c r="E169" s="56"/>
      <c r="F169" s="39"/>
    </row>
    <row r="170" spans="2:6" outlineLevel="1">
      <c r="B170" s="66" t="s">
        <v>419</v>
      </c>
      <c r="C170" s="42" t="s">
        <v>10</v>
      </c>
      <c r="D170" s="42">
        <v>1</v>
      </c>
      <c r="E170" s="175"/>
      <c r="F170" s="39">
        <f>+IF(D170="",0,E170*D170)</f>
        <v>0</v>
      </c>
    </row>
    <row r="171" spans="2:6" outlineLevel="1">
      <c r="B171" s="66"/>
      <c r="C171" s="42"/>
      <c r="D171" s="42"/>
      <c r="E171" s="56"/>
      <c r="F171" s="39"/>
    </row>
    <row r="172" spans="2:6" outlineLevel="1">
      <c r="B172" s="66" t="s">
        <v>420</v>
      </c>
      <c r="C172" s="42" t="s">
        <v>10</v>
      </c>
      <c r="D172" s="42">
        <v>1</v>
      </c>
      <c r="E172" s="175"/>
      <c r="F172" s="39">
        <f>+IF(D172="",0,E172*D172)</f>
        <v>0</v>
      </c>
    </row>
    <row r="173" spans="2:6" outlineLevel="1">
      <c r="B173" s="66"/>
      <c r="C173" s="42"/>
      <c r="D173" s="42"/>
      <c r="E173" s="42"/>
      <c r="F173" s="39"/>
    </row>
    <row r="174" spans="2:6" outlineLevel="1">
      <c r="B174" s="66" t="s">
        <v>420</v>
      </c>
      <c r="C174" s="42" t="s">
        <v>10</v>
      </c>
      <c r="D174" s="42">
        <v>1</v>
      </c>
      <c r="E174" s="175"/>
      <c r="F174" s="39">
        <f>+IF(D174="",0,E174*D174)</f>
        <v>0</v>
      </c>
    </row>
    <row r="175" spans="2:6" outlineLevel="1">
      <c r="B175" s="66"/>
      <c r="C175" s="42"/>
      <c r="D175" s="42"/>
      <c r="E175" s="56"/>
      <c r="F175" s="39"/>
    </row>
    <row r="176" spans="2:6" outlineLevel="1">
      <c r="B176" s="66" t="s">
        <v>420</v>
      </c>
      <c r="C176" s="42" t="s">
        <v>10</v>
      </c>
      <c r="D176" s="42">
        <v>1</v>
      </c>
      <c r="E176" s="175"/>
      <c r="F176" s="39">
        <f>+IF(D176="",0,E176*D176)</f>
        <v>0</v>
      </c>
    </row>
    <row r="177" spans="2:6" outlineLevel="1">
      <c r="B177" s="66"/>
      <c r="C177" s="42"/>
      <c r="D177" s="42"/>
      <c r="E177" s="58"/>
      <c r="F177" s="39"/>
    </row>
    <row r="178" spans="2:6" outlineLevel="1">
      <c r="B178" s="66" t="s">
        <v>355</v>
      </c>
      <c r="C178" s="42" t="s">
        <v>72</v>
      </c>
      <c r="D178" s="176">
        <v>0.05</v>
      </c>
      <c r="E178" s="44">
        <f>+F134+F32+F20+F5+F48</f>
        <v>0</v>
      </c>
      <c r="F178" s="39">
        <f>+IF(D178="",0,E178*D178)</f>
        <v>0</v>
      </c>
    </row>
    <row r="179" spans="2:6" ht="15.75" thickBot="1">
      <c r="B179" s="68"/>
      <c r="C179" s="45"/>
      <c r="D179" s="45"/>
      <c r="E179" s="46"/>
      <c r="F179" s="72"/>
    </row>
    <row r="180" spans="2:6" ht="15.75" thickTop="1"/>
  </sheetData>
  <dataConsolidate link="1"/>
  <pageMargins left="0.7" right="0.7" top="0.75" bottom="0.75" header="0.3" footer="0.3"/>
  <pageSetup paperSize="9" scale="58" fitToHeight="0" orientation="landscape" horizontalDpi="1200" verticalDpi="1200" r:id="rId1"/>
  <headerFooter>
    <oddHeader>&amp;C&amp;G</oddHeader>
    <oddFooter>&amp;C&amp;G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EBC94-B7E8-4C47-A70F-ECB6B48D8D90}">
  <sheetPr>
    <pageSetUpPr fitToPage="1"/>
  </sheetPr>
  <dimension ref="C10:D27"/>
  <sheetViews>
    <sheetView showGridLines="0" showRuler="0" topLeftCell="A2" zoomScaleNormal="100" zoomScalePageLayoutView="130" workbookViewId="0">
      <selection activeCell="C24" sqref="C24"/>
    </sheetView>
  </sheetViews>
  <sheetFormatPr defaultColWidth="8.85546875" defaultRowHeight="15"/>
  <cols>
    <col min="3" max="3" width="41.42578125" customWidth="1"/>
    <col min="4" max="4" width="24.85546875" customWidth="1"/>
  </cols>
  <sheetData>
    <row r="10" spans="3:4" ht="15.75">
      <c r="C10" s="198" t="s">
        <v>418</v>
      </c>
    </row>
    <row r="11" spans="3:4" ht="15.75" thickBot="1"/>
    <row r="12" spans="3:4" ht="15.75" thickTop="1">
      <c r="C12" s="47" t="s">
        <v>73</v>
      </c>
      <c r="D12" s="48" t="s">
        <v>52</v>
      </c>
    </row>
    <row r="13" spans="3:4">
      <c r="C13" s="30" t="str">
        <f>+COSTING!B5</f>
        <v>10 - FINAL LANDFORM</v>
      </c>
      <c r="D13" s="39">
        <f>+COSTING!$F$5</f>
        <v>0</v>
      </c>
    </row>
    <row r="14" spans="3:4">
      <c r="C14" s="30" t="str">
        <f>+COSTING!B20</f>
        <v>20 - TOPSOIL AND VEGETATION</v>
      </c>
      <c r="D14" s="39">
        <f>+COSTING!$F$20</f>
        <v>0</v>
      </c>
    </row>
    <row r="15" spans="3:4">
      <c r="C15" s="30" t="str">
        <f>+COSTING!B32</f>
        <v>30 - STORMWATER MANAGEMENT</v>
      </c>
      <c r="D15" s="39">
        <f>+COSTING!$F$32</f>
        <v>0</v>
      </c>
    </row>
    <row r="16" spans="3:4">
      <c r="C16" s="30" t="str">
        <f>+COSTING!B47</f>
        <v>40 - DEMOLISH INFRASTRUCTURE</v>
      </c>
      <c r="D16" s="39">
        <f>+COSTING!$F$48</f>
        <v>0</v>
      </c>
    </row>
    <row r="17" spans="3:4">
      <c r="C17" s="30" t="str">
        <f>+COSTING!B134</f>
        <v>50 - MAINTENANCE POST CLOSURE</v>
      </c>
      <c r="D17" s="39">
        <f>+COSTING!F134</f>
        <v>0</v>
      </c>
    </row>
    <row r="18" spans="3:4">
      <c r="C18" s="30" t="str">
        <f>+COSTING!B158</f>
        <v>60 - SPECIALIST STUDIES AND AUTHORISATIONS</v>
      </c>
      <c r="D18" s="39">
        <f>+COSTING!$F$158</f>
        <v>0</v>
      </c>
    </row>
    <row r="19" spans="3:4">
      <c r="C19" s="30"/>
      <c r="D19" s="39"/>
    </row>
    <row r="20" spans="3:4">
      <c r="C20" s="31" t="s">
        <v>75</v>
      </c>
      <c r="D20" s="40">
        <f>SUM(D13:D19)</f>
        <v>0</v>
      </c>
    </row>
    <row r="21" spans="3:4">
      <c r="C21" s="30" t="e">
        <f>CONCATENATE("PRELIMINARY AND GENERAL (",'Region Factor'!C17*100,"%)")</f>
        <v>#N/A</v>
      </c>
      <c r="D21" s="39" t="e">
        <f>+D20*'Region Factor'!C17</f>
        <v>#N/A</v>
      </c>
    </row>
    <row r="22" spans="3:4">
      <c r="C22" s="30" t="s">
        <v>201</v>
      </c>
      <c r="D22" s="39">
        <f>+D20*0.1</f>
        <v>0</v>
      </c>
    </row>
    <row r="23" spans="3:4">
      <c r="C23" s="30"/>
      <c r="D23" s="39"/>
    </row>
    <row r="24" spans="3:4">
      <c r="C24" s="31" t="s">
        <v>74</v>
      </c>
      <c r="D24" s="40" t="e">
        <f>SUM(D20:D23)</f>
        <v>#N/A</v>
      </c>
    </row>
    <row r="25" spans="3:4">
      <c r="C25" s="30" t="s">
        <v>0</v>
      </c>
      <c r="D25" s="39" t="e">
        <f>+D24*0.15</f>
        <v>#N/A</v>
      </c>
    </row>
    <row r="26" spans="3:4" ht="15.75" thickBot="1">
      <c r="C26" s="32" t="s">
        <v>202</v>
      </c>
      <c r="D26" s="41" t="e">
        <f>+D24+D25</f>
        <v>#N/A</v>
      </c>
    </row>
    <row r="27" spans="3:4" ht="15.75" thickTop="1"/>
  </sheetData>
  <pageMargins left="0.7" right="0.7" top="0.75" bottom="0.75" header="0.3" footer="0.3"/>
  <pageSetup paperSize="9" scale="93" orientation="portrait" horizontalDpi="300" verticalDpi="300" r:id="rId1"/>
  <headerFooter>
    <oddHeader>&amp;C&amp;G</oddHeader>
    <oddFooter>&amp;C&amp;G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81292-71C0-40B7-9441-437BFFF41DC6}">
  <sheetPr codeName="Sheet7">
    <tabColor theme="3"/>
    <pageSetUpPr fitToPage="1"/>
  </sheetPr>
  <dimension ref="A1:J113"/>
  <sheetViews>
    <sheetView zoomScale="85" zoomScaleNormal="85" workbookViewId="0">
      <selection activeCell="D24" sqref="D24"/>
    </sheetView>
  </sheetViews>
  <sheetFormatPr defaultColWidth="8.85546875" defaultRowHeight="12.75"/>
  <cols>
    <col min="1" max="1" width="9.42578125" style="1" customWidth="1"/>
    <col min="2" max="2" width="46.85546875" style="1" bestFit="1" customWidth="1"/>
    <col min="3" max="3" width="55.42578125" style="1" bestFit="1" customWidth="1"/>
    <col min="4" max="4" width="98.140625" style="2" customWidth="1"/>
    <col min="5" max="5" width="7" style="1" customWidth="1"/>
    <col min="6" max="6" width="14.85546875" style="1" hidden="1" customWidth="1"/>
    <col min="7" max="7" width="14.85546875" style="5" customWidth="1"/>
    <col min="8" max="8" width="14.85546875" style="1" customWidth="1"/>
    <col min="9" max="9" width="8.85546875" style="1" customWidth="1"/>
    <col min="10" max="10" width="8.85546875" style="1" hidden="1" customWidth="1"/>
    <col min="11" max="11" width="12" style="1" bestFit="1" customWidth="1"/>
    <col min="12" max="16384" width="8.85546875" style="1"/>
  </cols>
  <sheetData>
    <row r="1" spans="1:8">
      <c r="E1" s="3"/>
      <c r="F1" s="4"/>
      <c r="H1" s="5"/>
    </row>
    <row r="2" spans="1:8">
      <c r="D2" s="50"/>
      <c r="E2" s="51" t="s">
        <v>206</v>
      </c>
      <c r="F2" s="6"/>
      <c r="G2" s="52" t="e">
        <f>+H2</f>
        <v>#N/A</v>
      </c>
      <c r="H2" s="52" t="e">
        <f>+'Region Factor'!C15</f>
        <v>#N/A</v>
      </c>
    </row>
    <row r="3" spans="1:8">
      <c r="D3" s="50"/>
      <c r="E3" s="3" t="s">
        <v>207</v>
      </c>
      <c r="F3" s="6"/>
      <c r="G3" s="7">
        <f>+(109.6-103.1)/100</f>
        <v>6.5000000000000002E-2</v>
      </c>
      <c r="H3" s="7" t="e">
        <f>+Escalation!F52</f>
        <v>#N/A</v>
      </c>
    </row>
    <row r="4" spans="1:8">
      <c r="E4" s="51" t="s">
        <v>208</v>
      </c>
      <c r="F4" s="8" t="s">
        <v>50</v>
      </c>
      <c r="G4" s="9">
        <v>2023</v>
      </c>
      <c r="H4" s="10">
        <f>+INPUTS!C35</f>
        <v>0</v>
      </c>
    </row>
    <row r="5" spans="1:8">
      <c r="A5" s="11" t="s">
        <v>1</v>
      </c>
      <c r="B5" s="11" t="s">
        <v>2</v>
      </c>
      <c r="C5" s="11" t="s">
        <v>3</v>
      </c>
      <c r="D5" s="12" t="s">
        <v>4</v>
      </c>
      <c r="E5" s="11" t="s">
        <v>5</v>
      </c>
      <c r="F5" s="13" t="s">
        <v>431</v>
      </c>
      <c r="G5" s="13" t="s">
        <v>6</v>
      </c>
      <c r="H5" s="14" t="s">
        <v>7</v>
      </c>
    </row>
    <row r="6" spans="1:8">
      <c r="A6" s="5"/>
      <c r="B6" s="4" t="s">
        <v>262</v>
      </c>
      <c r="C6" s="4" t="s">
        <v>263</v>
      </c>
      <c r="D6" s="1" t="s">
        <v>251</v>
      </c>
      <c r="E6" s="5" t="s">
        <v>8</v>
      </c>
      <c r="F6" s="15">
        <f>350+65</f>
        <v>415</v>
      </c>
      <c r="G6" s="15" t="e">
        <f>Rates[[#This Row],[Column1]]*(1+$G$3)*$G$2</f>
        <v>#N/A</v>
      </c>
      <c r="H6" s="15" t="e">
        <f>+Rates[[#This Row],[BASE]]*(1+$H$3)</f>
        <v>#N/A</v>
      </c>
    </row>
    <row r="7" spans="1:8">
      <c r="A7" s="5"/>
      <c r="B7" s="4" t="s">
        <v>262</v>
      </c>
      <c r="C7" s="4" t="s">
        <v>263</v>
      </c>
      <c r="D7" s="1" t="s">
        <v>82</v>
      </c>
      <c r="E7" s="5" t="s">
        <v>8</v>
      </c>
      <c r="F7" s="15">
        <v>650</v>
      </c>
      <c r="G7" s="15" t="e">
        <f>Rates[[#This Row],[Column1]]*(1+$G$3)*$G$2</f>
        <v>#N/A</v>
      </c>
      <c r="H7" s="15" t="e">
        <f>+Rates[[#This Row],[BASE]]*(1+$H$3)</f>
        <v>#N/A</v>
      </c>
    </row>
    <row r="8" spans="1:8">
      <c r="A8" s="5"/>
      <c r="B8" s="4" t="s">
        <v>262</v>
      </c>
      <c r="C8" s="4" t="s">
        <v>263</v>
      </c>
      <c r="D8" s="1" t="s">
        <v>83</v>
      </c>
      <c r="E8" s="5" t="s">
        <v>8</v>
      </c>
      <c r="F8" s="15">
        <v>850</v>
      </c>
      <c r="G8" s="15" t="e">
        <f>Rates[[#This Row],[Column1]]*(1+$G$3)*$G$2</f>
        <v>#N/A</v>
      </c>
      <c r="H8" s="15" t="e">
        <f>+Rates[[#This Row],[BASE]]*(1+$H$3)</f>
        <v>#N/A</v>
      </c>
    </row>
    <row r="9" spans="1:8">
      <c r="A9" s="5"/>
      <c r="B9" s="4" t="s">
        <v>262</v>
      </c>
      <c r="C9" s="4" t="s">
        <v>263</v>
      </c>
      <c r="D9" s="1" t="s">
        <v>287</v>
      </c>
      <c r="E9" s="5" t="s">
        <v>9</v>
      </c>
      <c r="F9" s="15">
        <v>650</v>
      </c>
      <c r="G9" s="15" t="e">
        <f>Rates[[#This Row],[Column1]]*(1+$G$3)*$G$2</f>
        <v>#N/A</v>
      </c>
      <c r="H9" s="15" t="e">
        <f>+Rates[[#This Row],[BASE]]*(1+$H$3)</f>
        <v>#N/A</v>
      </c>
    </row>
    <row r="10" spans="1:8">
      <c r="A10" s="5"/>
      <c r="B10" s="4" t="s">
        <v>262</v>
      </c>
      <c r="C10" s="4" t="s">
        <v>263</v>
      </c>
      <c r="D10" s="1" t="s">
        <v>288</v>
      </c>
      <c r="E10" s="5" t="s">
        <v>9</v>
      </c>
      <c r="F10" s="15">
        <v>800</v>
      </c>
      <c r="G10" s="15" t="e">
        <f>Rates[[#This Row],[Column1]]*(1+$G$3)*$G$2</f>
        <v>#N/A</v>
      </c>
      <c r="H10" s="15" t="e">
        <f>+Rates[[#This Row],[BASE]]*(1+$H$3)</f>
        <v>#N/A</v>
      </c>
    </row>
    <row r="11" spans="1:8">
      <c r="A11" s="5"/>
      <c r="B11" s="4" t="s">
        <v>262</v>
      </c>
      <c r="C11" s="4" t="s">
        <v>263</v>
      </c>
      <c r="D11" s="1" t="s">
        <v>84</v>
      </c>
      <c r="E11" s="16" t="s">
        <v>8</v>
      </c>
      <c r="F11" s="15">
        <v>6675.6961333333338</v>
      </c>
      <c r="G11" s="15" t="e">
        <f>Rates[[#This Row],[Column1]]*(1+$G$3)*$G$2</f>
        <v>#N/A</v>
      </c>
      <c r="H11" s="15" t="e">
        <f>+Rates[[#This Row],[BASE]]*(1+$H$3)</f>
        <v>#N/A</v>
      </c>
    </row>
    <row r="12" spans="1:8">
      <c r="A12" s="5"/>
      <c r="B12" s="4" t="s">
        <v>262</v>
      </c>
      <c r="C12" s="4" t="s">
        <v>263</v>
      </c>
      <c r="D12" s="1" t="s">
        <v>252</v>
      </c>
      <c r="E12" s="16" t="s">
        <v>8</v>
      </c>
      <c r="F12" s="15">
        <v>55</v>
      </c>
      <c r="G12" s="15" t="e">
        <f>Rates[[#This Row],[Column1]]*(1+$G$3)*$G$2</f>
        <v>#N/A</v>
      </c>
      <c r="H12" s="15" t="e">
        <f>+Rates[[#This Row],[BASE]]*(1+$H$3)</f>
        <v>#N/A</v>
      </c>
    </row>
    <row r="13" spans="1:8">
      <c r="A13" s="5"/>
      <c r="B13" s="4" t="s">
        <v>262</v>
      </c>
      <c r="C13" s="4" t="s">
        <v>263</v>
      </c>
      <c r="D13" s="1" t="s">
        <v>289</v>
      </c>
      <c r="E13" s="16" t="s">
        <v>8</v>
      </c>
      <c r="F13" s="15">
        <v>225.46373456790127</v>
      </c>
      <c r="G13" s="15" t="e">
        <f>Rates[[#This Row],[Column1]]*(1+$G$3)*$G$2</f>
        <v>#N/A</v>
      </c>
      <c r="H13" s="15" t="e">
        <f>+Rates[[#This Row],[BASE]]*(1+$H$3)</f>
        <v>#N/A</v>
      </c>
    </row>
    <row r="14" spans="1:8">
      <c r="A14" s="5"/>
      <c r="B14" s="4" t="s">
        <v>262</v>
      </c>
      <c r="C14" s="4" t="s">
        <v>263</v>
      </c>
      <c r="D14" s="1" t="s">
        <v>290</v>
      </c>
      <c r="E14" s="16" t="s">
        <v>8</v>
      </c>
      <c r="F14" s="15">
        <v>275.06575617283954</v>
      </c>
      <c r="G14" s="15" t="e">
        <f>Rates[[#This Row],[Column1]]*(1+$G$3)*$G$2</f>
        <v>#N/A</v>
      </c>
      <c r="H14" s="15" t="e">
        <f>+Rates[[#This Row],[BASE]]*(1+$H$3)</f>
        <v>#N/A</v>
      </c>
    </row>
    <row r="15" spans="1:8">
      <c r="A15" s="5"/>
      <c r="B15" s="4" t="s">
        <v>262</v>
      </c>
      <c r="C15" s="4" t="s">
        <v>263</v>
      </c>
      <c r="D15" s="1" t="s">
        <v>85</v>
      </c>
      <c r="E15" s="5" t="s">
        <v>8</v>
      </c>
      <c r="F15" s="15">
        <v>106.82</v>
      </c>
      <c r="G15" s="15" t="e">
        <f>Rates[[#This Row],[Column1]]*(1+$G$3)*$G$2</f>
        <v>#N/A</v>
      </c>
      <c r="H15" s="15" t="e">
        <f>+Rates[[#This Row],[BASE]]*(1+$H$3)</f>
        <v>#N/A</v>
      </c>
    </row>
    <row r="16" spans="1:8">
      <c r="A16" s="5"/>
      <c r="B16" s="4" t="s">
        <v>262</v>
      </c>
      <c r="C16" s="4" t="s">
        <v>263</v>
      </c>
      <c r="D16" s="1" t="s">
        <v>86</v>
      </c>
      <c r="E16" s="5" t="s">
        <v>8</v>
      </c>
      <c r="F16" s="15">
        <v>213.64</v>
      </c>
      <c r="G16" s="15" t="e">
        <f>Rates[[#This Row],[Column1]]*(1+$G$3)*$G$2</f>
        <v>#N/A</v>
      </c>
      <c r="H16" s="15" t="e">
        <f>+Rates[[#This Row],[BASE]]*(1+$H$3)</f>
        <v>#N/A</v>
      </c>
    </row>
    <row r="17" spans="1:10">
      <c r="A17" s="5"/>
      <c r="B17" s="4" t="s">
        <v>262</v>
      </c>
      <c r="C17" s="4" t="s">
        <v>263</v>
      </c>
      <c r="D17" s="1" t="s">
        <v>87</v>
      </c>
      <c r="E17" s="5" t="s">
        <v>8</v>
      </c>
      <c r="F17" s="15">
        <v>457.79</v>
      </c>
      <c r="G17" s="15" t="e">
        <f>Rates[[#This Row],[Column1]]*(1+$G$3)*$G$2</f>
        <v>#N/A</v>
      </c>
      <c r="H17" s="15" t="e">
        <f>+Rates[[#This Row],[BASE]]*(1+$H$3)</f>
        <v>#N/A</v>
      </c>
    </row>
    <row r="18" spans="1:10">
      <c r="A18" s="5"/>
      <c r="B18" s="4" t="s">
        <v>262</v>
      </c>
      <c r="C18" s="4" t="s">
        <v>263</v>
      </c>
      <c r="D18" s="1" t="s">
        <v>16</v>
      </c>
      <c r="E18" s="5" t="s">
        <v>8</v>
      </c>
      <c r="F18" s="15">
        <v>409.08140000000003</v>
      </c>
      <c r="G18" s="15" t="e">
        <f>Rates[[#This Row],[Column1]]*(1+$G$3)*$G$2</f>
        <v>#N/A</v>
      </c>
      <c r="H18" s="15" t="e">
        <f>+Rates[[#This Row],[BASE]]*(1+$H$3)</f>
        <v>#N/A</v>
      </c>
    </row>
    <row r="19" spans="1:10">
      <c r="A19" s="5"/>
      <c r="B19" s="4" t="s">
        <v>262</v>
      </c>
      <c r="C19" s="4" t="s">
        <v>263</v>
      </c>
      <c r="D19" s="1" t="s">
        <v>17</v>
      </c>
      <c r="E19" s="5" t="s">
        <v>8</v>
      </c>
      <c r="F19" s="15">
        <v>400</v>
      </c>
      <c r="G19" s="15" t="e">
        <f>Rates[[#This Row],[Column1]]*(1+$G$3)*$G$2</f>
        <v>#N/A</v>
      </c>
      <c r="H19" s="15" t="e">
        <f>+Rates[[#This Row],[BASE]]*(1+$H$3)</f>
        <v>#N/A</v>
      </c>
    </row>
    <row r="20" spans="1:10">
      <c r="A20" s="5"/>
      <c r="B20" s="4" t="s">
        <v>262</v>
      </c>
      <c r="C20" s="4" t="s">
        <v>263</v>
      </c>
      <c r="D20" s="1" t="s">
        <v>67</v>
      </c>
      <c r="E20" s="5" t="s">
        <v>8</v>
      </c>
      <c r="F20" s="15">
        <f>+(0.56102592*2)</f>
        <v>1.1220518399999999</v>
      </c>
      <c r="G20" s="15" t="e">
        <f>Rates[[#This Row],[Column1]]*(1+$G$3)*$G$2</f>
        <v>#N/A</v>
      </c>
      <c r="H20" s="15" t="e">
        <f>+Rates[[#This Row],[BASE]]*(1+$H$3)</f>
        <v>#N/A</v>
      </c>
    </row>
    <row r="21" spans="1:10">
      <c r="A21" s="5"/>
      <c r="B21" s="4" t="s">
        <v>262</v>
      </c>
      <c r="C21" s="4" t="s">
        <v>264</v>
      </c>
      <c r="D21" s="1" t="s">
        <v>254</v>
      </c>
      <c r="E21" s="5" t="s">
        <v>12</v>
      </c>
      <c r="F21" s="15">
        <v>57.56</v>
      </c>
      <c r="G21" s="15" t="e">
        <f>Rates[[#This Row],[Column1]]*(1+$G$3)*$G$2</f>
        <v>#N/A</v>
      </c>
      <c r="H21" s="15" t="e">
        <f>+Rates[[#This Row],[BASE]]*(1+$H$3)</f>
        <v>#N/A</v>
      </c>
    </row>
    <row r="22" spans="1:10">
      <c r="A22" s="5"/>
      <c r="B22" s="4" t="s">
        <v>262</v>
      </c>
      <c r="C22" s="4" t="s">
        <v>264</v>
      </c>
      <c r="D22" s="1" t="s">
        <v>253</v>
      </c>
      <c r="E22" s="5" t="s">
        <v>12</v>
      </c>
      <c r="F22" s="15">
        <v>120</v>
      </c>
      <c r="G22" s="15" t="e">
        <f>Rates[[#This Row],[Column1]]*(1+$G$3)*$G$2</f>
        <v>#N/A</v>
      </c>
      <c r="H22" s="15" t="e">
        <f>+Rates[[#This Row],[BASE]]*(1+$H$3)</f>
        <v>#N/A</v>
      </c>
    </row>
    <row r="23" spans="1:10">
      <c r="A23" s="5"/>
      <c r="B23" s="4" t="s">
        <v>262</v>
      </c>
      <c r="C23" s="4" t="s">
        <v>264</v>
      </c>
      <c r="D23" s="1" t="s">
        <v>255</v>
      </c>
      <c r="E23" s="5" t="s">
        <v>12</v>
      </c>
      <c r="F23" s="15">
        <v>138.97999999999999</v>
      </c>
      <c r="G23" s="15" t="e">
        <f>Rates[[#This Row],[Column1]]*(1+$G$3)*$G$2</f>
        <v>#N/A</v>
      </c>
      <c r="H23" s="15" t="e">
        <f>+Rates[[#This Row],[BASE]]*(1+$H$3)</f>
        <v>#N/A</v>
      </c>
    </row>
    <row r="24" spans="1:10">
      <c r="A24" s="5"/>
      <c r="B24" s="4" t="s">
        <v>262</v>
      </c>
      <c r="C24" s="4" t="s">
        <v>264</v>
      </c>
      <c r="D24" s="1" t="s">
        <v>256</v>
      </c>
      <c r="E24" s="5" t="s">
        <v>11</v>
      </c>
      <c r="F24" s="15">
        <v>500</v>
      </c>
      <c r="G24" s="15" t="e">
        <f>Rates[[#This Row],[Column1]]*(1+$G$3)*$G$2</f>
        <v>#N/A</v>
      </c>
      <c r="H24" s="15" t="e">
        <f>+Rates[[#This Row],[BASE]]*(1+$H$3)</f>
        <v>#N/A</v>
      </c>
    </row>
    <row r="25" spans="1:10">
      <c r="A25" s="5"/>
      <c r="B25" s="4" t="s">
        <v>262</v>
      </c>
      <c r="C25" s="4" t="s">
        <v>264</v>
      </c>
      <c r="D25" s="1" t="s">
        <v>257</v>
      </c>
      <c r="E25" s="5" t="s">
        <v>12</v>
      </c>
      <c r="F25" s="15">
        <v>115.11</v>
      </c>
      <c r="G25" s="15" t="e">
        <f>Rates[[#This Row],[Column1]]*(1+$G$3)*$G$2</f>
        <v>#N/A</v>
      </c>
      <c r="H25" s="15" t="e">
        <f>+Rates[[#This Row],[BASE]]*(1+$H$3)</f>
        <v>#N/A</v>
      </c>
    </row>
    <row r="26" spans="1:10">
      <c r="A26" s="5"/>
      <c r="B26" s="4" t="s">
        <v>262</v>
      </c>
      <c r="C26" s="4" t="s">
        <v>264</v>
      </c>
      <c r="D26" s="1" t="s">
        <v>258</v>
      </c>
      <c r="E26" s="5" t="s">
        <v>11</v>
      </c>
      <c r="F26" s="15">
        <v>120</v>
      </c>
      <c r="G26" s="15" t="e">
        <f>Rates[[#This Row],[Column1]]*(1+$G$3)*$G$2</f>
        <v>#N/A</v>
      </c>
      <c r="H26" s="15" t="e">
        <f>+Rates[[#This Row],[BASE]]*(1+$H$3)</f>
        <v>#N/A</v>
      </c>
    </row>
    <row r="27" spans="1:10">
      <c r="A27" s="5"/>
      <c r="B27" s="4" t="s">
        <v>262</v>
      </c>
      <c r="C27" s="4" t="s">
        <v>264</v>
      </c>
      <c r="D27" s="1" t="s">
        <v>80</v>
      </c>
      <c r="E27" s="16" t="s">
        <v>8</v>
      </c>
      <c r="F27" s="15">
        <v>128.56844000000001</v>
      </c>
      <c r="G27" s="15" t="e">
        <f>Rates[[#This Row],[Column1]]*(1+$G$3)*$G$2</f>
        <v>#N/A</v>
      </c>
      <c r="H27" s="15" t="e">
        <f>+Rates[[#This Row],[BASE]]*(1+$H$3)</f>
        <v>#N/A</v>
      </c>
    </row>
    <row r="28" spans="1:10">
      <c r="A28" s="5"/>
      <c r="B28" s="4" t="s">
        <v>262</v>
      </c>
      <c r="C28" s="4" t="s">
        <v>264</v>
      </c>
      <c r="D28" s="1" t="s">
        <v>81</v>
      </c>
      <c r="E28" s="16" t="s">
        <v>8</v>
      </c>
      <c r="F28" s="15">
        <v>212.13792599999999</v>
      </c>
      <c r="G28" s="15" t="e">
        <f>Rates[[#This Row],[Column1]]*(1+$G$3)*$G$2</f>
        <v>#N/A</v>
      </c>
      <c r="H28" s="15" t="e">
        <f>+Rates[[#This Row],[BASE]]*(1+$H$3)</f>
        <v>#N/A</v>
      </c>
    </row>
    <row r="29" spans="1:10">
      <c r="A29" s="5"/>
      <c r="B29" s="4" t="s">
        <v>262</v>
      </c>
      <c r="C29" s="4" t="s">
        <v>264</v>
      </c>
      <c r="D29" s="1" t="s">
        <v>88</v>
      </c>
      <c r="E29" s="16" t="s">
        <v>8</v>
      </c>
      <c r="F29" s="15">
        <v>120</v>
      </c>
      <c r="G29" s="15" t="e">
        <f>Rates[[#This Row],[Column1]]*(1+$G$3)*$G$2</f>
        <v>#N/A</v>
      </c>
      <c r="H29" s="15" t="e">
        <f>+Rates[[#This Row],[BASE]]*(1+$H$3)</f>
        <v>#N/A</v>
      </c>
    </row>
    <row r="30" spans="1:10">
      <c r="A30" s="5"/>
      <c r="B30" s="4" t="s">
        <v>262</v>
      </c>
      <c r="C30" s="4" t="s">
        <v>264</v>
      </c>
      <c r="D30" s="1" t="s">
        <v>15</v>
      </c>
      <c r="E30" s="5" t="s">
        <v>8</v>
      </c>
      <c r="F30" s="15">
        <v>250</v>
      </c>
      <c r="G30" s="15" t="e">
        <f>Rates[[#This Row],[Column1]]*(1+$G$3)*$G$2</f>
        <v>#N/A</v>
      </c>
      <c r="H30" s="15" t="e">
        <f>+Rates[[#This Row],[BASE]]*(1+$H$3)</f>
        <v>#N/A</v>
      </c>
    </row>
    <row r="31" spans="1:10">
      <c r="A31" s="5"/>
      <c r="B31" s="4" t="s">
        <v>262</v>
      </c>
      <c r="C31" s="4" t="s">
        <v>265</v>
      </c>
      <c r="D31" s="1" t="s">
        <v>113</v>
      </c>
      <c r="E31" s="5" t="s">
        <v>11</v>
      </c>
      <c r="F31" s="20">
        <v>984.23</v>
      </c>
      <c r="G31" s="15" t="e">
        <f>Rates[[#This Row],[Column1]]*(1+$G$3)*$G$2</f>
        <v>#N/A</v>
      </c>
      <c r="H31" s="15" t="e">
        <f>+Rates[[#This Row],[BASE]]*(1+$H$3)</f>
        <v>#N/A</v>
      </c>
      <c r="J31" s="20">
        <v>5610.2592000000013</v>
      </c>
    </row>
    <row r="32" spans="1:10">
      <c r="A32" s="5"/>
      <c r="B32" s="4" t="s">
        <v>262</v>
      </c>
      <c r="C32" s="4" t="s">
        <v>265</v>
      </c>
      <c r="D32" s="1" t="s">
        <v>114</v>
      </c>
      <c r="E32" s="5" t="s">
        <v>12</v>
      </c>
      <c r="F32" s="15">
        <v>552.469640059428</v>
      </c>
      <c r="G32" s="15" t="e">
        <f>Rates[[#This Row],[Column1]]*(1+$G$3)*$G$2</f>
        <v>#N/A</v>
      </c>
      <c r="H32" s="15" t="e">
        <f>+Rates[[#This Row],[BASE]]*(1+$H$3)</f>
        <v>#N/A</v>
      </c>
      <c r="J32" s="19">
        <v>552.469640059428</v>
      </c>
    </row>
    <row r="33" spans="1:10">
      <c r="A33" s="5"/>
      <c r="B33" s="4" t="s">
        <v>262</v>
      </c>
      <c r="C33" s="4" t="s">
        <v>265</v>
      </c>
      <c r="D33" s="1" t="s">
        <v>18</v>
      </c>
      <c r="E33" s="5" t="s">
        <v>11</v>
      </c>
      <c r="F33" s="15">
        <v>1389.7470843437088</v>
      </c>
      <c r="G33" s="15" t="e">
        <f>Rates[[#This Row],[Column1]]*(1+$G$3)*$G$2</f>
        <v>#N/A</v>
      </c>
      <c r="H33" s="15" t="e">
        <f>+Rates[[#This Row],[BASE]]*(1+$H$3)</f>
        <v>#N/A</v>
      </c>
      <c r="J33" s="20">
        <v>1389.7470843437088</v>
      </c>
    </row>
    <row r="34" spans="1:10">
      <c r="A34" s="5"/>
      <c r="B34" s="4" t="s">
        <v>262</v>
      </c>
      <c r="C34" s="4" t="s">
        <v>265</v>
      </c>
      <c r="D34" s="1" t="s">
        <v>19</v>
      </c>
      <c r="E34" s="5" t="s">
        <v>12</v>
      </c>
      <c r="F34" s="15">
        <v>811.44140997237503</v>
      </c>
      <c r="G34" s="15" t="e">
        <f>Rates[[#This Row],[Column1]]*(1+$G$3)*$G$2</f>
        <v>#N/A</v>
      </c>
      <c r="H34" s="15" t="e">
        <f>+Rates[[#This Row],[BASE]]*(1+$H$3)</f>
        <v>#N/A</v>
      </c>
      <c r="J34" s="19">
        <v>811.44140997237503</v>
      </c>
    </row>
    <row r="35" spans="1:10">
      <c r="A35" s="5"/>
      <c r="B35" s="4" t="s">
        <v>262</v>
      </c>
      <c r="C35" s="4" t="s">
        <v>265</v>
      </c>
      <c r="D35" s="1" t="s">
        <v>20</v>
      </c>
      <c r="E35" s="5" t="s">
        <v>11</v>
      </c>
      <c r="F35" s="15">
        <v>1667.686093947874</v>
      </c>
      <c r="G35" s="15" t="e">
        <f>Rates[[#This Row],[Column1]]*(1+$G$3)*$G$2</f>
        <v>#N/A</v>
      </c>
      <c r="H35" s="15" t="e">
        <f>+Rates[[#This Row],[BASE]]*(1+$H$3)</f>
        <v>#N/A</v>
      </c>
      <c r="J35" s="20">
        <v>1667.686093947874</v>
      </c>
    </row>
    <row r="36" spans="1:10">
      <c r="A36" s="5"/>
      <c r="B36" s="4" t="s">
        <v>262</v>
      </c>
      <c r="C36" s="4" t="s">
        <v>265</v>
      </c>
      <c r="D36" s="1" t="s">
        <v>21</v>
      </c>
      <c r="E36" s="5" t="s">
        <v>12</v>
      </c>
      <c r="F36" s="15">
        <v>833.84304697393702</v>
      </c>
      <c r="G36" s="15" t="e">
        <f>Rates[[#This Row],[Column1]]*(1+$G$3)*$G$2</f>
        <v>#N/A</v>
      </c>
      <c r="H36" s="15" t="e">
        <f>+Rates[[#This Row],[BASE]]*(1+$H$3)</f>
        <v>#N/A</v>
      </c>
      <c r="J36" s="19">
        <v>833.84304697393702</v>
      </c>
    </row>
    <row r="37" spans="1:10">
      <c r="A37" s="5"/>
      <c r="B37" s="4" t="s">
        <v>262</v>
      </c>
      <c r="C37" s="4" t="s">
        <v>265</v>
      </c>
      <c r="D37" s="1" t="s">
        <v>111</v>
      </c>
      <c r="E37" s="5" t="s">
        <v>11</v>
      </c>
      <c r="F37" s="20">
        <v>5610.2592000000013</v>
      </c>
      <c r="G37" s="15" t="e">
        <f>Rates[[#This Row],[Column1]]*(1+$G$3)*$G$2</f>
        <v>#N/A</v>
      </c>
      <c r="H37" s="15" t="e">
        <f>+Rates[[#This Row],[BASE]]*(1+$H$3)</f>
        <v>#N/A</v>
      </c>
      <c r="J37" s="20">
        <v>1667.686093947874</v>
      </c>
    </row>
    <row r="38" spans="1:10">
      <c r="A38" s="5"/>
      <c r="B38" s="4" t="s">
        <v>262</v>
      </c>
      <c r="C38" s="4" t="s">
        <v>265</v>
      </c>
      <c r="D38" s="1" t="s">
        <v>112</v>
      </c>
      <c r="E38" s="5" t="s">
        <v>12</v>
      </c>
      <c r="F38" s="15">
        <v>1300.9080721</v>
      </c>
      <c r="G38" s="15" t="e">
        <f>Rates[[#This Row],[Column1]]*(1+$G$3)*$G$2</f>
        <v>#N/A</v>
      </c>
      <c r="H38" s="15" t="e">
        <f>+Rates[[#This Row],[BASE]]*(1+$H$3)</f>
        <v>#N/A</v>
      </c>
      <c r="J38" s="20">
        <v>1300.9080721</v>
      </c>
    </row>
    <row r="39" spans="1:10">
      <c r="A39" s="5"/>
      <c r="B39" s="4" t="s">
        <v>262</v>
      </c>
      <c r="C39" s="4" t="s">
        <v>266</v>
      </c>
      <c r="D39" s="1" t="s">
        <v>259</v>
      </c>
      <c r="E39" s="5" t="s">
        <v>8</v>
      </c>
      <c r="F39" s="15">
        <v>60</v>
      </c>
      <c r="G39" s="15" t="e">
        <f>Rates[[#This Row],[Column1]]*(1+$G$3)*$G$2</f>
        <v>#N/A</v>
      </c>
      <c r="H39" s="15" t="e">
        <f>+Rates[[#This Row],[BASE]]*(1+$H$3)</f>
        <v>#N/A</v>
      </c>
    </row>
    <row r="40" spans="1:10">
      <c r="A40" s="5"/>
      <c r="B40" s="4" t="s">
        <v>262</v>
      </c>
      <c r="C40" s="4" t="s">
        <v>266</v>
      </c>
      <c r="D40" s="1" t="s">
        <v>22</v>
      </c>
      <c r="E40" s="5" t="s">
        <v>8</v>
      </c>
      <c r="F40" s="15">
        <v>30.95</v>
      </c>
      <c r="G40" s="15" t="e">
        <f>Rates[[#This Row],[Column1]]*(1+$G$3)*$G$2</f>
        <v>#N/A</v>
      </c>
      <c r="H40" s="15" t="e">
        <f>+Rates[[#This Row],[BASE]]*(1+$H$3)</f>
        <v>#N/A</v>
      </c>
    </row>
    <row r="41" spans="1:10">
      <c r="A41" s="5"/>
      <c r="B41" s="4" t="s">
        <v>262</v>
      </c>
      <c r="C41" s="4" t="s">
        <v>266</v>
      </c>
      <c r="D41" s="1" t="s">
        <v>23</v>
      </c>
      <c r="E41" s="5" t="s">
        <v>8</v>
      </c>
      <c r="F41" s="15">
        <v>1.9519026800000001</v>
      </c>
      <c r="G41" s="15" t="e">
        <f>Rates[[#This Row],[Column1]]*(1+$G$3)*$G$2</f>
        <v>#N/A</v>
      </c>
      <c r="H41" s="15" t="e">
        <f>+Rates[[#This Row],[BASE]]*(1+$H$3)</f>
        <v>#N/A</v>
      </c>
    </row>
    <row r="42" spans="1:10">
      <c r="A42" s="5"/>
      <c r="B42" s="4" t="s">
        <v>262</v>
      </c>
      <c r="C42" s="4" t="s">
        <v>266</v>
      </c>
      <c r="D42" s="1" t="s">
        <v>24</v>
      </c>
      <c r="E42" s="5" t="s">
        <v>12</v>
      </c>
      <c r="F42" s="15">
        <v>60</v>
      </c>
      <c r="G42" s="15" t="e">
        <f>Rates[[#This Row],[Column1]]*(1+$G$3)*$G$2</f>
        <v>#N/A</v>
      </c>
      <c r="H42" s="15" t="e">
        <f>+Rates[[#This Row],[BASE]]*(1+$H$3)</f>
        <v>#N/A</v>
      </c>
    </row>
    <row r="43" spans="1:10">
      <c r="A43" s="5"/>
      <c r="B43" s="4" t="s">
        <v>262</v>
      </c>
      <c r="C43" s="4" t="s">
        <v>266</v>
      </c>
      <c r="D43" s="1" t="s">
        <v>25</v>
      </c>
      <c r="E43" s="5" t="s">
        <v>12</v>
      </c>
      <c r="F43" s="15">
        <v>35</v>
      </c>
      <c r="G43" s="15" t="e">
        <f>Rates[[#This Row],[Column1]]*(1+$G$3)*$G$2</f>
        <v>#N/A</v>
      </c>
      <c r="H43" s="15" t="e">
        <f>+Rates[[#This Row],[BASE]]*(1+$H$3)</f>
        <v>#N/A</v>
      </c>
    </row>
    <row r="44" spans="1:10">
      <c r="A44" s="5"/>
      <c r="B44" s="4" t="s">
        <v>262</v>
      </c>
      <c r="C44" s="17" t="s">
        <v>267</v>
      </c>
      <c r="D44" s="1" t="s">
        <v>27</v>
      </c>
      <c r="E44" s="5" t="s">
        <v>12</v>
      </c>
      <c r="F44" s="15">
        <v>300</v>
      </c>
      <c r="G44" s="15" t="e">
        <f>Rates[[#This Row],[Column1]]*(1+$G$3)*$G$2</f>
        <v>#N/A</v>
      </c>
      <c r="H44" s="15" t="e">
        <f>+Rates[[#This Row],[BASE]]*(1+$H$3)</f>
        <v>#N/A</v>
      </c>
    </row>
    <row r="45" spans="1:10">
      <c r="A45" s="5"/>
      <c r="B45" s="4" t="s">
        <v>262</v>
      </c>
      <c r="C45" s="17" t="s">
        <v>267</v>
      </c>
      <c r="D45" s="1" t="s">
        <v>68</v>
      </c>
      <c r="E45" s="5" t="s">
        <v>12</v>
      </c>
      <c r="F45" s="15">
        <v>735</v>
      </c>
      <c r="G45" s="15" t="e">
        <f>Rates[[#This Row],[Column1]]*(1+$G$3)*$G$2</f>
        <v>#N/A</v>
      </c>
      <c r="H45" s="15" t="e">
        <f>+Rates[[#This Row],[BASE]]*(1+$H$3)</f>
        <v>#N/A</v>
      </c>
    </row>
    <row r="46" spans="1:10">
      <c r="A46" s="5"/>
      <c r="B46" s="4" t="s">
        <v>262</v>
      </c>
      <c r="C46" s="17" t="s">
        <v>267</v>
      </c>
      <c r="D46" s="1" t="s">
        <v>28</v>
      </c>
      <c r="E46" s="5" t="s">
        <v>9</v>
      </c>
      <c r="F46" s="15">
        <v>650</v>
      </c>
      <c r="G46" s="15" t="e">
        <f>Rates[[#This Row],[Column1]]*(1+$G$3)*$G$2</f>
        <v>#N/A</v>
      </c>
      <c r="H46" s="15" t="e">
        <f>+Rates[[#This Row],[BASE]]*(1+$H$3)</f>
        <v>#N/A</v>
      </c>
    </row>
    <row r="47" spans="1:10">
      <c r="A47" s="5"/>
      <c r="B47" s="4" t="s">
        <v>262</v>
      </c>
      <c r="C47" s="17" t="s">
        <v>267</v>
      </c>
      <c r="D47" s="1" t="s">
        <v>29</v>
      </c>
      <c r="E47" s="5" t="s">
        <v>9</v>
      </c>
      <c r="F47" s="15">
        <v>907.22727132109787</v>
      </c>
      <c r="G47" s="15" t="e">
        <f>Rates[[#This Row],[Column1]]*(1+$G$3)*$G$2</f>
        <v>#N/A</v>
      </c>
      <c r="H47" s="15" t="e">
        <f>+Rates[[#This Row],[BASE]]*(1+$H$3)</f>
        <v>#N/A</v>
      </c>
    </row>
    <row r="48" spans="1:10">
      <c r="A48" s="5"/>
      <c r="B48" s="4" t="s">
        <v>262</v>
      </c>
      <c r="C48" s="17" t="s">
        <v>267</v>
      </c>
      <c r="D48" s="1" t="s">
        <v>30</v>
      </c>
      <c r="E48" s="5" t="s">
        <v>12</v>
      </c>
      <c r="F48" s="15">
        <v>175.32060000000004</v>
      </c>
      <c r="G48" s="15" t="e">
        <f>Rates[[#This Row],[Column1]]*(1+$G$3)*$G$2</f>
        <v>#N/A</v>
      </c>
      <c r="H48" s="15" t="e">
        <f>+Rates[[#This Row],[BASE]]*(1+$H$3)</f>
        <v>#N/A</v>
      </c>
    </row>
    <row r="49" spans="1:8">
      <c r="A49" s="5"/>
      <c r="B49" s="4" t="s">
        <v>262</v>
      </c>
      <c r="C49" s="17" t="s">
        <v>267</v>
      </c>
      <c r="D49" s="1" t="s">
        <v>89</v>
      </c>
      <c r="E49" s="5" t="s">
        <v>9</v>
      </c>
      <c r="F49" s="15">
        <f>250*0.45</f>
        <v>112.5</v>
      </c>
      <c r="G49" s="15" t="e">
        <f>Rates[[#This Row],[Column1]]*(1+$G$3)*$G$2</f>
        <v>#N/A</v>
      </c>
      <c r="H49" s="15" t="e">
        <f>+Rates[[#This Row],[BASE]]*(1+$H$3)</f>
        <v>#N/A</v>
      </c>
    </row>
    <row r="50" spans="1:8">
      <c r="A50" s="5"/>
      <c r="B50" s="4" t="s">
        <v>262</v>
      </c>
      <c r="C50" s="17" t="s">
        <v>268</v>
      </c>
      <c r="D50" s="1" t="s">
        <v>272</v>
      </c>
      <c r="E50" s="5" t="s">
        <v>12</v>
      </c>
      <c r="F50" s="15">
        <v>61.376842841677991</v>
      </c>
      <c r="G50" s="15" t="e">
        <f>Rates[[#This Row],[Column1]]*(1+$G$3)*$G$2</f>
        <v>#N/A</v>
      </c>
      <c r="H50" s="15" t="e">
        <f>+Rates[[#This Row],[BASE]]*(1+$H$3)</f>
        <v>#N/A</v>
      </c>
    </row>
    <row r="51" spans="1:8">
      <c r="A51" s="5"/>
      <c r="B51" s="4" t="s">
        <v>262</v>
      </c>
      <c r="C51" s="17" t="s">
        <v>268</v>
      </c>
      <c r="D51" s="1" t="s">
        <v>34</v>
      </c>
      <c r="E51" s="5" t="s">
        <v>11</v>
      </c>
      <c r="F51" s="15">
        <v>2500</v>
      </c>
      <c r="G51" s="15" t="e">
        <f>Rates[[#This Row],[Column1]]*(1+$G$3)*$G$2</f>
        <v>#N/A</v>
      </c>
      <c r="H51" s="15" t="e">
        <f>+Rates[[#This Row],[BASE]]*(1+$H$3)</f>
        <v>#N/A</v>
      </c>
    </row>
    <row r="52" spans="1:8">
      <c r="A52" s="5"/>
      <c r="B52" s="4" t="s">
        <v>262</v>
      </c>
      <c r="C52" s="17" t="s">
        <v>268</v>
      </c>
      <c r="D52" s="1" t="s">
        <v>35</v>
      </c>
      <c r="E52" s="5" t="s">
        <v>12</v>
      </c>
      <c r="F52" s="15">
        <v>0</v>
      </c>
      <c r="G52" s="15" t="e">
        <f>Rates[[#This Row],[Column1]]*(1+$G$3)*$G$2</f>
        <v>#N/A</v>
      </c>
      <c r="H52" s="15" t="e">
        <f>+Rates[[#This Row],[BASE]]*(1+$H$3)</f>
        <v>#N/A</v>
      </c>
    </row>
    <row r="53" spans="1:8">
      <c r="A53" s="5"/>
      <c r="B53" s="4" t="s">
        <v>262</v>
      </c>
      <c r="C53" s="17" t="s">
        <v>268</v>
      </c>
      <c r="D53" s="1" t="s">
        <v>36</v>
      </c>
      <c r="E53" s="5" t="s">
        <v>11</v>
      </c>
      <c r="F53" s="15">
        <v>202.65892556</v>
      </c>
      <c r="G53" s="15" t="e">
        <f>Rates[[#This Row],[Column1]]*(1+$G$3)*$G$2</f>
        <v>#N/A</v>
      </c>
      <c r="H53" s="15" t="e">
        <f>+Rates[[#This Row],[BASE]]*(1+$H$3)</f>
        <v>#N/A</v>
      </c>
    </row>
    <row r="54" spans="1:8">
      <c r="A54" s="5"/>
      <c r="B54" s="4" t="s">
        <v>262</v>
      </c>
      <c r="C54" s="17" t="s">
        <v>268</v>
      </c>
      <c r="D54" s="1" t="s">
        <v>31</v>
      </c>
      <c r="E54" s="5" t="s">
        <v>11</v>
      </c>
      <c r="F54" s="15">
        <v>204.593812499167</v>
      </c>
      <c r="G54" s="15" t="e">
        <f>Rates[[#This Row],[Column1]]*(1+$G$3)*$G$2</f>
        <v>#N/A</v>
      </c>
      <c r="H54" s="15" t="e">
        <f>+Rates[[#This Row],[BASE]]*(1+$H$3)</f>
        <v>#N/A</v>
      </c>
    </row>
    <row r="55" spans="1:8">
      <c r="A55" s="5"/>
      <c r="B55" s="4" t="s">
        <v>262</v>
      </c>
      <c r="C55" s="17" t="s">
        <v>268</v>
      </c>
      <c r="D55" s="1" t="s">
        <v>32</v>
      </c>
      <c r="E55" s="5" t="s">
        <v>11</v>
      </c>
      <c r="F55" s="15">
        <v>1753.2060000000001</v>
      </c>
      <c r="G55" s="15" t="e">
        <f>Rates[[#This Row],[Column1]]*(1+$G$3)*$G$2</f>
        <v>#N/A</v>
      </c>
      <c r="H55" s="15" t="e">
        <f>+Rates[[#This Row],[BASE]]*(1+$H$3)</f>
        <v>#N/A</v>
      </c>
    </row>
    <row r="56" spans="1:8">
      <c r="A56" s="5"/>
      <c r="B56" s="4" t="s">
        <v>262</v>
      </c>
      <c r="C56" s="17" t="s">
        <v>268</v>
      </c>
      <c r="D56" s="1" t="s">
        <v>33</v>
      </c>
      <c r="E56" s="5" t="s">
        <v>11</v>
      </c>
      <c r="F56" s="15">
        <v>7430.7649343200001</v>
      </c>
      <c r="G56" s="15" t="e">
        <f>Rates[[#This Row],[Column1]]*(1+$G$3)*$G$2</f>
        <v>#N/A</v>
      </c>
      <c r="H56" s="15" t="e">
        <f>+Rates[[#This Row],[BASE]]*(1+$H$3)</f>
        <v>#N/A</v>
      </c>
    </row>
    <row r="57" spans="1:8">
      <c r="A57" s="5"/>
      <c r="B57" s="4" t="s">
        <v>262</v>
      </c>
      <c r="C57" s="4" t="s">
        <v>269</v>
      </c>
      <c r="D57" s="1" t="s">
        <v>37</v>
      </c>
      <c r="E57" s="5" t="s">
        <v>13</v>
      </c>
      <c r="F57" s="15">
        <v>5679.5044611741805</v>
      </c>
      <c r="G57" s="15" t="e">
        <f>Rates[[#This Row],[Column1]]*(1+$G$3)*$G$2</f>
        <v>#N/A</v>
      </c>
      <c r="H57" s="15" t="e">
        <f>+Rates[[#This Row],[BASE]]*(1+$H$3)</f>
        <v>#N/A</v>
      </c>
    </row>
    <row r="58" spans="1:8">
      <c r="A58" s="5"/>
      <c r="B58" s="4" t="s">
        <v>262</v>
      </c>
      <c r="C58" s="4" t="s">
        <v>269</v>
      </c>
      <c r="D58" s="1" t="s">
        <v>39</v>
      </c>
      <c r="E58" s="5" t="s">
        <v>11</v>
      </c>
      <c r="F58" s="15">
        <v>759.72260000000006</v>
      </c>
      <c r="G58" s="15" t="e">
        <f>Rates[[#This Row],[Column1]]*(1+$G$3)*$G$2</f>
        <v>#N/A</v>
      </c>
      <c r="H58" s="15" t="e">
        <f>+Rates[[#This Row],[BASE]]*(1+$H$3)</f>
        <v>#N/A</v>
      </c>
    </row>
    <row r="59" spans="1:8">
      <c r="A59" s="5"/>
      <c r="B59" s="4" t="s">
        <v>262</v>
      </c>
      <c r="C59" s="4" t="s">
        <v>269</v>
      </c>
      <c r="D59" s="1" t="s">
        <v>40</v>
      </c>
      <c r="E59" s="5" t="s">
        <v>11</v>
      </c>
      <c r="F59" s="15">
        <v>1481.6172123954111</v>
      </c>
      <c r="G59" s="15" t="e">
        <f>Rates[[#This Row],[Column1]]*(1+$G$3)*$G$2</f>
        <v>#N/A</v>
      </c>
      <c r="H59" s="15" t="e">
        <f>+Rates[[#This Row],[BASE]]*(1+$H$3)</f>
        <v>#N/A</v>
      </c>
    </row>
    <row r="60" spans="1:8">
      <c r="A60" s="5"/>
      <c r="B60" s="4" t="s">
        <v>262</v>
      </c>
      <c r="C60" s="4" t="s">
        <v>269</v>
      </c>
      <c r="D60" s="1" t="s">
        <v>41</v>
      </c>
      <c r="E60" s="5" t="s">
        <v>11</v>
      </c>
      <c r="F60" s="15">
        <v>2500</v>
      </c>
      <c r="G60" s="15" t="e">
        <f>Rates[[#This Row],[Column1]]*(1+$G$3)*$G$2</f>
        <v>#N/A</v>
      </c>
      <c r="H60" s="15" t="e">
        <f>+Rates[[#This Row],[BASE]]*(1+$H$3)</f>
        <v>#N/A</v>
      </c>
    </row>
    <row r="61" spans="1:8">
      <c r="A61" s="5"/>
      <c r="B61" s="4" t="s">
        <v>262</v>
      </c>
      <c r="C61" s="4" t="s">
        <v>269</v>
      </c>
      <c r="D61" s="1" t="s">
        <v>42</v>
      </c>
      <c r="E61" s="5" t="s">
        <v>11</v>
      </c>
      <c r="F61" s="15">
        <v>3331</v>
      </c>
      <c r="G61" s="15" t="e">
        <f>Rates[[#This Row],[Column1]]*(1+$G$3)*$G$2</f>
        <v>#N/A</v>
      </c>
      <c r="H61" s="15" t="e">
        <f>+Rates[[#This Row],[BASE]]*(1+$H$3)</f>
        <v>#N/A</v>
      </c>
    </row>
    <row r="62" spans="1:8">
      <c r="A62" s="5"/>
      <c r="B62" s="4" t="s">
        <v>262</v>
      </c>
      <c r="C62" s="4" t="s">
        <v>269</v>
      </c>
      <c r="D62" s="1" t="s">
        <v>38</v>
      </c>
      <c r="E62" s="5" t="s">
        <v>11</v>
      </c>
      <c r="F62" s="15">
        <v>5231</v>
      </c>
      <c r="G62" s="15" t="e">
        <f>Rates[[#This Row],[Column1]]*(1+$G$3)*$G$2</f>
        <v>#N/A</v>
      </c>
      <c r="H62" s="15" t="e">
        <f>+Rates[[#This Row],[BASE]]*(1+$H$3)</f>
        <v>#N/A</v>
      </c>
    </row>
    <row r="63" spans="1:8">
      <c r="A63" s="5"/>
      <c r="B63" s="4" t="s">
        <v>262</v>
      </c>
      <c r="C63" s="4" t="s">
        <v>269</v>
      </c>
      <c r="D63" s="1" t="s">
        <v>273</v>
      </c>
      <c r="E63" s="5" t="s">
        <v>12</v>
      </c>
      <c r="F63" s="15">
        <f>292.201+162.5+400</f>
        <v>854.70100000000002</v>
      </c>
      <c r="G63" s="15" t="e">
        <f>Rates[[#This Row],[Column1]]*(1+$G$3)*$G$2</f>
        <v>#N/A</v>
      </c>
      <c r="H63" s="15" t="e">
        <f>+Rates[[#This Row],[BASE]]*(1+$H$3)</f>
        <v>#N/A</v>
      </c>
    </row>
    <row r="64" spans="1:8">
      <c r="A64" s="5"/>
      <c r="B64" s="4" t="s">
        <v>262</v>
      </c>
      <c r="C64" s="4" t="s">
        <v>270</v>
      </c>
      <c r="D64" s="1" t="s">
        <v>275</v>
      </c>
      <c r="E64" s="5" t="s">
        <v>12</v>
      </c>
      <c r="F64" s="15">
        <v>69.728672664559994</v>
      </c>
      <c r="G64" s="15" t="e">
        <f>Rates[[#This Row],[Column1]]*(1+$G$3)*$G$2</f>
        <v>#N/A</v>
      </c>
      <c r="H64" s="15" t="e">
        <f>+Rates[[#This Row],[BASE]]*(1+$H$3)</f>
        <v>#N/A</v>
      </c>
    </row>
    <row r="65" spans="1:8">
      <c r="A65" s="5"/>
      <c r="B65" s="4" t="s">
        <v>262</v>
      </c>
      <c r="C65" s="4" t="s">
        <v>270</v>
      </c>
      <c r="D65" s="1" t="s">
        <v>274</v>
      </c>
      <c r="E65" s="5" t="s">
        <v>12</v>
      </c>
      <c r="F65" s="15">
        <v>120</v>
      </c>
      <c r="G65" s="15" t="e">
        <f>Rates[[#This Row],[Column1]]*(1+$G$3)*$G$2</f>
        <v>#N/A</v>
      </c>
      <c r="H65" s="15" t="e">
        <f>+Rates[[#This Row],[BASE]]*(1+$H$3)</f>
        <v>#N/A</v>
      </c>
    </row>
    <row r="66" spans="1:8">
      <c r="A66" s="5"/>
      <c r="B66" s="4" t="s">
        <v>262</v>
      </c>
      <c r="C66" s="4" t="s">
        <v>270</v>
      </c>
      <c r="D66" s="1" t="s">
        <v>276</v>
      </c>
      <c r="E66" s="5" t="s">
        <v>12</v>
      </c>
      <c r="F66" s="15">
        <v>169.885585135539</v>
      </c>
      <c r="G66" s="15" t="e">
        <f>Rates[[#This Row],[Column1]]*(1+$G$3)*$G$2</f>
        <v>#N/A</v>
      </c>
      <c r="H66" s="15" t="e">
        <f>+Rates[[#This Row],[BASE]]*(1+$H$3)</f>
        <v>#N/A</v>
      </c>
    </row>
    <row r="67" spans="1:8">
      <c r="A67" s="5"/>
      <c r="B67" s="4" t="s">
        <v>262</v>
      </c>
      <c r="C67" s="4" t="s">
        <v>271</v>
      </c>
      <c r="D67" s="1" t="s">
        <v>90</v>
      </c>
      <c r="E67" s="5" t="s">
        <v>9</v>
      </c>
      <c r="F67" s="15">
        <v>52.44</v>
      </c>
      <c r="G67" s="15" t="e">
        <f>Rates[[#This Row],[Column1]]*(1+$G$3)*$G$2</f>
        <v>#N/A</v>
      </c>
      <c r="H67" s="15" t="e">
        <f>+Rates[[#This Row],[BASE]]*(1+$H$3)</f>
        <v>#N/A</v>
      </c>
    </row>
    <row r="68" spans="1:8">
      <c r="A68" s="5"/>
      <c r="B68" s="4" t="s">
        <v>262</v>
      </c>
      <c r="C68" s="4" t="s">
        <v>271</v>
      </c>
      <c r="D68" s="1" t="s">
        <v>91</v>
      </c>
      <c r="E68" s="5" t="s">
        <v>14</v>
      </c>
      <c r="F68" s="15">
        <v>5.8440200000000004</v>
      </c>
      <c r="G68" s="15" t="e">
        <f>Rates[[#This Row],[Column1]]*(1+$G$3)*$G$2</f>
        <v>#N/A</v>
      </c>
      <c r="H68" s="15" t="e">
        <f>+Rates[[#This Row],[BASE]]*(1+$H$3)</f>
        <v>#N/A</v>
      </c>
    </row>
    <row r="69" spans="1:8">
      <c r="A69" s="5"/>
      <c r="B69" s="4" t="s">
        <v>262</v>
      </c>
      <c r="C69" s="4" t="s">
        <v>271</v>
      </c>
      <c r="D69" s="1" t="s">
        <v>92</v>
      </c>
      <c r="E69" s="5" t="s">
        <v>9</v>
      </c>
      <c r="F69" s="15">
        <v>156.10896865199999</v>
      </c>
      <c r="G69" s="15" t="e">
        <f>Rates[[#This Row],[Column1]]*(1+$G$3)*$G$2</f>
        <v>#N/A</v>
      </c>
      <c r="H69" s="15" t="e">
        <f>+Rates[[#This Row],[BASE]]*(1+$H$3)</f>
        <v>#N/A</v>
      </c>
    </row>
    <row r="70" spans="1:8">
      <c r="A70" s="5"/>
      <c r="B70" s="4" t="s">
        <v>262</v>
      </c>
      <c r="C70" s="4" t="s">
        <v>271</v>
      </c>
      <c r="D70" s="1" t="s">
        <v>76</v>
      </c>
      <c r="E70" s="5" t="s">
        <v>14</v>
      </c>
      <c r="F70" s="15">
        <v>5.8440200000000004</v>
      </c>
      <c r="G70" s="15" t="e">
        <f>Rates[[#This Row],[Column1]]*(1+$G$3)*$G$2</f>
        <v>#N/A</v>
      </c>
      <c r="H70" s="15" t="e">
        <f>+Rates[[#This Row],[BASE]]*(1+$H$3)</f>
        <v>#N/A</v>
      </c>
    </row>
    <row r="71" spans="1:8">
      <c r="A71" s="5"/>
      <c r="B71" s="4" t="s">
        <v>277</v>
      </c>
      <c r="C71" s="4" t="s">
        <v>278</v>
      </c>
      <c r="D71" s="1" t="s">
        <v>279</v>
      </c>
      <c r="E71" s="5" t="s">
        <v>9</v>
      </c>
      <c r="F71" s="15">
        <v>3.63</v>
      </c>
      <c r="G71" s="15" t="e">
        <f>Rates[[#This Row],[Column1]]*(1+$G$3)*$G$2</f>
        <v>#N/A</v>
      </c>
      <c r="H71" s="15" t="e">
        <f>+Rates[[#This Row],[BASE]]*(1+$H$3)</f>
        <v>#N/A</v>
      </c>
    </row>
    <row r="72" spans="1:8">
      <c r="A72" s="5"/>
      <c r="B72" s="4" t="s">
        <v>277</v>
      </c>
      <c r="C72" s="4" t="s">
        <v>278</v>
      </c>
      <c r="D72" s="1" t="s">
        <v>280</v>
      </c>
      <c r="E72" s="5" t="s">
        <v>9</v>
      </c>
      <c r="F72" s="15">
        <v>2.4895525200000002</v>
      </c>
      <c r="G72" s="15" t="e">
        <f>Rates[[#This Row],[Column1]]*(1+$G$3)*$G$2</f>
        <v>#N/A</v>
      </c>
      <c r="H72" s="15" t="e">
        <f>+Rates[[#This Row],[BASE]]*(1+$H$3)</f>
        <v>#N/A</v>
      </c>
    </row>
    <row r="73" spans="1:8">
      <c r="A73" s="5"/>
      <c r="B73" s="4" t="s">
        <v>277</v>
      </c>
      <c r="C73" s="17" t="s">
        <v>281</v>
      </c>
      <c r="D73" s="1" t="s">
        <v>69</v>
      </c>
      <c r="E73" s="5" t="s">
        <v>9</v>
      </c>
      <c r="F73" s="15">
        <v>19.513621081499998</v>
      </c>
      <c r="G73" s="15" t="e">
        <f>Rates[[#This Row],[Column1]]*(1+$G$3)*$G$2</f>
        <v>#N/A</v>
      </c>
      <c r="H73" s="15" t="e">
        <f>+Rates[[#This Row],[BASE]]*(1+$H$3)</f>
        <v>#N/A</v>
      </c>
    </row>
    <row r="74" spans="1:8">
      <c r="A74" s="5"/>
      <c r="B74" s="4" t="s">
        <v>277</v>
      </c>
      <c r="C74" s="17" t="s">
        <v>281</v>
      </c>
      <c r="D74" s="1" t="s">
        <v>70</v>
      </c>
      <c r="E74" s="5" t="s">
        <v>9</v>
      </c>
      <c r="F74" s="15">
        <v>26.35</v>
      </c>
      <c r="G74" s="15" t="e">
        <f>Rates[[#This Row],[Column1]]*(1+$G$3)*$G$2</f>
        <v>#N/A</v>
      </c>
      <c r="H74" s="15" t="e">
        <f>+Rates[[#This Row],[BASE]]*(1+$H$3)</f>
        <v>#N/A</v>
      </c>
    </row>
    <row r="75" spans="1:8">
      <c r="A75" s="5"/>
      <c r="B75" s="4" t="s">
        <v>277</v>
      </c>
      <c r="C75" s="17" t="s">
        <v>281</v>
      </c>
      <c r="D75" s="1" t="s">
        <v>55</v>
      </c>
      <c r="E75" s="5" t="s">
        <v>9</v>
      </c>
      <c r="F75" s="15">
        <v>44.230874451399998</v>
      </c>
      <c r="G75" s="15" t="e">
        <f>Rates[[#This Row],[Column1]]*(1+$G$3)*$G$2</f>
        <v>#N/A</v>
      </c>
      <c r="H75" s="15" t="e">
        <f>+Rates[[#This Row],[BASE]]*(1+$H$3)</f>
        <v>#N/A</v>
      </c>
    </row>
    <row r="76" spans="1:8">
      <c r="A76" s="5"/>
      <c r="B76" s="4" t="s">
        <v>277</v>
      </c>
      <c r="C76" s="17" t="s">
        <v>281</v>
      </c>
      <c r="D76" s="1" t="s">
        <v>54</v>
      </c>
      <c r="E76" s="5" t="s">
        <v>14</v>
      </c>
      <c r="F76" s="15">
        <v>5.32</v>
      </c>
      <c r="G76" s="15" t="e">
        <f>Rates[[#This Row],[Column1]]*(1+$G$3)*$G$2</f>
        <v>#N/A</v>
      </c>
      <c r="H76" s="15" t="e">
        <f>+Rates[[#This Row],[BASE]]*(1+$H$3)</f>
        <v>#N/A</v>
      </c>
    </row>
    <row r="77" spans="1:8">
      <c r="A77" s="5"/>
      <c r="B77" s="4" t="s">
        <v>277</v>
      </c>
      <c r="C77" s="17" t="s">
        <v>281</v>
      </c>
      <c r="D77" s="1" t="s">
        <v>93</v>
      </c>
      <c r="E77" s="5" t="s">
        <v>8</v>
      </c>
      <c r="F77" s="15">
        <v>1.9519026800000001</v>
      </c>
      <c r="G77" s="15" t="e">
        <f>Rates[[#This Row],[Column1]]*(1+$G$3)*$G$2</f>
        <v>#N/A</v>
      </c>
      <c r="H77" s="15" t="e">
        <f>+Rates[[#This Row],[BASE]]*(1+$H$3)</f>
        <v>#N/A</v>
      </c>
    </row>
    <row r="78" spans="1:8" ht="25.5">
      <c r="A78" s="5"/>
      <c r="B78" s="4" t="s">
        <v>277</v>
      </c>
      <c r="C78" s="17" t="s">
        <v>281</v>
      </c>
      <c r="D78" s="2" t="s">
        <v>57</v>
      </c>
      <c r="E78" s="5" t="s">
        <v>9</v>
      </c>
      <c r="F78" s="15">
        <v>128.5</v>
      </c>
      <c r="G78" s="15" t="e">
        <f>Rates[[#This Row],[Column1]]*(1+$G$3)*$G$2</f>
        <v>#N/A</v>
      </c>
      <c r="H78" s="15" t="e">
        <f>+Rates[[#This Row],[BASE]]*(1+$H$3)</f>
        <v>#N/A</v>
      </c>
    </row>
    <row r="79" spans="1:8" ht="25.5">
      <c r="A79" s="5"/>
      <c r="B79" s="4" t="s">
        <v>277</v>
      </c>
      <c r="C79" s="17" t="s">
        <v>281</v>
      </c>
      <c r="D79" s="2" t="s">
        <v>95</v>
      </c>
      <c r="E79" s="5" t="s">
        <v>9</v>
      </c>
      <c r="F79" s="15">
        <v>133.28275200000002</v>
      </c>
      <c r="G79" s="15" t="e">
        <f>Rates[[#This Row],[Column1]]*(1+$G$3)*$G$2</f>
        <v>#N/A</v>
      </c>
      <c r="H79" s="15" t="e">
        <f>+Rates[[#This Row],[BASE]]*(1+$H$3)</f>
        <v>#N/A</v>
      </c>
    </row>
    <row r="80" spans="1:8" ht="25.5">
      <c r="A80" s="5"/>
      <c r="B80" s="4" t="s">
        <v>277</v>
      </c>
      <c r="C80" s="17" t="s">
        <v>281</v>
      </c>
      <c r="D80" s="2" t="s">
        <v>94</v>
      </c>
      <c r="E80" s="5" t="s">
        <v>9</v>
      </c>
      <c r="F80" s="15">
        <v>118.28275199999999</v>
      </c>
      <c r="G80" s="15" t="e">
        <f>Rates[[#This Row],[Column1]]*(1+$G$3)*$G$2</f>
        <v>#N/A</v>
      </c>
      <c r="H80" s="15" t="e">
        <f>+Rates[[#This Row],[BASE]]*(1+$H$3)</f>
        <v>#N/A</v>
      </c>
    </row>
    <row r="81" spans="1:8">
      <c r="A81" s="5"/>
      <c r="B81" s="4" t="s">
        <v>260</v>
      </c>
      <c r="C81" s="4" t="s">
        <v>282</v>
      </c>
      <c r="D81" s="1" t="s">
        <v>47</v>
      </c>
      <c r="E81" s="5" t="s">
        <v>9</v>
      </c>
      <c r="F81" s="15">
        <v>358.18</v>
      </c>
      <c r="G81" s="15" t="e">
        <f>Rates[[#This Row],[Column1]]*(1+$G$3)*$G$2</f>
        <v>#N/A</v>
      </c>
      <c r="H81" s="15" t="e">
        <f>+Rates[[#This Row],[BASE]]*(1+$H$3)</f>
        <v>#N/A</v>
      </c>
    </row>
    <row r="82" spans="1:8">
      <c r="A82" s="5"/>
      <c r="B82" s="4" t="s">
        <v>260</v>
      </c>
      <c r="C82" s="4" t="s">
        <v>282</v>
      </c>
      <c r="D82" s="1" t="s">
        <v>64</v>
      </c>
      <c r="E82" s="5" t="s">
        <v>9</v>
      </c>
      <c r="F82" s="15">
        <v>44.230874451399998</v>
      </c>
      <c r="G82" s="15" t="e">
        <f>Rates[[#This Row],[Column1]]*(1+$G$3)*$G$2</f>
        <v>#N/A</v>
      </c>
      <c r="H82" s="15" t="e">
        <f>+Rates[[#This Row],[BASE]]*(1+$H$3)</f>
        <v>#N/A</v>
      </c>
    </row>
    <row r="83" spans="1:8">
      <c r="A83" s="5"/>
      <c r="B83" s="4" t="s">
        <v>260</v>
      </c>
      <c r="C83" s="4" t="s">
        <v>282</v>
      </c>
      <c r="D83" s="1" t="s">
        <v>65</v>
      </c>
      <c r="E83" s="5" t="s">
        <v>14</v>
      </c>
      <c r="F83" s="15">
        <v>5.32</v>
      </c>
      <c r="G83" s="15" t="e">
        <f>Rates[[#This Row],[Column1]]*(1+$G$3)*$G$2</f>
        <v>#N/A</v>
      </c>
      <c r="H83" s="15" t="e">
        <f>+Rates[[#This Row],[BASE]]*(1+$H$3)</f>
        <v>#N/A</v>
      </c>
    </row>
    <row r="84" spans="1:8">
      <c r="A84" s="5"/>
      <c r="B84" s="4" t="s">
        <v>260</v>
      </c>
      <c r="C84" s="4" t="s">
        <v>283</v>
      </c>
      <c r="D84" s="1" t="s">
        <v>48</v>
      </c>
      <c r="E84" s="5" t="s">
        <v>13</v>
      </c>
      <c r="F84" s="15">
        <v>16157.278255481999</v>
      </c>
      <c r="G84" s="15" t="e">
        <f>Rates[[#This Row],[Column1]]*(1+$G$3)*$G$2</f>
        <v>#N/A</v>
      </c>
      <c r="H84" s="15" t="e">
        <f>+Rates[[#This Row],[BASE]]*(1+$H$3)</f>
        <v>#N/A</v>
      </c>
    </row>
    <row r="85" spans="1:8">
      <c r="A85" s="5"/>
      <c r="B85" s="4" t="s">
        <v>260</v>
      </c>
      <c r="C85" s="4" t="s">
        <v>283</v>
      </c>
      <c r="D85" s="1" t="s">
        <v>49</v>
      </c>
      <c r="E85" s="5" t="s">
        <v>8</v>
      </c>
      <c r="F85" s="15">
        <v>5.2036322883999997</v>
      </c>
      <c r="G85" s="15" t="e">
        <f>Rates[[#This Row],[Column1]]*(1+$G$3)*$G$2</f>
        <v>#N/A</v>
      </c>
      <c r="H85" s="15" t="e">
        <f>+Rates[[#This Row],[BASE]]*(1+$H$3)</f>
        <v>#N/A</v>
      </c>
    </row>
    <row r="86" spans="1:8">
      <c r="A86" s="5"/>
      <c r="B86" s="4" t="s">
        <v>260</v>
      </c>
      <c r="C86" s="4" t="s">
        <v>283</v>
      </c>
      <c r="D86" s="1" t="s">
        <v>66</v>
      </c>
      <c r="E86" s="5" t="s">
        <v>8</v>
      </c>
      <c r="F86" s="15">
        <v>4.53</v>
      </c>
      <c r="G86" s="15" t="e">
        <f>Rates[[#This Row],[Column1]]*(1+$G$3)*$G$2</f>
        <v>#N/A</v>
      </c>
      <c r="H86" s="15" t="e">
        <f>+Rates[[#This Row],[BASE]]*(1+$H$3)</f>
        <v>#N/A</v>
      </c>
    </row>
    <row r="87" spans="1:8">
      <c r="A87" s="5"/>
      <c r="B87" s="4" t="s">
        <v>260</v>
      </c>
      <c r="C87" s="4" t="s">
        <v>283</v>
      </c>
      <c r="D87" s="1" t="s">
        <v>105</v>
      </c>
      <c r="E87" s="5" t="s">
        <v>8</v>
      </c>
      <c r="F87" s="15">
        <v>3.5</v>
      </c>
      <c r="G87" s="15" t="e">
        <f>Rates[[#This Row],[Column1]]*(1+$G$3)*$G$2</f>
        <v>#N/A</v>
      </c>
      <c r="H87" s="15" t="e">
        <f>+Rates[[#This Row],[BASE]]*(1+$H$3)</f>
        <v>#N/A</v>
      </c>
    </row>
    <row r="88" spans="1:8">
      <c r="A88" s="5"/>
      <c r="B88" s="4" t="s">
        <v>261</v>
      </c>
      <c r="C88" s="17" t="s">
        <v>284</v>
      </c>
      <c r="D88" s="1" t="s">
        <v>56</v>
      </c>
      <c r="E88" s="5" t="s">
        <v>9</v>
      </c>
      <c r="F88" s="15">
        <v>97.568105407499999</v>
      </c>
      <c r="G88" s="15" t="e">
        <f>Rates[[#This Row],[Column1]]*(1+$G$3)*$G$2</f>
        <v>#N/A</v>
      </c>
      <c r="H88" s="15" t="e">
        <f>+Rates[[#This Row],[BASE]]*(1+$H$3)</f>
        <v>#N/A</v>
      </c>
    </row>
    <row r="89" spans="1:8" ht="25.5">
      <c r="A89" s="5"/>
      <c r="B89" s="4" t="s">
        <v>261</v>
      </c>
      <c r="C89" s="17" t="s">
        <v>285</v>
      </c>
      <c r="D89" s="2" t="s">
        <v>60</v>
      </c>
      <c r="E89" s="5" t="s">
        <v>9</v>
      </c>
      <c r="F89" s="15">
        <v>41.77</v>
      </c>
      <c r="G89" s="15" t="e">
        <f>Rates[[#This Row],[Column1]]*(1+$G$3)*$G$2</f>
        <v>#N/A</v>
      </c>
      <c r="H89" s="15" t="e">
        <f>+Rates[[#This Row],[BASE]]*(1+$H$3)</f>
        <v>#N/A</v>
      </c>
    </row>
    <row r="90" spans="1:8" ht="25.5">
      <c r="A90" s="5"/>
      <c r="B90" s="4" t="s">
        <v>261</v>
      </c>
      <c r="C90" s="17" t="s">
        <v>285</v>
      </c>
      <c r="D90" s="2" t="s">
        <v>61</v>
      </c>
      <c r="E90" s="5" t="s">
        <v>9</v>
      </c>
      <c r="F90" s="15">
        <v>128.5</v>
      </c>
      <c r="G90" s="15" t="e">
        <f>Rates[[#This Row],[Column1]]*(1+$G$3)*$G$2</f>
        <v>#N/A</v>
      </c>
      <c r="H90" s="15" t="e">
        <f>+Rates[[#This Row],[BASE]]*(1+$H$3)</f>
        <v>#N/A</v>
      </c>
    </row>
    <row r="91" spans="1:8">
      <c r="A91" s="5"/>
      <c r="B91" s="4" t="s">
        <v>261</v>
      </c>
      <c r="C91" s="17" t="s">
        <v>285</v>
      </c>
      <c r="D91" s="2" t="s">
        <v>96</v>
      </c>
      <c r="E91" s="5" t="s">
        <v>9</v>
      </c>
      <c r="F91" s="15">
        <v>533.13100799999995</v>
      </c>
      <c r="G91" s="15" t="e">
        <f>Rates[[#This Row],[Column1]]*(1+$G$3)*$G$2</f>
        <v>#N/A</v>
      </c>
      <c r="H91" s="15" t="e">
        <f>+Rates[[#This Row],[BASE]]*(1+$H$3)</f>
        <v>#N/A</v>
      </c>
    </row>
    <row r="92" spans="1:8" ht="25.5">
      <c r="A92" s="5"/>
      <c r="B92" s="4" t="s">
        <v>261</v>
      </c>
      <c r="C92" s="17" t="s">
        <v>285</v>
      </c>
      <c r="D92" s="2" t="s">
        <v>62</v>
      </c>
      <c r="E92" s="5" t="s">
        <v>12</v>
      </c>
      <c r="F92" s="15">
        <v>25000</v>
      </c>
      <c r="G92" s="15" t="e">
        <f>Rates[[#This Row],[Column1]]*(1+$G$3)*$G$2</f>
        <v>#N/A</v>
      </c>
      <c r="H92" s="15" t="e">
        <f>+Rates[[#This Row],[BASE]]*(1+$H$3)</f>
        <v>#N/A</v>
      </c>
    </row>
    <row r="93" spans="1:8" ht="25.5">
      <c r="A93" s="5"/>
      <c r="B93" s="4" t="s">
        <v>261</v>
      </c>
      <c r="C93" s="17" t="s">
        <v>286</v>
      </c>
      <c r="D93" s="2" t="s">
        <v>58</v>
      </c>
      <c r="E93" s="5" t="s">
        <v>8</v>
      </c>
      <c r="F93" s="15">
        <f>420.817*1.3</f>
        <v>547.06209999999999</v>
      </c>
      <c r="G93" s="15" t="e">
        <f>Rates[[#This Row],[Column1]]*(1+$G$3)*$G$2</f>
        <v>#N/A</v>
      </c>
      <c r="H93" s="15" t="e">
        <f>+Rates[[#This Row],[BASE]]*(1+$H$3)</f>
        <v>#N/A</v>
      </c>
    </row>
    <row r="94" spans="1:8" ht="25.5">
      <c r="A94" s="5"/>
      <c r="B94" s="4" t="s">
        <v>261</v>
      </c>
      <c r="C94" s="17" t="s">
        <v>286</v>
      </c>
      <c r="D94" s="2" t="s">
        <v>59</v>
      </c>
      <c r="E94" s="5" t="s">
        <v>8</v>
      </c>
      <c r="F94" s="15">
        <f>549.7825*1.3</f>
        <v>714.71725000000004</v>
      </c>
      <c r="G94" s="15" t="e">
        <f>Rates[[#This Row],[Column1]]*(1+$G$3)*$G$2</f>
        <v>#N/A</v>
      </c>
      <c r="H94" s="15" t="e">
        <f>+Rates[[#This Row],[BASE]]*(1+$H$3)</f>
        <v>#N/A</v>
      </c>
    </row>
    <row r="95" spans="1:8" ht="25.5">
      <c r="A95" s="5"/>
      <c r="B95" s="4" t="s">
        <v>261</v>
      </c>
      <c r="C95" s="17" t="s">
        <v>286</v>
      </c>
      <c r="D95" s="2" t="s">
        <v>63</v>
      </c>
      <c r="E95" s="5" t="s">
        <v>8</v>
      </c>
      <c r="F95" s="15">
        <f>300+0.15*665</f>
        <v>399.75</v>
      </c>
      <c r="G95" s="15" t="e">
        <f>Rates[[#This Row],[Column1]]*(1+$G$3)*$G$2</f>
        <v>#N/A</v>
      </c>
      <c r="H95" s="15" t="e">
        <f>+Rates[[#This Row],[BASE]]*(1+$H$3)</f>
        <v>#N/A</v>
      </c>
    </row>
    <row r="96" spans="1:8">
      <c r="A96" s="5"/>
      <c r="B96" s="4" t="s">
        <v>291</v>
      </c>
      <c r="C96" s="4" t="s">
        <v>98</v>
      </c>
      <c r="D96" s="1" t="s">
        <v>43</v>
      </c>
      <c r="E96" s="5" t="s">
        <v>11</v>
      </c>
      <c r="F96" s="15">
        <v>1626.1350901250003</v>
      </c>
      <c r="G96" s="15" t="e">
        <f>Rates[[#This Row],[Column1]]*(1+$G$3)*$G$2</f>
        <v>#N/A</v>
      </c>
      <c r="H96" s="15" t="e">
        <f>+Rates[[#This Row],[BASE]]*(1+$H$3)</f>
        <v>#N/A</v>
      </c>
    </row>
    <row r="97" spans="1:8">
      <c r="A97" s="5"/>
      <c r="B97" s="4" t="s">
        <v>291</v>
      </c>
      <c r="C97" s="4" t="s">
        <v>98</v>
      </c>
      <c r="D97" s="1" t="s">
        <v>44</v>
      </c>
      <c r="E97" s="5" t="s">
        <v>11</v>
      </c>
      <c r="F97" s="15">
        <v>3252.2701802500005</v>
      </c>
      <c r="G97" s="15" t="e">
        <f>Rates[[#This Row],[Column1]]*(1+$G$3)*$G$2</f>
        <v>#N/A</v>
      </c>
      <c r="H97" s="15" t="e">
        <f>+Rates[[#This Row],[BASE]]*(1+$H$3)</f>
        <v>#N/A</v>
      </c>
    </row>
    <row r="98" spans="1:8">
      <c r="A98" s="5"/>
      <c r="B98" s="4" t="s">
        <v>291</v>
      </c>
      <c r="C98" s="4" t="s">
        <v>98</v>
      </c>
      <c r="D98" s="1" t="s">
        <v>45</v>
      </c>
      <c r="E98" s="5" t="s">
        <v>11</v>
      </c>
      <c r="F98" s="15">
        <v>4553.1782523499996</v>
      </c>
      <c r="G98" s="15" t="e">
        <f>Rates[[#This Row],[Column1]]*(1+$G$3)*$G$2</f>
        <v>#N/A</v>
      </c>
      <c r="H98" s="15" t="e">
        <f>+Rates[[#This Row],[BASE]]*(1+$H$3)</f>
        <v>#N/A</v>
      </c>
    </row>
    <row r="99" spans="1:8">
      <c r="A99" s="5"/>
      <c r="B99" s="4" t="s">
        <v>291</v>
      </c>
      <c r="C99" s="4" t="s">
        <v>98</v>
      </c>
      <c r="D99" s="1" t="s">
        <v>97</v>
      </c>
      <c r="E99" s="5" t="s">
        <v>26</v>
      </c>
      <c r="F99" s="15">
        <v>36255.930706086081</v>
      </c>
      <c r="G99" s="15" t="e">
        <f>Rates[[#This Row],[Column1]]*(1+$G$3)*$G$2</f>
        <v>#N/A</v>
      </c>
      <c r="H99" s="15" t="e">
        <f>+Rates[[#This Row],[BASE]]*(1+$H$3)</f>
        <v>#N/A</v>
      </c>
    </row>
    <row r="100" spans="1:8">
      <c r="A100" s="5"/>
      <c r="B100" s="4" t="s">
        <v>291</v>
      </c>
      <c r="C100" s="4" t="s">
        <v>98</v>
      </c>
      <c r="D100" s="1" t="s">
        <v>46</v>
      </c>
      <c r="E100" s="5" t="s">
        <v>8</v>
      </c>
      <c r="F100" s="15">
        <v>3.9027242163000002</v>
      </c>
      <c r="G100" s="15" t="e">
        <f>Rates[[#This Row],[Column1]]*(1+$G$3)*$G$2</f>
        <v>#N/A</v>
      </c>
      <c r="H100" s="15" t="e">
        <f>+Rates[[#This Row],[BASE]]*(1+$H$3)</f>
        <v>#N/A</v>
      </c>
    </row>
    <row r="101" spans="1:8" ht="14.25">
      <c r="A101" s="5"/>
      <c r="B101" s="4" t="s">
        <v>291</v>
      </c>
      <c r="C101" s="4" t="s">
        <v>99</v>
      </c>
      <c r="D101" s="1" t="s">
        <v>109</v>
      </c>
      <c r="E101" s="5" t="s">
        <v>103</v>
      </c>
      <c r="F101" s="15">
        <v>44.230874451399998</v>
      </c>
      <c r="G101" s="15" t="e">
        <f>Rates[[#This Row],[Column1]]*(1+$G$3)*$G$2</f>
        <v>#N/A</v>
      </c>
      <c r="H101" s="15" t="e">
        <f>+Rates[[#This Row],[BASE]]*(1+$H$3)</f>
        <v>#N/A</v>
      </c>
    </row>
    <row r="102" spans="1:8">
      <c r="A102" s="5"/>
      <c r="B102" s="4" t="s">
        <v>291</v>
      </c>
      <c r="C102" s="4" t="s">
        <v>100</v>
      </c>
      <c r="D102" s="1" t="s">
        <v>106</v>
      </c>
      <c r="E102" s="5" t="s">
        <v>104</v>
      </c>
      <c r="F102" s="15">
        <v>1.9519026800000001</v>
      </c>
      <c r="G102" s="15" t="e">
        <f>Rates[[#This Row],[Column1]]*(1+$G$3)*$G$2</f>
        <v>#N/A</v>
      </c>
      <c r="H102" s="15" t="e">
        <f>+Rates[[#This Row],[BASE]]*(1+$H$3)</f>
        <v>#N/A</v>
      </c>
    </row>
    <row r="103" spans="1:8" ht="25.5">
      <c r="A103" s="5"/>
      <c r="B103" s="4" t="s">
        <v>291</v>
      </c>
      <c r="C103" s="4" t="s">
        <v>119</v>
      </c>
      <c r="D103" s="2" t="s">
        <v>107</v>
      </c>
      <c r="E103" s="5" t="s">
        <v>104</v>
      </c>
      <c r="F103" s="15">
        <v>5.2036322883999997</v>
      </c>
      <c r="G103" s="15" t="e">
        <f>Rates[[#This Row],[Column1]]*(1+$G$3)*$G$2</f>
        <v>#N/A</v>
      </c>
      <c r="H103" s="15" t="e">
        <f>+Rates[[#This Row],[BASE]]*(1+$H$3)</f>
        <v>#N/A</v>
      </c>
    </row>
    <row r="104" spans="1:8" ht="25.5">
      <c r="A104" s="5"/>
      <c r="B104" s="4" t="s">
        <v>291</v>
      </c>
      <c r="C104" s="4" t="s">
        <v>119</v>
      </c>
      <c r="D104" s="2" t="s">
        <v>108</v>
      </c>
      <c r="E104" s="5" t="s">
        <v>104</v>
      </c>
      <c r="F104" s="15">
        <v>4.53</v>
      </c>
      <c r="G104" s="15" t="e">
        <f>Rates[[#This Row],[Column1]]*(1+$G$3)*$G$2</f>
        <v>#N/A</v>
      </c>
      <c r="H104" s="15" t="e">
        <f>+Rates[[#This Row],[BASE]]*(1+$H$3)</f>
        <v>#N/A</v>
      </c>
    </row>
    <row r="105" spans="1:8" ht="38.25">
      <c r="A105" s="5"/>
      <c r="B105" s="4" t="s">
        <v>291</v>
      </c>
      <c r="C105" s="4" t="s">
        <v>101</v>
      </c>
      <c r="D105" s="2" t="s">
        <v>118</v>
      </c>
      <c r="E105" s="5" t="s">
        <v>103</v>
      </c>
      <c r="F105" s="15">
        <v>41.77</v>
      </c>
      <c r="G105" s="15" t="e">
        <f>Rates[[#This Row],[Column1]]*(1+$G$3)*$G$2</f>
        <v>#N/A</v>
      </c>
      <c r="H105" s="15" t="e">
        <f>+Rates[[#This Row],[BASE]]*(1+$H$3)</f>
        <v>#N/A</v>
      </c>
    </row>
    <row r="106" spans="1:8" ht="25.5">
      <c r="A106" s="5"/>
      <c r="B106" s="4" t="s">
        <v>291</v>
      </c>
      <c r="C106" s="4" t="s">
        <v>102</v>
      </c>
      <c r="D106" s="2" t="s">
        <v>110</v>
      </c>
      <c r="E106" s="5" t="s">
        <v>216</v>
      </c>
      <c r="F106" s="15">
        <v>2000</v>
      </c>
      <c r="G106" s="15" t="e">
        <f>Rates[[#This Row],[Column1]]*(1+$G$3)*$G$2</f>
        <v>#N/A</v>
      </c>
      <c r="H106" s="15" t="e">
        <f>+Rates[[#This Row],[BASE]]*(1+$H$3)</f>
        <v>#N/A</v>
      </c>
    </row>
    <row r="107" spans="1:8">
      <c r="A107" s="5"/>
      <c r="B107" s="4"/>
      <c r="C107" s="4"/>
      <c r="E107" s="5"/>
      <c r="F107" s="15"/>
      <c r="G107" s="15" t="e">
        <f>Rates[[#This Row],[Column1]]*(1+$G$3)*$G$2</f>
        <v>#N/A</v>
      </c>
      <c r="H107" s="15" t="e">
        <f>+Rates[[#This Row],[BASE]]*(1+$H$3)</f>
        <v>#N/A</v>
      </c>
    </row>
    <row r="108" spans="1:8">
      <c r="A108" s="5"/>
      <c r="B108" s="4"/>
      <c r="C108" s="4"/>
      <c r="E108" s="5"/>
      <c r="F108" s="15"/>
      <c r="G108" s="15" t="e">
        <f>Rates[[#This Row],[Column1]]*(1+$G$3)*$G$2</f>
        <v>#N/A</v>
      </c>
      <c r="H108" s="15" t="e">
        <f>+Rates[[#This Row],[BASE]]*(1+$H$3)</f>
        <v>#N/A</v>
      </c>
    </row>
    <row r="109" spans="1:8">
      <c r="A109" s="5"/>
      <c r="B109" s="4"/>
      <c r="C109" s="4"/>
      <c r="E109" s="5"/>
      <c r="F109" s="15"/>
      <c r="G109" s="15" t="e">
        <f>Rates[[#This Row],[Column1]]*(1+$G$3)*$G$2</f>
        <v>#N/A</v>
      </c>
      <c r="H109" s="15" t="e">
        <f>+Rates[[#This Row],[BASE]]*(1+$H$3)</f>
        <v>#N/A</v>
      </c>
    </row>
    <row r="110" spans="1:8">
      <c r="A110" s="5"/>
      <c r="B110" s="4"/>
      <c r="C110" s="4"/>
      <c r="E110" s="5"/>
      <c r="F110" s="15"/>
      <c r="G110" s="15" t="e">
        <f>Rates[[#This Row],[Column1]]*(1+$G$3)*$G$2</f>
        <v>#N/A</v>
      </c>
      <c r="H110" s="15" t="e">
        <f>+Rates[[#This Row],[BASE]]*(1+$H$3)</f>
        <v>#N/A</v>
      </c>
    </row>
    <row r="113" spans="2:2">
      <c r="B113" s="22"/>
    </row>
  </sheetData>
  <dataConsolidate link="1"/>
  <phoneticPr fontId="8" type="noConversion"/>
  <dataValidations count="3">
    <dataValidation type="list" allowBlank="1" showInputMessage="1" showErrorMessage="1" sqref="C112 C6:C30" xr:uid="{DC7874D6-170D-4BC0-AF0B-C85041D29D82}">
      <formula1>SubsectionList</formula1>
    </dataValidation>
    <dataValidation type="list" allowBlank="1" showInputMessage="1" showErrorMessage="1" sqref="F1" xr:uid="{64DFE18A-7790-47CE-9545-478208C621EC}">
      <formula1>#REF!</formula1>
    </dataValidation>
    <dataValidation type="list" allowBlank="1" showInputMessage="1" showErrorMessage="1" sqref="E6:E112" xr:uid="{7367866F-AE0E-4E2B-9EF7-E95963C3E994}">
      <formula1>Units</formula1>
    </dataValidation>
  </dataValidations>
  <pageMargins left="0.70866141732283472" right="0.70866141732283472" top="0.74803149606299213" bottom="0.74803149606299213" header="0" footer="0"/>
  <pageSetup paperSize="9" scale="50"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C0BD8-8064-4F8F-A191-76CBC54A7408}">
  <dimension ref="B1:M52"/>
  <sheetViews>
    <sheetView topLeftCell="A22" workbookViewId="0">
      <selection activeCell="F52" sqref="F52"/>
    </sheetView>
  </sheetViews>
  <sheetFormatPr defaultColWidth="8.85546875" defaultRowHeight="15"/>
  <cols>
    <col min="5" max="5" width="28.85546875" customWidth="1"/>
  </cols>
  <sheetData>
    <row r="1" spans="2:13">
      <c r="C1" s="21" t="s">
        <v>129</v>
      </c>
    </row>
    <row r="2" spans="2:13">
      <c r="C2" s="24" t="s">
        <v>130</v>
      </c>
    </row>
    <row r="3" spans="2:13">
      <c r="C3" s="24" t="s">
        <v>131</v>
      </c>
    </row>
    <row r="4" spans="2:13">
      <c r="C4" s="24" t="s">
        <v>132</v>
      </c>
    </row>
    <row r="5" spans="2:13">
      <c r="C5" s="24" t="s">
        <v>133</v>
      </c>
    </row>
    <row r="8" spans="2:13">
      <c r="C8" s="24" t="s">
        <v>134</v>
      </c>
      <c r="D8">
        <v>0</v>
      </c>
    </row>
    <row r="9" spans="2:13">
      <c r="B9" t="s">
        <v>211</v>
      </c>
      <c r="C9" s="24" t="s">
        <v>135</v>
      </c>
      <c r="D9">
        <f>+INPUTS!C92</f>
        <v>0.05</v>
      </c>
    </row>
    <row r="10" spans="2:13">
      <c r="B10" t="s">
        <v>214</v>
      </c>
      <c r="C10" s="24" t="s">
        <v>136</v>
      </c>
      <c r="D10">
        <f>+INPUTS!C93</f>
        <v>0.25</v>
      </c>
    </row>
    <row r="11" spans="2:13">
      <c r="B11" t="s">
        <v>215</v>
      </c>
      <c r="C11" s="24" t="s">
        <v>137</v>
      </c>
      <c r="D11">
        <f>+INPUTS!C94</f>
        <v>0.1</v>
      </c>
    </row>
    <row r="12" spans="2:13">
      <c r="B12" t="s">
        <v>213</v>
      </c>
      <c r="C12" s="24" t="s">
        <v>138</v>
      </c>
      <c r="D12">
        <f>+INPUTS!C95</f>
        <v>0.6</v>
      </c>
    </row>
    <row r="14" spans="2:13">
      <c r="C14" s="21" t="s">
        <v>129</v>
      </c>
    </row>
    <row r="15" spans="2:13">
      <c r="C15" s="24" t="s">
        <v>140</v>
      </c>
      <c r="M15" s="25" t="s">
        <v>139</v>
      </c>
    </row>
    <row r="16" spans="2:13">
      <c r="C16" s="24" t="s">
        <v>148</v>
      </c>
      <c r="M16" s="25" t="s">
        <v>147</v>
      </c>
    </row>
    <row r="17" spans="3:13">
      <c r="C17" s="24" t="s">
        <v>149</v>
      </c>
      <c r="M17" s="25" t="s">
        <v>139</v>
      </c>
    </row>
    <row r="18" spans="3:13">
      <c r="C18" s="24" t="s">
        <v>154</v>
      </c>
      <c r="M18" s="25" t="s">
        <v>139</v>
      </c>
    </row>
    <row r="19" spans="3:13">
      <c r="C19" s="21"/>
    </row>
    <row r="20" spans="3:13">
      <c r="C20" s="21"/>
    </row>
    <row r="21" spans="3:13">
      <c r="C21" s="21"/>
    </row>
    <row r="22" spans="3:13">
      <c r="C22" s="21"/>
      <c r="E22" t="s">
        <v>211</v>
      </c>
    </row>
    <row r="23" spans="3:13">
      <c r="C23" s="21"/>
      <c r="E23" t="s">
        <v>150</v>
      </c>
    </row>
    <row r="24" spans="3:13">
      <c r="E24" t="s">
        <v>143</v>
      </c>
    </row>
    <row r="25" spans="3:13">
      <c r="E25" t="s">
        <v>141</v>
      </c>
      <c r="F25" s="27">
        <v>44682</v>
      </c>
      <c r="G25" s="27">
        <v>45047</v>
      </c>
      <c r="H25" s="27" t="s">
        <v>210</v>
      </c>
      <c r="I25" s="27" t="str">
        <f>+INPUTS!D36</f>
        <v>August (Select from pulldown)</v>
      </c>
      <c r="J25" s="27" t="s">
        <v>210</v>
      </c>
      <c r="K25" s="27"/>
    </row>
    <row r="26" spans="3:13">
      <c r="E26" s="26" t="s">
        <v>127</v>
      </c>
      <c r="F26">
        <v>102.8</v>
      </c>
      <c r="G26">
        <v>109.6</v>
      </c>
      <c r="H26" s="54">
        <f>+(G26-F26)/100</f>
        <v>6.7999999999999977E-2</v>
      </c>
      <c r="I26">
        <f>+INPUTS!$C$49</f>
        <v>110.8</v>
      </c>
      <c r="J26" s="54">
        <f>(I26-G26)/100</f>
        <v>1.2000000000000028E-2</v>
      </c>
    </row>
    <row r="27" spans="3:13">
      <c r="E27" s="26" t="s">
        <v>122</v>
      </c>
      <c r="F27">
        <v>103.4</v>
      </c>
      <c r="G27">
        <v>110.9</v>
      </c>
      <c r="H27" s="54">
        <f t="shared" ref="H27:H34" si="0">+(G27-F27)/100</f>
        <v>7.4999999999999997E-2</v>
      </c>
      <c r="I27">
        <f>+INPUTS!$C$49</f>
        <v>110.8</v>
      </c>
      <c r="J27" s="54">
        <f t="shared" ref="J27:J34" si="1">(I27-G27)/100</f>
        <v>-1.0000000000000852E-3</v>
      </c>
    </row>
    <row r="28" spans="3:13">
      <c r="E28" s="26" t="s">
        <v>123</v>
      </c>
      <c r="F28">
        <v>103</v>
      </c>
      <c r="G28">
        <v>110.3</v>
      </c>
      <c r="H28" s="54">
        <f t="shared" si="0"/>
        <v>7.2999999999999968E-2</v>
      </c>
      <c r="I28">
        <f>+INPUTS!$C$49</f>
        <v>110.8</v>
      </c>
      <c r="J28" s="54">
        <f t="shared" si="1"/>
        <v>5.0000000000000001E-3</v>
      </c>
    </row>
    <row r="29" spans="3:13">
      <c r="E29" s="26" t="s">
        <v>126</v>
      </c>
      <c r="F29">
        <v>103.2</v>
      </c>
      <c r="G29">
        <v>111.2</v>
      </c>
      <c r="H29" s="54">
        <f t="shared" si="0"/>
        <v>0.08</v>
      </c>
      <c r="I29">
        <f>+INPUTS!$C$49</f>
        <v>110.8</v>
      </c>
      <c r="J29" s="54">
        <f t="shared" si="1"/>
        <v>-4.0000000000000565E-3</v>
      </c>
    </row>
    <row r="30" spans="3:13">
      <c r="E30" s="26" t="s">
        <v>142</v>
      </c>
      <c r="F30">
        <v>103.3</v>
      </c>
      <c r="G30">
        <v>110.7</v>
      </c>
      <c r="H30" s="54">
        <f t="shared" si="0"/>
        <v>7.4000000000000052E-2</v>
      </c>
      <c r="I30">
        <f>+INPUTS!$C$49</f>
        <v>110.8</v>
      </c>
      <c r="J30" s="54">
        <f t="shared" si="1"/>
        <v>9.9999999999994321E-4</v>
      </c>
    </row>
    <row r="31" spans="3:13">
      <c r="E31" s="26" t="s">
        <v>124</v>
      </c>
      <c r="F31">
        <v>103.2</v>
      </c>
      <c r="G31">
        <v>109.8</v>
      </c>
      <c r="H31" s="54">
        <f t="shared" si="0"/>
        <v>6.5999999999999948E-2</v>
      </c>
      <c r="I31">
        <f>+INPUTS!$C$49</f>
        <v>110.8</v>
      </c>
      <c r="J31" s="54">
        <f t="shared" si="1"/>
        <v>0.01</v>
      </c>
    </row>
    <row r="32" spans="3:13">
      <c r="E32" s="26" t="s">
        <v>121</v>
      </c>
      <c r="F32">
        <v>103.1</v>
      </c>
      <c r="G32">
        <v>109.2</v>
      </c>
      <c r="H32" s="54">
        <f t="shared" si="0"/>
        <v>6.1000000000000082E-2</v>
      </c>
      <c r="I32">
        <f>+INPUTS!$C$49</f>
        <v>110.8</v>
      </c>
      <c r="J32" s="54">
        <f t="shared" si="1"/>
        <v>1.5999999999999945E-2</v>
      </c>
    </row>
    <row r="33" spans="5:11">
      <c r="E33" s="26" t="s">
        <v>120</v>
      </c>
      <c r="F33">
        <v>103.3</v>
      </c>
      <c r="G33">
        <v>110.8</v>
      </c>
      <c r="H33" s="54">
        <f t="shared" si="0"/>
        <v>7.4999999999999997E-2</v>
      </c>
      <c r="I33">
        <f>+INPUTS!$C$49</f>
        <v>110.8</v>
      </c>
      <c r="J33" s="54">
        <f t="shared" si="1"/>
        <v>0</v>
      </c>
    </row>
    <row r="34" spans="5:11">
      <c r="E34" s="26" t="s">
        <v>125</v>
      </c>
      <c r="F34">
        <v>103.9</v>
      </c>
      <c r="G34">
        <v>110.6</v>
      </c>
      <c r="H34" s="54">
        <f t="shared" si="0"/>
        <v>6.6999999999999893E-2</v>
      </c>
      <c r="I34">
        <f>+INPUTS!$C$49</f>
        <v>110.8</v>
      </c>
      <c r="J34" s="54">
        <f t="shared" si="1"/>
        <v>2.0000000000000282E-3</v>
      </c>
    </row>
    <row r="35" spans="5:11">
      <c r="E35" s="26" t="s">
        <v>153</v>
      </c>
      <c r="F35" s="53" t="e">
        <f>+VLOOKUP(INPUTS!C40,Escalation!E26:J34,6,FALSE)</f>
        <v>#N/A</v>
      </c>
    </row>
    <row r="37" spans="5:11">
      <c r="E37" s="28" t="s">
        <v>151</v>
      </c>
      <c r="K37" s="27"/>
    </row>
    <row r="38" spans="5:11">
      <c r="F38" s="27">
        <v>44652</v>
      </c>
      <c r="G38" s="27">
        <v>45017</v>
      </c>
      <c r="H38" s="27" t="s">
        <v>210</v>
      </c>
      <c r="I38" s="27">
        <f>+INPUTS!C36</f>
        <v>0</v>
      </c>
      <c r="J38" s="27" t="s">
        <v>210</v>
      </c>
    </row>
    <row r="39" spans="5:11">
      <c r="E39" s="26" t="s">
        <v>152</v>
      </c>
      <c r="F39">
        <v>106.7</v>
      </c>
      <c r="G39">
        <v>115.4</v>
      </c>
      <c r="H39" s="54">
        <f>+(G39-F39)/100</f>
        <v>8.7000000000000022E-2</v>
      </c>
      <c r="I39">
        <f>+INPUTS!C55</f>
        <v>115.4</v>
      </c>
      <c r="J39" s="54">
        <f>+(I39-G39)/100</f>
        <v>0</v>
      </c>
    </row>
    <row r="40" spans="5:11">
      <c r="E40" s="26" t="s">
        <v>153</v>
      </c>
      <c r="F40" s="55">
        <f>+J39</f>
        <v>0</v>
      </c>
    </row>
    <row r="42" spans="5:11">
      <c r="E42" t="s">
        <v>155</v>
      </c>
    </row>
    <row r="43" spans="5:11">
      <c r="F43" s="27">
        <v>44652</v>
      </c>
      <c r="G43" s="27">
        <v>45017</v>
      </c>
      <c r="H43" s="27" t="s">
        <v>210</v>
      </c>
      <c r="I43" s="27">
        <f>+INPUTS!C36</f>
        <v>0</v>
      </c>
      <c r="J43" s="27" t="s">
        <v>210</v>
      </c>
      <c r="K43" s="27"/>
    </row>
    <row r="44" spans="5:11">
      <c r="E44" t="s">
        <v>156</v>
      </c>
      <c r="F44">
        <v>107.5</v>
      </c>
      <c r="G44">
        <v>110.4</v>
      </c>
      <c r="H44" s="54">
        <f>+(G44-F44)/100</f>
        <v>2.9000000000000057E-2</v>
      </c>
      <c r="I44">
        <f>+INPUTS!C61</f>
        <v>110.4</v>
      </c>
      <c r="J44" s="54">
        <f>+(I44-G44)/100</f>
        <v>0</v>
      </c>
    </row>
    <row r="45" spans="5:11">
      <c r="E45" s="26" t="s">
        <v>153</v>
      </c>
      <c r="F45" s="55">
        <f>+J44</f>
        <v>0</v>
      </c>
    </row>
    <row r="47" spans="5:11">
      <c r="E47" s="26" t="s">
        <v>144</v>
      </c>
      <c r="F47" s="27">
        <v>44682</v>
      </c>
      <c r="G47" s="27">
        <v>45047</v>
      </c>
      <c r="H47" s="27" t="s">
        <v>210</v>
      </c>
      <c r="I47" s="27">
        <f>+INPUTS!C36</f>
        <v>0</v>
      </c>
      <c r="J47" s="27" t="s">
        <v>210</v>
      </c>
    </row>
    <row r="48" spans="5:11">
      <c r="E48" s="26" t="s">
        <v>145</v>
      </c>
      <c r="F48">
        <v>21.99</v>
      </c>
      <c r="G48">
        <v>20.149999999999999</v>
      </c>
      <c r="H48" s="54">
        <f>(G48-F48)/F48</f>
        <v>-8.3674397453387908E-2</v>
      </c>
      <c r="I48">
        <f>+INPUTS!C67</f>
        <v>20.149999999999999</v>
      </c>
      <c r="J48" s="54">
        <f>+(I48-G48)/G48</f>
        <v>0</v>
      </c>
      <c r="K48" s="27"/>
    </row>
    <row r="49" spans="5:10">
      <c r="E49" s="26" t="s">
        <v>146</v>
      </c>
      <c r="F49">
        <v>21.37</v>
      </c>
      <c r="G49">
        <v>19.43</v>
      </c>
      <c r="H49" s="54">
        <f>(G49-F49)/F49</f>
        <v>-9.0781469349555513E-2</v>
      </c>
      <c r="I49">
        <f>+INPUTS!C68</f>
        <v>0</v>
      </c>
      <c r="J49" s="54">
        <f>+(I49-G49)/G49</f>
        <v>-1</v>
      </c>
    </row>
    <row r="50" spans="5:10">
      <c r="E50" s="26" t="s">
        <v>153</v>
      </c>
      <c r="F50" s="53" t="e">
        <f>+VLOOKUP(INPUTS!C42,Escalation!E48:J49,6,FALSE)</f>
        <v>#N/A</v>
      </c>
    </row>
    <row r="52" spans="5:10">
      <c r="E52" t="s">
        <v>210</v>
      </c>
      <c r="F52" t="e">
        <f>+D9*F35+D10*F40+D11*F45+D12*F50</f>
        <v>#N/A</v>
      </c>
    </row>
  </sheetData>
  <hyperlinks>
    <hyperlink ref="M15" r:id="rId1" xr:uid="{AE755AFD-E475-4C37-941D-9F4AE7EEB85C}"/>
    <hyperlink ref="M16" r:id="rId2" xr:uid="{BBC4B44B-CD0D-482F-88E3-789D4257781B}"/>
    <hyperlink ref="M17" r:id="rId3" xr:uid="{45B232FD-3613-44DA-9C4A-563EE637486D}"/>
    <hyperlink ref="M18" r:id="rId4" xr:uid="{00DD05A1-519C-497A-85F8-4ED4C8F6BA3C}"/>
  </hyperlinks>
  <pageMargins left="0.7" right="0.7" top="0.75" bottom="0.75" header="0.3" footer="0.3"/>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94688-89F4-4242-92D3-DD8E2E3D87BE}">
  <dimension ref="B2:M36"/>
  <sheetViews>
    <sheetView workbookViewId="0">
      <selection activeCell="C17" sqref="C17"/>
    </sheetView>
  </sheetViews>
  <sheetFormatPr defaultColWidth="8.85546875" defaultRowHeight="15"/>
  <cols>
    <col min="2" max="2" width="16.42578125" customWidth="1"/>
    <col min="3" max="3" width="17.140625" customWidth="1"/>
    <col min="4" max="4" width="18.42578125" customWidth="1"/>
    <col min="6" max="6" width="12" bestFit="1" customWidth="1"/>
    <col min="7" max="7" width="13" customWidth="1"/>
    <col min="8" max="8" width="14.140625" customWidth="1"/>
    <col min="9" max="12" width="12" bestFit="1" customWidth="1"/>
    <col min="14" max="15" width="12" bestFit="1" customWidth="1"/>
  </cols>
  <sheetData>
    <row r="2" spans="2:8">
      <c r="G2" s="23" t="s">
        <v>460</v>
      </c>
    </row>
    <row r="3" spans="2:8" s="23" customFormat="1">
      <c r="B3" s="23" t="s">
        <v>128</v>
      </c>
      <c r="C3" s="23" t="s">
        <v>158</v>
      </c>
      <c r="D3" s="23" t="s">
        <v>157</v>
      </c>
      <c r="G3" s="23" t="s">
        <v>158</v>
      </c>
      <c r="H3" s="23" t="s">
        <v>157</v>
      </c>
    </row>
    <row r="5" spans="2:8">
      <c r="B5" s="26" t="s">
        <v>127</v>
      </c>
      <c r="C5" s="29">
        <f t="shared" ref="C5:C13" si="0">+G24</f>
        <v>1.0037</v>
      </c>
      <c r="D5" s="29">
        <f t="shared" ref="D5:D13" si="1">+ROUND(C5*$G$35,2)</f>
        <v>1.03</v>
      </c>
      <c r="G5" s="227">
        <v>0.2</v>
      </c>
      <c r="H5" s="55">
        <f>+G5+5%</f>
        <v>0.25</v>
      </c>
    </row>
    <row r="6" spans="2:8">
      <c r="B6" s="26" t="s">
        <v>122</v>
      </c>
      <c r="C6" s="29">
        <f t="shared" si="0"/>
        <v>1.0156000000000001</v>
      </c>
      <c r="D6" s="29">
        <f t="shared" si="1"/>
        <v>1.04</v>
      </c>
      <c r="G6" s="227">
        <v>0.22</v>
      </c>
      <c r="H6" s="55">
        <f t="shared" ref="H6:H13" si="2">+G6+5%</f>
        <v>0.27</v>
      </c>
    </row>
    <row r="7" spans="2:8">
      <c r="B7" s="26" t="s">
        <v>123</v>
      </c>
      <c r="C7" s="29">
        <f t="shared" si="0"/>
        <v>1.0101</v>
      </c>
      <c r="D7" s="29">
        <f t="shared" si="1"/>
        <v>1.04</v>
      </c>
      <c r="G7" s="227">
        <v>0.25</v>
      </c>
      <c r="H7" s="55">
        <f t="shared" si="2"/>
        <v>0.3</v>
      </c>
    </row>
    <row r="8" spans="2:8">
      <c r="B8" s="26" t="s">
        <v>126</v>
      </c>
      <c r="C8" s="29">
        <f t="shared" si="0"/>
        <v>1.0183</v>
      </c>
      <c r="D8" s="29">
        <f t="shared" si="1"/>
        <v>1.04</v>
      </c>
      <c r="G8" s="227">
        <v>0.22</v>
      </c>
      <c r="H8" s="55">
        <f t="shared" si="2"/>
        <v>0.27</v>
      </c>
    </row>
    <row r="9" spans="2:8">
      <c r="B9" s="26" t="s">
        <v>142</v>
      </c>
      <c r="C9" s="29">
        <f t="shared" si="0"/>
        <v>1.0137</v>
      </c>
      <c r="D9" s="29">
        <f t="shared" si="1"/>
        <v>1.04</v>
      </c>
      <c r="G9" s="227">
        <v>0.22</v>
      </c>
      <c r="H9" s="55">
        <f t="shared" si="2"/>
        <v>0.27</v>
      </c>
    </row>
    <row r="10" spans="2:8">
      <c r="B10" s="26" t="s">
        <v>124</v>
      </c>
      <c r="C10" s="29">
        <f t="shared" si="0"/>
        <v>1.0055000000000001</v>
      </c>
      <c r="D10" s="29">
        <f t="shared" si="1"/>
        <v>1.03</v>
      </c>
      <c r="G10" s="227">
        <v>0.23</v>
      </c>
      <c r="H10" s="55">
        <f t="shared" si="2"/>
        <v>0.28000000000000003</v>
      </c>
    </row>
    <row r="11" spans="2:8">
      <c r="B11" s="26" t="s">
        <v>121</v>
      </c>
      <c r="C11" s="29">
        <f t="shared" si="0"/>
        <v>1</v>
      </c>
      <c r="D11" s="29">
        <f t="shared" si="1"/>
        <v>1.03</v>
      </c>
      <c r="G11" s="227">
        <v>0.2</v>
      </c>
      <c r="H11" s="55">
        <f t="shared" si="2"/>
        <v>0.25</v>
      </c>
    </row>
    <row r="12" spans="2:8">
      <c r="B12" s="26" t="s">
        <v>120</v>
      </c>
      <c r="C12" s="29">
        <f t="shared" si="0"/>
        <v>1.0146999999999999</v>
      </c>
      <c r="D12" s="29">
        <f t="shared" si="1"/>
        <v>1.04</v>
      </c>
      <c r="G12" s="227">
        <v>0.2</v>
      </c>
      <c r="H12" s="55">
        <f t="shared" si="2"/>
        <v>0.25</v>
      </c>
    </row>
    <row r="13" spans="2:8">
      <c r="B13" s="26" t="s">
        <v>125</v>
      </c>
      <c r="C13" s="29">
        <f t="shared" si="0"/>
        <v>1.0127999999999999</v>
      </c>
      <c r="D13" s="29">
        <f t="shared" si="1"/>
        <v>1.04</v>
      </c>
      <c r="G13" s="227">
        <v>0.23</v>
      </c>
      <c r="H13" s="55">
        <f t="shared" si="2"/>
        <v>0.28000000000000003</v>
      </c>
    </row>
    <row r="15" spans="2:8">
      <c r="B15" s="26" t="s">
        <v>209</v>
      </c>
      <c r="C15" t="e">
        <f>+(IF(INPUTS!C40="Urban",VLOOKUP(INPUTS!C40,'Region Factor'!B5:D13,2,FALSE),VLOOKUP(INPUTS!C40,'Region Factor'!B5:D13,3,FALSE)))</f>
        <v>#N/A</v>
      </c>
    </row>
    <row r="17" spans="2:13" ht="30">
      <c r="B17" s="23" t="s">
        <v>457</v>
      </c>
      <c r="C17" s="226" t="e">
        <f>+(IF(INPUTS!C40="Urban",VLOOKUP(INPUTS!C40,'Region Factor'!B5:H13,6,FALSE),VLOOKUP(INPUTS!C40,'Region Factor'!B5:H13,7,FALSE)))</f>
        <v>#N/A</v>
      </c>
    </row>
    <row r="22" spans="2:13">
      <c r="G22" t="s">
        <v>159</v>
      </c>
      <c r="H22" t="s">
        <v>458</v>
      </c>
    </row>
    <row r="23" spans="2:13">
      <c r="C23" t="s">
        <v>141</v>
      </c>
      <c r="D23" s="27">
        <v>44682</v>
      </c>
      <c r="E23" s="27">
        <v>45047</v>
      </c>
      <c r="I23" s="27">
        <v>43952</v>
      </c>
      <c r="J23" s="27">
        <v>44317</v>
      </c>
      <c r="K23" s="27">
        <v>44682</v>
      </c>
      <c r="L23" s="27">
        <v>45047</v>
      </c>
      <c r="M23" t="s">
        <v>459</v>
      </c>
    </row>
    <row r="24" spans="2:13">
      <c r="C24" s="26" t="s">
        <v>127</v>
      </c>
      <c r="D24">
        <v>102.8</v>
      </c>
      <c r="E24">
        <v>109.6</v>
      </c>
      <c r="G24">
        <f t="shared" ref="G24:G29" si="3">+ROUND(E24/$E$30,4)</f>
        <v>1.0037</v>
      </c>
      <c r="K24">
        <f>+ROUND(D24/$D$30,4)</f>
        <v>0.99709999999999999</v>
      </c>
    </row>
    <row r="25" spans="2:13">
      <c r="C25" s="26" t="s">
        <v>122</v>
      </c>
      <c r="D25">
        <v>103.4</v>
      </c>
      <c r="E25">
        <v>110.9</v>
      </c>
      <c r="G25">
        <f t="shared" si="3"/>
        <v>1.0156000000000001</v>
      </c>
      <c r="K25">
        <f t="shared" ref="K25:K32" si="4">+ROUND(D25/$D$30,4)</f>
        <v>1.0028999999999999</v>
      </c>
    </row>
    <row r="26" spans="2:13">
      <c r="C26" s="26" t="s">
        <v>123</v>
      </c>
      <c r="D26">
        <v>103</v>
      </c>
      <c r="E26">
        <v>110.3</v>
      </c>
      <c r="G26">
        <f t="shared" si="3"/>
        <v>1.0101</v>
      </c>
      <c r="K26">
        <f t="shared" si="4"/>
        <v>0.999</v>
      </c>
    </row>
    <row r="27" spans="2:13">
      <c r="C27" s="26" t="s">
        <v>126</v>
      </c>
      <c r="D27">
        <v>103.2</v>
      </c>
      <c r="E27">
        <v>111.2</v>
      </c>
      <c r="G27">
        <f t="shared" si="3"/>
        <v>1.0183</v>
      </c>
      <c r="K27">
        <f t="shared" si="4"/>
        <v>1.0009999999999999</v>
      </c>
    </row>
    <row r="28" spans="2:13">
      <c r="C28" s="26" t="s">
        <v>142</v>
      </c>
      <c r="D28">
        <v>103.3</v>
      </c>
      <c r="E28">
        <v>110.7</v>
      </c>
      <c r="G28">
        <f t="shared" si="3"/>
        <v>1.0137</v>
      </c>
      <c r="K28">
        <f t="shared" si="4"/>
        <v>1.0019</v>
      </c>
    </row>
    <row r="29" spans="2:13">
      <c r="C29" s="26" t="s">
        <v>124</v>
      </c>
      <c r="D29">
        <v>103.2</v>
      </c>
      <c r="E29">
        <v>109.8</v>
      </c>
      <c r="G29">
        <f t="shared" si="3"/>
        <v>1.0055000000000001</v>
      </c>
      <c r="K29">
        <f t="shared" si="4"/>
        <v>1.0009999999999999</v>
      </c>
    </row>
    <row r="30" spans="2:13">
      <c r="C30" s="26" t="s">
        <v>121</v>
      </c>
      <c r="D30">
        <v>103.1</v>
      </c>
      <c r="E30">
        <v>109.2</v>
      </c>
      <c r="G30">
        <f>+ROUND(E30/$E$30,4)</f>
        <v>1</v>
      </c>
      <c r="K30">
        <f t="shared" si="4"/>
        <v>1</v>
      </c>
    </row>
    <row r="31" spans="2:13">
      <c r="C31" s="26" t="s">
        <v>120</v>
      </c>
      <c r="D31">
        <v>103.3</v>
      </c>
      <c r="E31">
        <v>110.8</v>
      </c>
      <c r="G31">
        <f t="shared" ref="G31:G32" si="5">+ROUND(E31/$E$30,4)</f>
        <v>1.0146999999999999</v>
      </c>
      <c r="K31">
        <f t="shared" si="4"/>
        <v>1.0019</v>
      </c>
    </row>
    <row r="32" spans="2:13">
      <c r="C32" s="26" t="s">
        <v>125</v>
      </c>
      <c r="D32">
        <v>103.9</v>
      </c>
      <c r="E32">
        <v>110.6</v>
      </c>
      <c r="G32">
        <f t="shared" si="5"/>
        <v>1.0127999999999999</v>
      </c>
      <c r="K32">
        <f t="shared" si="4"/>
        <v>1.0078</v>
      </c>
    </row>
    <row r="34" spans="3:7">
      <c r="C34" t="s">
        <v>160</v>
      </c>
      <c r="D34" s="27">
        <v>44682</v>
      </c>
      <c r="E34" s="27">
        <v>45047</v>
      </c>
    </row>
    <row r="35" spans="3:7">
      <c r="D35">
        <v>104</v>
      </c>
      <c r="E35">
        <v>112.6</v>
      </c>
      <c r="G35">
        <f>+E35/E36</f>
        <v>1.0255009107468123</v>
      </c>
    </row>
    <row r="36" spans="3:7">
      <c r="C36" t="s">
        <v>161</v>
      </c>
      <c r="D36">
        <v>103.2</v>
      </c>
      <c r="E36">
        <v>109.8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2ED58152FFEE42A92BD70556BFB68B" ma:contentTypeVersion="15" ma:contentTypeDescription="Create a new document." ma:contentTypeScope="" ma:versionID="25cf8a827c9c4c3ccebc8f9638a11174">
  <xsd:schema xmlns:xsd="http://www.w3.org/2001/XMLSchema" xmlns:xs="http://www.w3.org/2001/XMLSchema" xmlns:p="http://schemas.microsoft.com/office/2006/metadata/properties" xmlns:ns2="01e87d6a-7574-44d6-abc7-9e8ee7a509bc" xmlns:ns3="c9eb4b3f-3c36-444c-b267-33438e07a255" xmlns:ns4="e5328754-7450-4cd8-8f1e-8d394f35292d" targetNamespace="http://schemas.microsoft.com/office/2006/metadata/properties" ma:root="true" ma:fieldsID="15bef193e071d26615966a96b271d932" ns2:_="" ns3:_="" ns4:_="">
    <xsd:import namespace="01e87d6a-7574-44d6-abc7-9e8ee7a509bc"/>
    <xsd:import namespace="c9eb4b3f-3c36-444c-b267-33438e07a255"/>
    <xsd:import namespace="e5328754-7450-4cd8-8f1e-8d394f3529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4:SharedWithUsers" minOccurs="0"/>
                <xsd:element ref="ns4: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e87d6a-7574-44d6-abc7-9e8ee7a509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d611a99-5556-4c7c-8f89-94f120b45ef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eb4b3f-3c36-444c-b267-33438e07a25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e64cdd8-8e19-4922-97d8-adb95b3015e6}" ma:internalName="TaxCatchAll" ma:showField="CatchAllData" ma:web="c9eb4b3f-3c36-444c-b267-33438e07a25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328754-7450-4cd8-8f1e-8d394f35292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9eb4b3f-3c36-444c-b267-33438e07a255" xsi:nil="true"/>
    <lcf76f155ced4ddcb4097134ff3c332f xmlns="01e87d6a-7574-44d6-abc7-9e8ee7a509b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8C3EF7C-C79D-455C-90C8-CF34C6A06E18}">
  <ds:schemaRefs>
    <ds:schemaRef ds:uri="http://schemas.microsoft.com/sharepoint/v3/contenttype/forms"/>
  </ds:schemaRefs>
</ds:datastoreItem>
</file>

<file path=customXml/itemProps2.xml><?xml version="1.0" encoding="utf-8"?>
<ds:datastoreItem xmlns:ds="http://schemas.openxmlformats.org/officeDocument/2006/customXml" ds:itemID="{157FA8E3-6D81-424C-BF84-0DB3DD860E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e87d6a-7574-44d6-abc7-9e8ee7a509bc"/>
    <ds:schemaRef ds:uri="c9eb4b3f-3c36-444c-b267-33438e07a255"/>
    <ds:schemaRef ds:uri="e5328754-7450-4cd8-8f1e-8d394f3529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3D7FDE-3481-4E96-BDDE-EDC8A8F62281}">
  <ds:schemaRefs>
    <ds:schemaRef ds:uri="http://schemas.microsoft.com/office/2006/metadata/properties"/>
    <ds:schemaRef ds:uri="http://schemas.microsoft.com/office/infopath/2007/PartnerControls"/>
    <ds:schemaRef ds:uri="c9eb4b3f-3c36-444c-b267-33438e07a255"/>
    <ds:schemaRef ds:uri="01e87d6a-7574-44d6-abc7-9e8ee7a509b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START PAGE</vt:lpstr>
      <vt:lpstr>INSTRUCTIONS</vt:lpstr>
      <vt:lpstr>COMPETENT PERSON REQUIREMENTS</vt:lpstr>
      <vt:lpstr>INPUTS</vt:lpstr>
      <vt:lpstr>COSTING</vt:lpstr>
      <vt:lpstr>SUMMARY</vt:lpstr>
      <vt:lpstr>Rates</vt:lpstr>
      <vt:lpstr>Escalation</vt:lpstr>
      <vt:lpstr>Region Factor</vt:lpstr>
      <vt:lpstr>COSTING!Print_Area</vt:lpstr>
      <vt:lpstr>INPUTS!Print_Area</vt:lpstr>
      <vt:lpstr>SUMMARY!Print_Area</vt:lpstr>
      <vt:lpstr>'Region Factor'!WorkItems</vt:lpstr>
      <vt:lpstr>WorkItems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Adriaan Oosthuizen</dc:creator>
  <cp:lastModifiedBy>Mmajwalane Tladi</cp:lastModifiedBy>
  <cp:lastPrinted>2023-07-17T08:40:07Z</cp:lastPrinted>
  <dcterms:created xsi:type="dcterms:W3CDTF">2023-05-24T02:28:58Z</dcterms:created>
  <dcterms:modified xsi:type="dcterms:W3CDTF">2024-04-03T12:38:52Z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0x010100412ED58152FFEE42A92BD70556BFB68B</vt:lpwstr>
  </property>
  <property fmtid="{D5CDD505-2E9C-101B-9397-08002B2CF9AE}" pid="3" name="MediaServiceImageTags">
    <vt:lpwstr/>
  </property>
</Properties>
</file>