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15" windowWidth="12000" windowHeight="5085" activeTab="2"/>
  </bookViews>
  <sheets>
    <sheet name="Assumptions" sheetId="82" r:id="rId1"/>
    <sheet name="Valuation" sheetId="103" r:id="rId2"/>
    <sheet name="Sensitivities" sheetId="104" r:id="rId3"/>
    <sheet name="Fin Statements" sheetId="20" r:id="rId4"/>
    <sheet name="Monthly FS" sheetId="1" r:id="rId5"/>
    <sheet name="1.Revenue" sheetId="16" r:id="rId6"/>
    <sheet name="2.Sales Costs" sheetId="29" r:id="rId7"/>
    <sheet name="3. Variable Costs" sheetId="60" r:id="rId8"/>
    <sheet name="4. OH Expenses" sheetId="18" r:id="rId9"/>
    <sheet name="5.Depreciation" sheetId="22" r:id="rId10"/>
    <sheet name="6. Finance Income" sheetId="58" r:id="rId11"/>
    <sheet name="7.Finance Costs" sheetId="24" r:id="rId12"/>
    <sheet name="8.Income Tax" sheetId="23" r:id="rId13"/>
    <sheet name="9.CAPEX" sheetId="13" r:id="rId14"/>
    <sheet name="Production" sheetId="44" r:id="rId15"/>
    <sheet name="WACC" sheetId="65" r:id="rId16"/>
    <sheet name="HR" sheetId="47" r:id="rId17"/>
    <sheet name="Feed" sheetId="62" r:id="rId18"/>
    <sheet name="R&amp;M" sheetId="69" r:id="rId19"/>
    <sheet name="Elec" sheetId="83" r:id="rId20"/>
    <sheet name="Capital Replacement" sheetId="70" state="hidden" r:id="rId21"/>
    <sheet name="Input data" sheetId="77" r:id="rId22"/>
    <sheet name="Summary Bioplan" sheetId="72" r:id="rId23"/>
    <sheet name="Batch 1" sheetId="74" r:id="rId24"/>
    <sheet name="Batch2" sheetId="86" r:id="rId25"/>
    <sheet name="Batch3" sheetId="87" r:id="rId26"/>
    <sheet name="Batch4" sheetId="88" r:id="rId27"/>
    <sheet name="Production Calcs" sheetId="80" r:id="rId28"/>
    <sheet name="Production Plan" sheetId="102" r:id="rId29"/>
    <sheet name="Capex Summary Sheet" sheetId="85" r:id="rId30"/>
    <sheet name="1. Pre-Development" sheetId="91" r:id="rId31"/>
    <sheet name="2. Land" sheetId="92" r:id="rId32"/>
    <sheet name="3. Infrastructure" sheetId="93" r:id="rId33"/>
    <sheet name="4. Buildings" sheetId="94" r:id="rId34"/>
    <sheet name="5. Services" sheetId="95" r:id="rId35"/>
    <sheet name="6.Aquaculture system - Hatchery" sheetId="96" r:id="rId36"/>
    <sheet name="7. Aquaculture system - Cages" sheetId="97" r:id="rId37"/>
    <sheet name="8. Vehicles" sheetId="98" r:id="rId38"/>
    <sheet name="9. Transport and Logistics" sheetId="99" r:id="rId39"/>
    <sheet name="10. Professional Fees" sheetId="100" r:id="rId40"/>
    <sheet name="11. Contingency" sheetId="101" r:id="rId41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nual_interest_rate" localSheetId="20">'[1]AX Interest'!$D$8</definedName>
    <definedName name="Annual_interest_rate" localSheetId="17">'[1]AX Interest'!$D$8</definedName>
    <definedName name="Annual_interest_rate" localSheetId="16">'[1]AX Interest'!$D$8</definedName>
    <definedName name="Annual_interest_rate" localSheetId="18">'[1]AX Interest'!$D$8</definedName>
    <definedName name="Annual_interest_rate" localSheetId="15">'[1]AX Interest'!$D$8</definedName>
    <definedName name="Annual_interest_rate">'[1]AX Interest'!$D$8</definedName>
    <definedName name="Beg.Bal" localSheetId="20">IF('[1]AX Interest'!XFC1&lt;&gt;"",'[1]AX Interest'!D1048576,"")</definedName>
    <definedName name="Beg.Bal" localSheetId="17">IF('[1]AX Interest'!XFC1&lt;&gt;"",'[1]AX Interest'!D1048576,"")</definedName>
    <definedName name="Beg.Bal" localSheetId="16">IF('[1]AX Interest'!XFC1&lt;&gt;"",'[1]AX Interest'!D1048576,"")</definedName>
    <definedName name="Beg.Bal" localSheetId="18">IF('[1]AX Interest'!XFC1&lt;&gt;"",'[1]AX Interest'!D1048576,"")</definedName>
    <definedName name="Beg.Bal" localSheetId="15">IF('[1]AX Interest'!XFC1&lt;&gt;"",'[1]AX Interest'!D1048576,"")</definedName>
    <definedName name="Beg.Bal">IF('[1]AX Interest'!XFC1&lt;&gt;"",'[1]AX Interest'!D1048576,"")</definedName>
    <definedName name="Calculated_payment" localSheetId="20">'[1]AX Interest'!$D$14</definedName>
    <definedName name="Calculated_payment" localSheetId="17">'[1]AX Interest'!$D$14</definedName>
    <definedName name="Calculated_payment" localSheetId="16">'[1]AX Interest'!$D$14</definedName>
    <definedName name="Calculated_payment" localSheetId="18">'[1]AX Interest'!$D$14</definedName>
    <definedName name="Calculated_payment" localSheetId="15">'[1]AX Interest'!$D$14</definedName>
    <definedName name="Calculated_payment">'[1]AX Interest'!$D$14</definedName>
    <definedName name="Cum.Interest" localSheetId="20">IF('[1]AX Interest'!XEY1&lt;&gt;"",'[1]AX Interest'!A1048576+'[1]AX Interest'!XFB1,"")</definedName>
    <definedName name="Cum.Interest" localSheetId="17">IF('[1]AX Interest'!XEY1&lt;&gt;"",'[1]AX Interest'!A1048576+'[1]AX Interest'!XFB1,"")</definedName>
    <definedName name="Cum.Interest" localSheetId="16">IF('[1]AX Interest'!XEY1&lt;&gt;"",'[1]AX Interest'!A1048576+'[1]AX Interest'!XFB1,"")</definedName>
    <definedName name="Cum.Interest" localSheetId="18">IF('[1]AX Interest'!XEY1&lt;&gt;"",'[1]AX Interest'!A1048576+'[1]AX Interest'!XFB1,"")</definedName>
    <definedName name="Cum.Interest" localSheetId="15">IF('[1]AX Interest'!XEY1&lt;&gt;"",'[1]AX Interest'!A1048576+'[1]AX Interest'!XFB1,"")</definedName>
    <definedName name="Cum.Interest">IF('[1]AX Interest'!XEY1&lt;&gt;"",'[1]AX Interest'!A1048576+'[1]AX Interest'!XFB1,"")</definedName>
    <definedName name="Ending.Balance" localSheetId="20">IF('[1]AX Interest'!XEZ1&lt;&gt;"",'[1]AX Interest'!XFB1-'[1]AX Interest'!XFD1,"")</definedName>
    <definedName name="Ending.Balance" localSheetId="17">IF('[1]AX Interest'!XEZ1&lt;&gt;"",'[1]AX Interest'!XFB1-'[1]AX Interest'!XFD1,"")</definedName>
    <definedName name="Ending.Balance" localSheetId="16">IF('[1]AX Interest'!XEZ1&lt;&gt;"",'[1]AX Interest'!XFB1-'[1]AX Interest'!XFD1,"")</definedName>
    <definedName name="Ending.Balance" localSheetId="18">IF('[1]AX Interest'!XEZ1&lt;&gt;"",'[1]AX Interest'!XFB1-'[1]AX Interest'!XFD1,"")</definedName>
    <definedName name="Ending.Balance" localSheetId="15">IF('[1]AX Interest'!XEZ1&lt;&gt;"",'[1]AX Interest'!XFB1-'[1]AX Interest'!XFD1,"")</definedName>
    <definedName name="Ending.Balance">IF('[1]AX Interest'!XEZ1&lt;&gt;"",'[1]AX Interest'!XFB1-'[1]AX Interest'!XFD1,"")</definedName>
    <definedName name="Entered_payment" localSheetId="20">'[1]AX Interest'!$D$13</definedName>
    <definedName name="Entered_payment" localSheetId="17">'[1]AX Interest'!$D$13</definedName>
    <definedName name="Entered_payment" localSheetId="16">'[1]AX Interest'!$D$13</definedName>
    <definedName name="Entered_payment" localSheetId="18">'[1]AX Interest'!$D$13</definedName>
    <definedName name="Entered_payment" localSheetId="15">'[1]AX Interest'!$D$13</definedName>
    <definedName name="Entered_payment">'[1]AX Interest'!$D$13</definedName>
    <definedName name="First_payment_due" localSheetId="20">'[1]AX Interest'!$D$11</definedName>
    <definedName name="First_payment_due" localSheetId="17">'[1]AX Interest'!$D$11</definedName>
    <definedName name="First_payment_due" localSheetId="16">'[1]AX Interest'!$D$11</definedName>
    <definedName name="First_payment_due" localSheetId="18">'[1]AX Interest'!$D$11</definedName>
    <definedName name="First_payment_due" localSheetId="15">'[1]AX Interest'!$D$11</definedName>
    <definedName name="First_payment_due">'[1]AX Interest'!$D$11</definedName>
    <definedName name="First_payment_no" localSheetId="20">'[1]AX Interest'!$D$17</definedName>
    <definedName name="First_payment_no" localSheetId="17">'[1]AX Interest'!$D$17</definedName>
    <definedName name="First_payment_no" localSheetId="16">'[1]AX Interest'!$D$17</definedName>
    <definedName name="First_payment_no" localSheetId="18">'[1]AX Interest'!$D$17</definedName>
    <definedName name="First_payment_no" localSheetId="15">'[1]AX Interest'!$D$17</definedName>
    <definedName name="First_payment_no">'[1]AX Interest'!$D$17</definedName>
    <definedName name="goodwill_intang_deductible">[2]Depr_Amort!$N$6</definedName>
    <definedName name="Interest" localSheetId="20">IF('[1]AX Interest'!XFB1&lt;&gt;"",'[1]AX Interest'!XFD1*'Capital Replacement'!Periodic_rate,"")</definedName>
    <definedName name="Interest" localSheetId="17">IF('[1]AX Interest'!XFB1&lt;&gt;"",'[1]AX Interest'!XFD1*Feed!Periodic_rate,"")</definedName>
    <definedName name="Interest" localSheetId="16">IF('[1]AX Interest'!XFB1&lt;&gt;"",'[1]AX Interest'!XFD1*HR!Periodic_rate,"")</definedName>
    <definedName name="Interest" localSheetId="14">IF('[1]AX Interest'!XFB1&lt;&gt;"",'[1]AX Interest'!XFD1*Production!Periodic_rate,"")</definedName>
    <definedName name="Interest" localSheetId="18">IF('[1]AX Interest'!XFB1&lt;&gt;"",'[1]AX Interest'!XFD1*'R&amp;M'!Periodic_rate,"")</definedName>
    <definedName name="Interest" localSheetId="22">IF('[1]AX Interest'!XFB1&lt;&gt;"",'[1]AX Interest'!XFD1*'Summary Bioplan'!Periodic_rate,"")</definedName>
    <definedName name="Interest" localSheetId="15">IF('[1]AX Interest'!XFB1&lt;&gt;"",'[1]AX Interest'!XFD1*WACC!Periodic_rate,"")</definedName>
    <definedName name="Interest">IF('[1]AX Interest'!XFB1&lt;&gt;"",'[1]AX Interest'!XFD1*Periodic_rate,"")</definedName>
    <definedName name="Loan_amount" localSheetId="20">'[1]AX Interest'!$D$7</definedName>
    <definedName name="Loan_amount" localSheetId="17">'[1]AX Interest'!$D$7</definedName>
    <definedName name="Loan_amount" localSheetId="16">'[1]AX Interest'!$D$7</definedName>
    <definedName name="Loan_amount" localSheetId="18">'[1]AX Interest'!$D$7</definedName>
    <definedName name="Loan_amount" localSheetId="15">'[1]AX Interest'!$D$7</definedName>
    <definedName name="Loan_amount">'[1]AX Interest'!$D$7</definedName>
    <definedName name="Pal_Workbook_GUID" hidden="1">"TZXNL8ITJRXHGUPYKGZVAKMB"</definedName>
    <definedName name="payment.Num" localSheetId="20">IF(OR('[1]AX Interest'!A1048576="",'[1]AX Interest'!A1048576='Capital Replacement'!Total_payments),"",'[1]AX Interest'!A1048576+1)</definedName>
    <definedName name="payment.Num" localSheetId="17">IF(OR('[1]AX Interest'!A1048576="",'[1]AX Interest'!A1048576=Feed!Total_payments),"",'[1]AX Interest'!A1048576+1)</definedName>
    <definedName name="payment.Num" localSheetId="16">IF(OR('[1]AX Interest'!A1048576="",'[1]AX Interest'!A1048576=HR!Total_payments),"",'[1]AX Interest'!A1048576+1)</definedName>
    <definedName name="payment.Num" localSheetId="14">IF(OR('[1]AX Interest'!A1048576="",'[1]AX Interest'!A1048576=Production!Total_payments),"",'[1]AX Interest'!A1048576+1)</definedName>
    <definedName name="payment.Num" localSheetId="18">IF(OR('[1]AX Interest'!A1048576="",'[1]AX Interest'!A1048576='R&amp;M'!Total_payments),"",'[1]AX Interest'!A1048576+1)</definedName>
    <definedName name="payment.Num" localSheetId="22">IF(OR('[1]AX Interest'!A1048576="",'[1]AX Interest'!A1048576='Summary Bioplan'!Total_payments),"",'[1]AX Interest'!A1048576+1)</definedName>
    <definedName name="payment.Num" localSheetId="15">IF(OR('[1]AX Interest'!A1048576="",'[1]AX Interest'!A1048576=WACC!Total_payments),"",'[1]AX Interest'!A1048576+1)</definedName>
    <definedName name="payment.Num">IF(OR('[1]AX Interest'!A1048576="",'[1]AX Interest'!A1048576=Total_payments),"",'[1]AX Interest'!A1048576+1)</definedName>
    <definedName name="Payments_per_year" localSheetId="20">'[1]AX Interest'!$D$10</definedName>
    <definedName name="Payments_per_year" localSheetId="17">'[1]AX Interest'!$D$10</definedName>
    <definedName name="Payments_per_year" localSheetId="16">'[1]AX Interest'!$D$10</definedName>
    <definedName name="Payments_per_year" localSheetId="18">'[1]AX Interest'!$D$10</definedName>
    <definedName name="Payments_per_year" localSheetId="15">'[1]AX Interest'!$D$10</definedName>
    <definedName name="Payments_per_year">'[1]AX Interest'!$D$10</definedName>
    <definedName name="Periodic_rate" localSheetId="20">'Capital Replacement'!Annual_interest_rate/'Capital Replacement'!Payments_per_year</definedName>
    <definedName name="Periodic_rate" localSheetId="17">Feed!Annual_interest_rate/Feed!Payments_per_year</definedName>
    <definedName name="Periodic_rate" localSheetId="16">HR!Annual_interest_rate/HR!Payments_per_year</definedName>
    <definedName name="Periodic_rate" localSheetId="14">Annual_interest_rate/Payments_per_year</definedName>
    <definedName name="Periodic_rate" localSheetId="18">'R&amp;M'!Annual_interest_rate/'R&amp;M'!Payments_per_year</definedName>
    <definedName name="Periodic_rate" localSheetId="22">Annual_interest_rate/Payments_per_year</definedName>
    <definedName name="Periodic_rate" localSheetId="15">WACC!Annual_interest_rate/WACC!Payments_per_year</definedName>
    <definedName name="Periodic_rate">Annual_interest_rate/Payments_per_year</definedName>
    <definedName name="Pmt_to_use" localSheetId="20">'[1]AX Interest'!$D$16</definedName>
    <definedName name="Pmt_to_use" localSheetId="17">'[1]AX Interest'!$D$16</definedName>
    <definedName name="Pmt_to_use" localSheetId="16">'[1]AX Interest'!$D$16</definedName>
    <definedName name="Pmt_to_use" localSheetId="18">'[1]AX Interest'!$D$16</definedName>
    <definedName name="Pmt_to_use" localSheetId="15">'[1]AX Interest'!$D$16</definedName>
    <definedName name="Pmt_to_use">'[1]AX Interest'!$D$16</definedName>
    <definedName name="Principal" localSheetId="20">IF('[1]AX Interest'!XFA1&lt;&gt;"",MIN('[1]AX Interest'!XFC1,'Capital Replacement'!Pmt_to_use-'[1]AX Interest'!XFD1),"")</definedName>
    <definedName name="Principal" localSheetId="17">IF('[1]AX Interest'!XFA1&lt;&gt;"",MIN('[1]AX Interest'!XFC1,Feed!Pmt_to_use-'[1]AX Interest'!XFD1),"")</definedName>
    <definedName name="Principal" localSheetId="16">IF('[1]AX Interest'!XFA1&lt;&gt;"",MIN('[1]AX Interest'!XFC1,HR!Pmt_to_use-'[1]AX Interest'!XFD1),"")</definedName>
    <definedName name="Principal" localSheetId="14">IF('[1]AX Interest'!XFA1&lt;&gt;"",MIN('[1]AX Interest'!XFC1,Pmt_to_use-'[1]AX Interest'!XFD1),"")</definedName>
    <definedName name="Principal" localSheetId="18">IF('[1]AX Interest'!XFA1&lt;&gt;"",MIN('[1]AX Interest'!XFC1,'R&amp;M'!Pmt_to_use-'[1]AX Interest'!XFD1),"")</definedName>
    <definedName name="Principal" localSheetId="22">IF('[1]AX Interest'!XFA1&lt;&gt;"",MIN('[1]AX Interest'!XFC1,Pmt_to_use-'[1]AX Interest'!XFD1),"")</definedName>
    <definedName name="Principal" localSheetId="15">IF('[1]AX Interest'!XFA1&lt;&gt;"",MIN('[1]AX Interest'!XFC1,WACC!Pmt_to_use-'[1]AX Interest'!XFD1),"")</definedName>
    <definedName name="Principal">IF('[1]AX Interest'!XFA1&lt;&gt;"",MIN('[1]AX Interest'!XFC1,Pmt_to_use-'[1]AX Interest'!XFD1),"")</definedName>
    <definedName name="_xlnm.Print_Area" localSheetId="8">'4. OH Expenses'!$A$1:$AA$32</definedName>
    <definedName name="_xlnm.Print_Area" localSheetId="9">'5.Depreciation'!$A$1:$P$77</definedName>
    <definedName name="_xlnm.Print_Area" localSheetId="12">'8.Income Tax'!$A$1:$L$43</definedName>
    <definedName name="_xlnm.Print_Area" localSheetId="13">'9.CAPEX'!$A$1:$AR$22</definedName>
    <definedName name="_xlnm.Print_Area" localSheetId="23">'Batch 1'!$B$1:$S$111</definedName>
    <definedName name="_xlnm.Print_Area" localSheetId="20">'Capital Replacement'!$A$1:$U$2</definedName>
    <definedName name="_xlnm.Print_Area" localSheetId="17">Feed!$A$1:$I$21</definedName>
    <definedName name="_xlnm.Print_Area" localSheetId="3">'Fin Statements'!$B$1:$M$55</definedName>
    <definedName name="_xlnm.Print_Area" localSheetId="16">HR!#REF!</definedName>
    <definedName name="_xlnm.Print_Area" localSheetId="18">'R&amp;M'!$A$1:$T$7</definedName>
    <definedName name="_xlnm.Print_Titles" localSheetId="23">'Batch 1'!#REF!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4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how.Date" localSheetId="20">IF('[1]AX Interest'!XFD1&lt;&gt;"",DATE(YEAR('Capital Replacement'!First_payment_due),MONTH('Capital Replacement'!First_payment_due)+('[1]AX Interest'!XFD1-1)*12/'Capital Replacement'!Payments_per_year,DAY('Capital Replacement'!First_payment_due)),"")</definedName>
    <definedName name="Show.Date" localSheetId="17">IF('[1]AX Interest'!XFD1&lt;&gt;"",DATE(YEAR(Feed!First_payment_due),MONTH(Feed!First_payment_due)+('[1]AX Interest'!XFD1-1)*12/Feed!Payments_per_year,DAY(Feed!First_payment_due)),"")</definedName>
    <definedName name="Show.Date" localSheetId="16">IF('[1]AX Interest'!XFD1&lt;&gt;"",DATE(YEAR(HR!First_payment_due),MONTH(HR!First_payment_due)+('[1]AX Interest'!XFD1-1)*12/HR!Payments_per_year,DAY(HR!First_payment_due)),"")</definedName>
    <definedName name="Show.Date" localSheetId="14">IF('[1]AX Interest'!XFD1&lt;&gt;"",DATE(YEAR(First_payment_due),MONTH(First_payment_due)+('[1]AX Interest'!XFD1-1)*12/Payments_per_year,DAY(First_payment_due)),"")</definedName>
    <definedName name="Show.Date" localSheetId="18">IF('[1]AX Interest'!XFD1&lt;&gt;"",DATE(YEAR('R&amp;M'!First_payment_due),MONTH('R&amp;M'!First_payment_due)+('[1]AX Interest'!XFD1-1)*12/'R&amp;M'!Payments_per_year,DAY('R&amp;M'!First_payment_due)),"")</definedName>
    <definedName name="Show.Date" localSheetId="22">IF('[1]AX Interest'!XFD1&lt;&gt;"",DATE(YEAR(First_payment_due),MONTH(First_payment_due)+('[1]AX Interest'!XFD1-1)*12/Payments_per_year,DAY(First_payment_due)),"")</definedName>
    <definedName name="Show.Date" localSheetId="15">IF('[1]AX Interest'!XFD1&lt;&gt;"",DATE(YEAR(WACC!First_payment_due),MONTH(WACC!First_payment_due)+('[1]AX Interest'!XFD1-1)*12/WACC!Payments_per_year,DAY(WACC!First_payment_due)),"")</definedName>
    <definedName name="Show.Date">IF('[1]AX Interest'!XFD1&lt;&gt;"",DATE(YEAR(First_payment_due),MONTH(First_payment_due)+('[1]AX Interest'!XFD1-1)*12/Payments_per_year,DAY(First_payment_due)),"")</definedName>
    <definedName name="Table_beg_bal" localSheetId="20">'[1]AX Interest'!$H$16</definedName>
    <definedName name="Table_beg_bal" localSheetId="17">'[1]AX Interest'!$H$16</definedName>
    <definedName name="Table_beg_bal" localSheetId="16">'[1]AX Interest'!$H$16</definedName>
    <definedName name="Table_beg_bal" localSheetId="18">'[1]AX Interest'!$H$16</definedName>
    <definedName name="Table_beg_bal" localSheetId="15">'[1]AX Interest'!$H$16</definedName>
    <definedName name="Table_beg_bal">'[1]AX Interest'!$H$16</definedName>
    <definedName name="Table_prior_interest" localSheetId="20">'[1]AX Interest'!$H$17</definedName>
    <definedName name="Table_prior_interest" localSheetId="17">'[1]AX Interest'!$H$17</definedName>
    <definedName name="Table_prior_interest" localSheetId="16">'[1]AX Interest'!$H$17</definedName>
    <definedName name="Table_prior_interest" localSheetId="18">'[1]AX Interest'!$H$17</definedName>
    <definedName name="Table_prior_interest" localSheetId="15">'[1]AX Interest'!$H$17</definedName>
    <definedName name="Table_prior_interest">'[1]AX Interest'!$H$17</definedName>
    <definedName name="Term_in_years" localSheetId="20">'[1]AX Interest'!$D$9</definedName>
    <definedName name="Term_in_years" localSheetId="17">'[1]AX Interest'!$D$9</definedName>
    <definedName name="Term_in_years" localSheetId="16">'[1]AX Interest'!$D$9</definedName>
    <definedName name="Term_in_years" localSheetId="18">'[1]AX Interest'!$D$9</definedName>
    <definedName name="Term_in_years" localSheetId="15">'[1]AX Interest'!$D$9</definedName>
    <definedName name="Term_in_years">'[1]AX Interest'!$D$9</definedName>
    <definedName name="Total_payments" localSheetId="20">'Capital Replacement'!Payments_per_year*'Capital Replacement'!Term_in_years</definedName>
    <definedName name="Total_payments" localSheetId="17">Feed!Payments_per_year*Feed!Term_in_years</definedName>
    <definedName name="Total_payments" localSheetId="16">HR!Payments_per_year*HR!Term_in_years</definedName>
    <definedName name="Total_payments" localSheetId="14">Payments_per_year*Term_in_years</definedName>
    <definedName name="Total_payments" localSheetId="18">'R&amp;M'!Payments_per_year*'R&amp;M'!Term_in_years</definedName>
    <definedName name="Total_payments" localSheetId="22">Payments_per_year*Term_in_years</definedName>
    <definedName name="Total_payments" localSheetId="15">WACC!Payments_per_year*WACC!Term_in_years</definedName>
    <definedName name="Total_payments">Payments_per_year*Term_in_years</definedName>
  </definedNames>
  <calcPr calcId="162913"/>
</workbook>
</file>

<file path=xl/calcChain.xml><?xml version="1.0" encoding="utf-8"?>
<calcChain xmlns="http://schemas.openxmlformats.org/spreadsheetml/2006/main">
  <c r="Q30" i="60" l="1"/>
  <c r="R29" i="60"/>
  <c r="S29" i="60"/>
  <c r="T29" i="60"/>
  <c r="U29" i="60"/>
  <c r="V29" i="60"/>
  <c r="W29" i="60"/>
  <c r="X29" i="60"/>
  <c r="Y29" i="60"/>
  <c r="Z29" i="60"/>
  <c r="AA29" i="60"/>
  <c r="AB29" i="60"/>
  <c r="AC29" i="60"/>
  <c r="AD29" i="60"/>
  <c r="AE29" i="60"/>
  <c r="AF29" i="60"/>
  <c r="AG29" i="60"/>
  <c r="AH29" i="60"/>
  <c r="AI29" i="60"/>
  <c r="AJ29" i="60"/>
  <c r="AK29" i="60"/>
  <c r="AL29" i="60"/>
  <c r="AM29" i="60"/>
  <c r="AN29" i="60"/>
  <c r="AO29" i="60"/>
  <c r="AP29" i="60"/>
  <c r="AQ29" i="60"/>
  <c r="AR29" i="60"/>
  <c r="AS29" i="60"/>
  <c r="AT29" i="60"/>
  <c r="AU29" i="60"/>
  <c r="AV29" i="60"/>
  <c r="AW29" i="60"/>
  <c r="AX29" i="60"/>
  <c r="AY29" i="60"/>
  <c r="AZ29" i="60"/>
  <c r="BA29" i="60"/>
  <c r="BB29" i="60"/>
  <c r="BC29" i="60"/>
  <c r="BD29" i="60"/>
  <c r="BE29" i="60"/>
  <c r="BF29" i="60"/>
  <c r="BG29" i="60"/>
  <c r="BH29" i="60"/>
  <c r="BI29" i="60"/>
  <c r="BJ29" i="60"/>
  <c r="BK29" i="60"/>
  <c r="BL29" i="60"/>
  <c r="BM29" i="60"/>
  <c r="BN29" i="60"/>
  <c r="BO29" i="60"/>
  <c r="BP29" i="60"/>
  <c r="BQ29" i="60"/>
  <c r="BR29" i="60"/>
  <c r="BS29" i="60"/>
  <c r="BT29" i="60"/>
  <c r="BU29" i="60"/>
  <c r="BV29" i="60"/>
  <c r="BW29" i="60"/>
  <c r="BX29" i="60"/>
  <c r="BY29" i="60"/>
  <c r="BZ29" i="60"/>
  <c r="CA29" i="60"/>
  <c r="CB29" i="60"/>
  <c r="CC29" i="60"/>
  <c r="CD29" i="60"/>
  <c r="CE29" i="60"/>
  <c r="CF29" i="60"/>
  <c r="CG29" i="60"/>
  <c r="CH29" i="60"/>
  <c r="CI29" i="60"/>
  <c r="CJ29" i="60"/>
  <c r="CK29" i="60"/>
  <c r="CL29" i="60"/>
  <c r="CM29" i="60"/>
  <c r="CN29" i="60"/>
  <c r="CO29" i="60"/>
  <c r="CP29" i="60"/>
  <c r="CQ29" i="60"/>
  <c r="CR29" i="60"/>
  <c r="CS29" i="60"/>
  <c r="CT29" i="60"/>
  <c r="CU29" i="60"/>
  <c r="CV29" i="60"/>
  <c r="CW29" i="60"/>
  <c r="CX29" i="60"/>
  <c r="CY29" i="60"/>
  <c r="CZ29" i="60"/>
  <c r="DA29" i="60"/>
  <c r="DB29" i="60"/>
  <c r="DC29" i="60"/>
  <c r="DD29" i="60"/>
  <c r="DE29" i="60"/>
  <c r="DF29" i="60"/>
  <c r="DG29" i="60"/>
  <c r="DH29" i="60"/>
  <c r="DI29" i="60"/>
  <c r="DJ29" i="60"/>
  <c r="DK29" i="60"/>
  <c r="DL29" i="60"/>
  <c r="DM29" i="60"/>
  <c r="DN29" i="60"/>
  <c r="DO29" i="60"/>
  <c r="DP29" i="60"/>
  <c r="DQ29" i="60"/>
  <c r="DR29" i="60"/>
  <c r="DS29" i="60"/>
  <c r="Q29" i="60"/>
  <c r="C54" i="82"/>
  <c r="K26" i="104" l="1"/>
  <c r="K40" i="104" s="1"/>
  <c r="K41" i="104" s="1"/>
  <c r="C76" i="104"/>
  <c r="M23" i="104"/>
  <c r="L23" i="104"/>
  <c r="K23" i="104"/>
  <c r="J23" i="104"/>
  <c r="I23" i="104"/>
  <c r="H23" i="104"/>
  <c r="G23" i="104"/>
  <c r="F23" i="104"/>
  <c r="E23" i="104"/>
  <c r="F26" i="104" l="1"/>
  <c r="F40" i="104" s="1"/>
  <c r="J26" i="104"/>
  <c r="J40" i="104" s="1"/>
  <c r="J41" i="104" s="1"/>
  <c r="C40" i="104"/>
  <c r="D26" i="104"/>
  <c r="H26" i="104"/>
  <c r="H40" i="104" s="1"/>
  <c r="H41" i="104" s="1"/>
  <c r="L26" i="104"/>
  <c r="L40" i="104" s="1"/>
  <c r="L41" i="104" s="1"/>
  <c r="E26" i="104"/>
  <c r="E40" i="104" s="1"/>
  <c r="E42" i="104" s="1"/>
  <c r="I26" i="104"/>
  <c r="I40" i="104" s="1"/>
  <c r="I42" i="104" s="1"/>
  <c r="M26" i="104"/>
  <c r="M40" i="104" s="1"/>
  <c r="M41" i="104" s="1"/>
  <c r="G26" i="104"/>
  <c r="G40" i="104" s="1"/>
  <c r="G41" i="104" s="1"/>
  <c r="K42" i="104"/>
  <c r="I41" i="104" l="1"/>
  <c r="M42" i="104"/>
  <c r="E41" i="104"/>
  <c r="J42" i="104"/>
  <c r="F41" i="104"/>
  <c r="F42" i="104"/>
  <c r="L42" i="104"/>
  <c r="H42" i="104"/>
  <c r="G42" i="104"/>
  <c r="DS30" i="60"/>
  <c r="DR30" i="60"/>
  <c r="DQ30" i="60"/>
  <c r="DP30" i="60"/>
  <c r="DO30" i="60"/>
  <c r="DN30" i="60"/>
  <c r="DM30" i="60"/>
  <c r="DL30" i="60"/>
  <c r="DK30" i="60"/>
  <c r="DJ30" i="60"/>
  <c r="DI30" i="60"/>
  <c r="DG30" i="60"/>
  <c r="DF30" i="60"/>
  <c r="DE30" i="60"/>
  <c r="DD30" i="60"/>
  <c r="DC30" i="60"/>
  <c r="DB30" i="60"/>
  <c r="DA30" i="60"/>
  <c r="CZ30" i="60"/>
  <c r="CY30" i="60"/>
  <c r="CX30" i="60"/>
  <c r="CW30" i="60"/>
  <c r="CV30" i="60"/>
  <c r="CU30" i="60"/>
  <c r="CT30" i="60"/>
  <c r="CS30" i="60"/>
  <c r="CR30" i="60"/>
  <c r="CQ30" i="60"/>
  <c r="CP30" i="60"/>
  <c r="CO30" i="60"/>
  <c r="CN30" i="60"/>
  <c r="CM30" i="60"/>
  <c r="CL30" i="60"/>
  <c r="CK30" i="60"/>
  <c r="CJ30" i="60"/>
  <c r="CI30" i="60"/>
  <c r="CH30" i="60"/>
  <c r="CG30" i="60"/>
  <c r="CF30" i="60"/>
  <c r="CE30" i="60"/>
  <c r="CD30" i="60"/>
  <c r="CC30" i="60"/>
  <c r="CB30" i="60"/>
  <c r="CA30" i="60"/>
  <c r="BZ30" i="60"/>
  <c r="BY30" i="60"/>
  <c r="BX30" i="60"/>
  <c r="BW30" i="60"/>
  <c r="BV30" i="60"/>
  <c r="BU30" i="60"/>
  <c r="BT30" i="60"/>
  <c r="BS30" i="60"/>
  <c r="BR30" i="60"/>
  <c r="BQ30" i="60"/>
  <c r="BP30" i="60"/>
  <c r="BO30" i="60"/>
  <c r="BN30" i="60"/>
  <c r="BM30" i="60"/>
  <c r="BK30" i="60"/>
  <c r="BJ30" i="60"/>
  <c r="BI30" i="60"/>
  <c r="BH30" i="60"/>
  <c r="BG30" i="60"/>
  <c r="BF30" i="60"/>
  <c r="BE30" i="60"/>
  <c r="BD30" i="60"/>
  <c r="BC30" i="60"/>
  <c r="BB30" i="60"/>
  <c r="BA30" i="60"/>
  <c r="AZ30" i="60"/>
  <c r="AY30" i="60"/>
  <c r="AX30" i="60"/>
  <c r="AW30" i="60"/>
  <c r="AV30" i="60"/>
  <c r="AU30" i="60"/>
  <c r="AT30" i="60"/>
  <c r="AS30" i="60"/>
  <c r="AR30" i="60"/>
  <c r="AQ30" i="60"/>
  <c r="AP30" i="60"/>
  <c r="AO30" i="60"/>
  <c r="AN30" i="60"/>
  <c r="AM30" i="60"/>
  <c r="AL30" i="60"/>
  <c r="AK30" i="60"/>
  <c r="AJ30" i="60"/>
  <c r="AI30" i="60"/>
  <c r="AH30" i="60"/>
  <c r="AG30" i="60"/>
  <c r="AF30" i="60"/>
  <c r="AE30" i="60"/>
  <c r="AD30" i="60"/>
  <c r="AC30" i="60"/>
  <c r="AB30" i="60"/>
  <c r="AA30" i="60"/>
  <c r="Z30" i="60"/>
  <c r="Y30" i="60"/>
  <c r="X30" i="60"/>
  <c r="W30" i="60"/>
  <c r="V30" i="60"/>
  <c r="U30" i="60"/>
  <c r="T30" i="60"/>
  <c r="S30" i="60"/>
  <c r="R30" i="60"/>
  <c r="F10" i="83"/>
  <c r="F9" i="83"/>
  <c r="F8" i="83"/>
  <c r="E15" i="103" l="1"/>
  <c r="D5" i="103"/>
  <c r="D23" i="47" l="1"/>
  <c r="F15" i="62"/>
  <c r="F3" i="62"/>
  <c r="F45" i="95" l="1"/>
  <c r="F44" i="95"/>
  <c r="F43" i="95"/>
  <c r="D16" i="95"/>
  <c r="F7" i="83"/>
  <c r="AU47" i="72"/>
  <c r="AR46" i="72"/>
  <c r="AS46" i="72"/>
  <c r="AO45" i="72"/>
  <c r="AP45" i="72"/>
  <c r="D40" i="96" l="1"/>
  <c r="D54" i="96" s="1"/>
  <c r="F95" i="96"/>
  <c r="F94" i="96"/>
  <c r="F93" i="96"/>
  <c r="F92" i="96"/>
  <c r="F91" i="96"/>
  <c r="D90" i="96"/>
  <c r="F90" i="96" s="1"/>
  <c r="D89" i="96"/>
  <c r="F89" i="96" s="1"/>
  <c r="F88" i="96"/>
  <c r="F87" i="96"/>
  <c r="F86" i="96"/>
  <c r="F85" i="96"/>
  <c r="F84" i="96"/>
  <c r="F82" i="96"/>
  <c r="D81" i="96"/>
  <c r="F81" i="96" s="1"/>
  <c r="F80" i="96"/>
  <c r="F76" i="96"/>
  <c r="E75" i="96"/>
  <c r="E72" i="96"/>
  <c r="F71" i="96"/>
  <c r="F63" i="96"/>
  <c r="F57" i="96"/>
  <c r="F56" i="96"/>
  <c r="F49" i="96"/>
  <c r="E48" i="96"/>
  <c r="E47" i="96"/>
  <c r="F47" i="96" s="1"/>
  <c r="D46" i="96"/>
  <c r="F46" i="96" s="1"/>
  <c r="F44" i="96"/>
  <c r="F43" i="96"/>
  <c r="F40" i="96"/>
  <c r="D55" i="96"/>
  <c r="F55" i="96" s="1"/>
  <c r="F36" i="96"/>
  <c r="F33" i="96"/>
  <c r="F32" i="96"/>
  <c r="F25" i="96"/>
  <c r="E22" i="96"/>
  <c r="E21" i="96"/>
  <c r="E31" i="96" s="1"/>
  <c r="F15" i="96"/>
  <c r="F12" i="96"/>
  <c r="F11" i="96"/>
  <c r="F10" i="96"/>
  <c r="F9" i="96"/>
  <c r="D88" i="80"/>
  <c r="D87" i="80"/>
  <c r="D86" i="80"/>
  <c r="B72" i="80"/>
  <c r="B64" i="80"/>
  <c r="B80" i="80" s="1"/>
  <c r="C30" i="80"/>
  <c r="AC18" i="88"/>
  <c r="AC19" i="88"/>
  <c r="AC18" i="87"/>
  <c r="AC19" i="87"/>
  <c r="AC18" i="86"/>
  <c r="AC19" i="86"/>
  <c r="AC18" i="74"/>
  <c r="AC19" i="74"/>
  <c r="B22" i="80"/>
  <c r="D5" i="96" s="1"/>
  <c r="BA101" i="72"/>
  <c r="BB101" i="72"/>
  <c r="BC101" i="72"/>
  <c r="AR65" i="72"/>
  <c r="AS65" i="72"/>
  <c r="AT65" i="72"/>
  <c r="AR28" i="72"/>
  <c r="AS28" i="72"/>
  <c r="AT28" i="72"/>
  <c r="AU28" i="72"/>
  <c r="AU11" i="72"/>
  <c r="AU100" i="72" s="1"/>
  <c r="AV11" i="72"/>
  <c r="AW11" i="72"/>
  <c r="AN98" i="72"/>
  <c r="AO98" i="72"/>
  <c r="AP98" i="72"/>
  <c r="AQ98" i="72"/>
  <c r="AR98" i="72"/>
  <c r="AS98" i="72"/>
  <c r="AT98" i="72"/>
  <c r="AU98" i="72"/>
  <c r="AV98" i="72"/>
  <c r="AW98" i="72"/>
  <c r="Q112" i="72"/>
  <c r="P112" i="72"/>
  <c r="O112" i="72"/>
  <c r="DL105" i="72"/>
  <c r="DK105" i="72"/>
  <c r="DJ105" i="72"/>
  <c r="DI105" i="72"/>
  <c r="DH105" i="72"/>
  <c r="DT106" i="72" s="1"/>
  <c r="DG105" i="72"/>
  <c r="DS106" i="72" s="1"/>
  <c r="DF105" i="72"/>
  <c r="DR106" i="72" s="1"/>
  <c r="DE105" i="72"/>
  <c r="DQ106" i="72" s="1"/>
  <c r="DD105" i="72"/>
  <c r="DP106" i="72" s="1"/>
  <c r="DC105" i="72"/>
  <c r="DO106" i="72" s="1"/>
  <c r="DB105" i="72"/>
  <c r="DN106" i="72" s="1"/>
  <c r="DA105" i="72"/>
  <c r="DM106" i="72" s="1"/>
  <c r="CZ105" i="72"/>
  <c r="DL106" i="72" s="1"/>
  <c r="CY105" i="72"/>
  <c r="DK106" i="72" s="1"/>
  <c r="CX105" i="72"/>
  <c r="DJ106" i="72" s="1"/>
  <c r="CW105" i="72"/>
  <c r="DI106" i="72" s="1"/>
  <c r="CV105" i="72"/>
  <c r="DH106" i="72" s="1"/>
  <c r="DT107" i="72" s="1"/>
  <c r="CU105" i="72"/>
  <c r="DG106" i="72" s="1"/>
  <c r="DS107" i="72" s="1"/>
  <c r="CT105" i="72"/>
  <c r="DF106" i="72" s="1"/>
  <c r="DR107" i="72" s="1"/>
  <c r="CS105" i="72"/>
  <c r="DE106" i="72" s="1"/>
  <c r="DQ107" i="72" s="1"/>
  <c r="CR105" i="72"/>
  <c r="DD106" i="72" s="1"/>
  <c r="DP107" i="72" s="1"/>
  <c r="CQ105" i="72"/>
  <c r="DC106" i="72" s="1"/>
  <c r="DO107" i="72" s="1"/>
  <c r="CP105" i="72"/>
  <c r="DB106" i="72" s="1"/>
  <c r="DN107" i="72" s="1"/>
  <c r="CO105" i="72"/>
  <c r="DA106" i="72" s="1"/>
  <c r="DM107" i="72" s="1"/>
  <c r="CN105" i="72"/>
  <c r="CZ106" i="72" s="1"/>
  <c r="DL107" i="72" s="1"/>
  <c r="CM105" i="72"/>
  <c r="CY106" i="72" s="1"/>
  <c r="DK107" i="72" s="1"/>
  <c r="CL105" i="72"/>
  <c r="CX106" i="72" s="1"/>
  <c r="DJ107" i="72" s="1"/>
  <c r="BO103" i="72"/>
  <c r="BN103" i="72"/>
  <c r="AC103" i="72"/>
  <c r="AO104" i="72" s="1"/>
  <c r="BA105" i="72" s="1"/>
  <c r="BM106" i="72" s="1"/>
  <c r="BY107" i="72" s="1"/>
  <c r="CK108" i="72" s="1"/>
  <c r="CW109" i="72" s="1"/>
  <c r="DI110" i="72" s="1"/>
  <c r="AB103" i="72"/>
  <c r="AN104" i="72" s="1"/>
  <c r="AZ105" i="72" s="1"/>
  <c r="BL106" i="72" s="1"/>
  <c r="BX107" i="72" s="1"/>
  <c r="CJ108" i="72" s="1"/>
  <c r="CV109" i="72" s="1"/>
  <c r="DH110" i="72" s="1"/>
  <c r="AA103" i="72"/>
  <c r="AM104" i="72" s="1"/>
  <c r="AY105" i="72" s="1"/>
  <c r="BK106" i="72" s="1"/>
  <c r="BW107" i="72" s="1"/>
  <c r="CI108" i="72" s="1"/>
  <c r="CU109" i="72" s="1"/>
  <c r="DG110" i="72" s="1"/>
  <c r="BA102" i="72"/>
  <c r="BM103" i="72" s="1"/>
  <c r="DL88" i="72"/>
  <c r="DK88" i="72"/>
  <c r="DJ88" i="72"/>
  <c r="DI88" i="72"/>
  <c r="DH88" i="72"/>
  <c r="DT89" i="72" s="1"/>
  <c r="DG88" i="72"/>
  <c r="DF88" i="72"/>
  <c r="DR89" i="72" s="1"/>
  <c r="DE88" i="72"/>
  <c r="DQ89" i="72" s="1"/>
  <c r="DD88" i="72"/>
  <c r="DP89" i="72" s="1"/>
  <c r="DC88" i="72"/>
  <c r="DO89" i="72" s="1"/>
  <c r="DB88" i="72"/>
  <c r="DA88" i="72"/>
  <c r="DM89" i="72" s="1"/>
  <c r="CZ88" i="72"/>
  <c r="DL89" i="72" s="1"/>
  <c r="CY88" i="72"/>
  <c r="DK89" i="72" s="1"/>
  <c r="CX88" i="72"/>
  <c r="CW88" i="72"/>
  <c r="DI89" i="72" s="1"/>
  <c r="CV88" i="72"/>
  <c r="DH89" i="72" s="1"/>
  <c r="DT90" i="72" s="1"/>
  <c r="CU88" i="72"/>
  <c r="DG89" i="72" s="1"/>
  <c r="DS90" i="72" s="1"/>
  <c r="CT88" i="72"/>
  <c r="DF89" i="72" s="1"/>
  <c r="DR90" i="72" s="1"/>
  <c r="CS88" i="72"/>
  <c r="DE89" i="72" s="1"/>
  <c r="DQ90" i="72" s="1"/>
  <c r="CR88" i="72"/>
  <c r="DD89" i="72" s="1"/>
  <c r="DP90" i="72" s="1"/>
  <c r="CQ88" i="72"/>
  <c r="DC89" i="72" s="1"/>
  <c r="DO90" i="72" s="1"/>
  <c r="CP88" i="72"/>
  <c r="DB89" i="72" s="1"/>
  <c r="DN90" i="72" s="1"/>
  <c r="CO88" i="72"/>
  <c r="DA89" i="72" s="1"/>
  <c r="DM90" i="72" s="1"/>
  <c r="CN88" i="72"/>
  <c r="CZ89" i="72" s="1"/>
  <c r="DL90" i="72" s="1"/>
  <c r="CM88" i="72"/>
  <c r="CY89" i="72" s="1"/>
  <c r="DK90" i="72" s="1"/>
  <c r="CL88" i="72"/>
  <c r="BN86" i="72"/>
  <c r="BA85" i="72"/>
  <c r="BM86" i="72" s="1"/>
  <c r="AZ85" i="72"/>
  <c r="BL86" i="72" s="1"/>
  <c r="AY85" i="72"/>
  <c r="BK86" i="72" s="1"/>
  <c r="AX85" i="72"/>
  <c r="BJ86" i="72" s="1"/>
  <c r="BV87" i="72" s="1"/>
  <c r="AW85" i="72"/>
  <c r="BI86" i="72" s="1"/>
  <c r="BU87" i="72" s="1"/>
  <c r="CG88" i="72" s="1"/>
  <c r="AV85" i="72"/>
  <c r="BH86" i="72" s="1"/>
  <c r="BT87" i="72" s="1"/>
  <c r="AU85" i="72"/>
  <c r="BG86" i="72" s="1"/>
  <c r="AT85" i="72"/>
  <c r="BF86" i="72" s="1"/>
  <c r="AS85" i="72"/>
  <c r="BE86" i="72" s="1"/>
  <c r="BQ87" i="72" s="1"/>
  <c r="AR85" i="72"/>
  <c r="BD86" i="72" s="1"/>
  <c r="AQ85" i="72"/>
  <c r="BC86" i="72" s="1"/>
  <c r="AP85" i="72"/>
  <c r="BB86" i="72" s="1"/>
  <c r="AO85" i="72"/>
  <c r="BA86" i="72" s="1"/>
  <c r="AN85" i="72"/>
  <c r="AZ86" i="72" s="1"/>
  <c r="AM85" i="72"/>
  <c r="AY86" i="72" s="1"/>
  <c r="AL85" i="72"/>
  <c r="AX86" i="72" s="1"/>
  <c r="BJ87" i="72" s="1"/>
  <c r="BV88" i="72" s="1"/>
  <c r="CH89" i="72" s="1"/>
  <c r="CT90" i="72" s="1"/>
  <c r="DF91" i="72" s="1"/>
  <c r="DR92" i="72" s="1"/>
  <c r="AK85" i="72"/>
  <c r="AW86" i="72" s="1"/>
  <c r="AJ85" i="72"/>
  <c r="AV86" i="72" s="1"/>
  <c r="AI85" i="72"/>
  <c r="AU86" i="72" s="1"/>
  <c r="AH85" i="72"/>
  <c r="AT86" i="72" s="1"/>
  <c r="BF87" i="72" s="1"/>
  <c r="BR88" i="72" s="1"/>
  <c r="CD89" i="72" s="1"/>
  <c r="CP90" i="72" s="1"/>
  <c r="DB91" i="72" s="1"/>
  <c r="DN92" i="72" s="1"/>
  <c r="AG85" i="72"/>
  <c r="AS86" i="72" s="1"/>
  <c r="BE87" i="72" s="1"/>
  <c r="BQ88" i="72" s="1"/>
  <c r="CC89" i="72" s="1"/>
  <c r="CO90" i="72" s="1"/>
  <c r="DA91" i="72" s="1"/>
  <c r="DM92" i="72" s="1"/>
  <c r="AF85" i="72"/>
  <c r="AR86" i="72" s="1"/>
  <c r="BD87" i="72" s="1"/>
  <c r="BP88" i="72" s="1"/>
  <c r="CB89" i="72" s="1"/>
  <c r="CN90" i="72" s="1"/>
  <c r="CZ91" i="72" s="1"/>
  <c r="DL92" i="72" s="1"/>
  <c r="AE85" i="72"/>
  <c r="AQ86" i="72" s="1"/>
  <c r="AD85" i="72"/>
  <c r="AP86" i="72" s="1"/>
  <c r="AC85" i="72"/>
  <c r="AO86" i="72" s="1"/>
  <c r="BA87" i="72" s="1"/>
  <c r="BM88" i="72" s="1"/>
  <c r="BY89" i="72" s="1"/>
  <c r="CK90" i="72" s="1"/>
  <c r="CW91" i="72" s="1"/>
  <c r="DI92" i="72" s="1"/>
  <c r="AB85" i="72"/>
  <c r="AN86" i="72" s="1"/>
  <c r="AA85" i="72"/>
  <c r="AM86" i="72" s="1"/>
  <c r="AB18" i="88"/>
  <c r="AB19" i="88"/>
  <c r="AB18" i="87"/>
  <c r="AB19" i="87"/>
  <c r="AB18" i="86"/>
  <c r="AB19" i="86"/>
  <c r="AB18" i="74"/>
  <c r="AB19" i="74"/>
  <c r="D17" i="77"/>
  <c r="D16" i="77"/>
  <c r="D15" i="77"/>
  <c r="D14" i="77"/>
  <c r="D13" i="77"/>
  <c r="D12" i="77"/>
  <c r="D11" i="77"/>
  <c r="D10" i="77"/>
  <c r="D9" i="77"/>
  <c r="D26" i="77"/>
  <c r="D25" i="77"/>
  <c r="D24" i="77"/>
  <c r="D23" i="77"/>
  <c r="D22" i="77"/>
  <c r="D21" i="77"/>
  <c r="D20" i="77"/>
  <c r="D19" i="77"/>
  <c r="D18" i="77"/>
  <c r="D8" i="77"/>
  <c r="D7" i="77"/>
  <c r="D6" i="77"/>
  <c r="D6" i="96" l="1"/>
  <c r="F6" i="96" s="1"/>
  <c r="D16" i="96"/>
  <c r="F16" i="96" s="1"/>
  <c r="D8" i="96"/>
  <c r="F8" i="96" s="1"/>
  <c r="D61" i="96"/>
  <c r="F61" i="96" s="1"/>
  <c r="D41" i="96"/>
  <c r="F41" i="96" s="1"/>
  <c r="D50" i="96"/>
  <c r="F50" i="96" s="1"/>
  <c r="D14" i="96"/>
  <c r="F14" i="96" s="1"/>
  <c r="F5" i="96"/>
  <c r="F54" i="96"/>
  <c r="D59" i="96"/>
  <c r="F59" i="96" s="1"/>
  <c r="D7" i="96"/>
  <c r="F7" i="96" s="1"/>
  <c r="D13" i="96"/>
  <c r="F13" i="96" s="1"/>
  <c r="F31" i="96"/>
  <c r="D45" i="96"/>
  <c r="D53" i="96"/>
  <c r="D33" i="47" s="1"/>
  <c r="D32" i="47" s="1"/>
  <c r="D60" i="96"/>
  <c r="F60" i="96" s="1"/>
  <c r="D62" i="96"/>
  <c r="F62" i="96" s="1"/>
  <c r="D22" i="80"/>
  <c r="BY104" i="72"/>
  <c r="AY87" i="72"/>
  <c r="BK88" i="72" s="1"/>
  <c r="BW89" i="72" s="1"/>
  <c r="CI90" i="72" s="1"/>
  <c r="CU91" i="72" s="1"/>
  <c r="DG92" i="72" s="1"/>
  <c r="DS93" i="72" s="1"/>
  <c r="BC87" i="72"/>
  <c r="BO88" i="72" s="1"/>
  <c r="CA89" i="72" s="1"/>
  <c r="CM90" i="72" s="1"/>
  <c r="CY91" i="72" s="1"/>
  <c r="DK92" i="72" s="1"/>
  <c r="BK87" i="72"/>
  <c r="BW88" i="72" s="1"/>
  <c r="CI89" i="72" s="1"/>
  <c r="CU90" i="72" s="1"/>
  <c r="DG91" i="72" s="1"/>
  <c r="DS92" i="72" s="1"/>
  <c r="BO87" i="72"/>
  <c r="BS87" i="72"/>
  <c r="BB87" i="72"/>
  <c r="BN88" i="72" s="1"/>
  <c r="BZ89" i="72" s="1"/>
  <c r="CL90" i="72" s="1"/>
  <c r="CX91" i="72" s="1"/>
  <c r="DJ92" i="72" s="1"/>
  <c r="BN87" i="72"/>
  <c r="BR87" i="72"/>
  <c r="BL87" i="72"/>
  <c r="BX88" i="72" s="1"/>
  <c r="CJ89" i="72" s="1"/>
  <c r="CV90" i="72" s="1"/>
  <c r="DH91" i="72" s="1"/>
  <c r="DT92" i="72" s="1"/>
  <c r="CF88" i="72"/>
  <c r="CH88" i="72"/>
  <c r="BG87" i="72"/>
  <c r="BS88" i="72" s="1"/>
  <c r="CE89" i="72" s="1"/>
  <c r="CQ90" i="72" s="1"/>
  <c r="DC91" i="72" s="1"/>
  <c r="DO92" i="72" s="1"/>
  <c r="BW87" i="72"/>
  <c r="CX89" i="72"/>
  <c r="DJ90" i="72" s="1"/>
  <c r="DJ89" i="72"/>
  <c r="DN89" i="72"/>
  <c r="CS89" i="72"/>
  <c r="DE90" i="72" s="1"/>
  <c r="AZ87" i="72"/>
  <c r="BL88" i="72" s="1"/>
  <c r="BX89" i="72" s="1"/>
  <c r="CJ90" i="72" s="1"/>
  <c r="CV91" i="72" s="1"/>
  <c r="DH92" i="72" s="1"/>
  <c r="DT93" i="72" s="1"/>
  <c r="BH87" i="72"/>
  <c r="BT88" i="72" s="1"/>
  <c r="CF89" i="72" s="1"/>
  <c r="CR90" i="72" s="1"/>
  <c r="DD91" i="72" s="1"/>
  <c r="DP92" i="72" s="1"/>
  <c r="BP87" i="72"/>
  <c r="BX87" i="72"/>
  <c r="CC88" i="72"/>
  <c r="DS89" i="72"/>
  <c r="BI87" i="72"/>
  <c r="BM87" i="72"/>
  <c r="BY88" i="72" s="1"/>
  <c r="CK89" i="72" s="1"/>
  <c r="CW90" i="72" s="1"/>
  <c r="DI91" i="72" s="1"/>
  <c r="BY87" i="72"/>
  <c r="F53" i="96" l="1"/>
  <c r="D58" i="96"/>
  <c r="F58" i="96" s="1"/>
  <c r="D64" i="96"/>
  <c r="F64" i="96" s="1"/>
  <c r="F45" i="96"/>
  <c r="D42" i="96"/>
  <c r="G22" i="80"/>
  <c r="E22" i="80"/>
  <c r="CK105" i="72"/>
  <c r="CB88" i="72"/>
  <c r="DQ91" i="72"/>
  <c r="CI88" i="72"/>
  <c r="CR89" i="72"/>
  <c r="BZ88" i="72"/>
  <c r="CE88" i="72"/>
  <c r="BU88" i="72"/>
  <c r="CO89" i="72"/>
  <c r="CK88" i="72"/>
  <c r="CJ88" i="72"/>
  <c r="CT89" i="72"/>
  <c r="CD88" i="72"/>
  <c r="CA88" i="72"/>
  <c r="F6" i="85"/>
  <c r="F42" i="96" l="1"/>
  <c r="D48" i="96"/>
  <c r="F48" i="96" s="1"/>
  <c r="H22" i="80"/>
  <c r="CW106" i="72"/>
  <c r="CW89" i="72"/>
  <c r="DD90" i="72"/>
  <c r="CM89" i="72"/>
  <c r="CG89" i="72"/>
  <c r="CL89" i="72"/>
  <c r="CP89" i="72"/>
  <c r="DA90" i="72"/>
  <c r="CU89" i="72"/>
  <c r="CN89" i="72"/>
  <c r="DF90" i="72"/>
  <c r="CV89" i="72"/>
  <c r="CQ89" i="72"/>
  <c r="F12" i="83"/>
  <c r="F11" i="83"/>
  <c r="F6" i="101"/>
  <c r="F16" i="100"/>
  <c r="F10" i="100"/>
  <c r="F7" i="99"/>
  <c r="F6" i="99"/>
  <c r="F5" i="99"/>
  <c r="F8" i="98"/>
  <c r="F7" i="98"/>
  <c r="F6" i="98"/>
  <c r="F5" i="98"/>
  <c r="F4" i="98"/>
  <c r="F16" i="97"/>
  <c r="F15" i="97"/>
  <c r="F14" i="97"/>
  <c r="F13" i="97"/>
  <c r="F10" i="97"/>
  <c r="F8" i="97"/>
  <c r="F49" i="95"/>
  <c r="F48" i="95"/>
  <c r="F47" i="95"/>
  <c r="F46" i="95"/>
  <c r="F42" i="95"/>
  <c r="F39" i="95"/>
  <c r="F36" i="95"/>
  <c r="F35" i="95"/>
  <c r="F34" i="95"/>
  <c r="F33" i="95"/>
  <c r="D30" i="95"/>
  <c r="F30" i="95" s="1"/>
  <c r="F29" i="95"/>
  <c r="F28" i="95"/>
  <c r="F27" i="95"/>
  <c r="F26" i="95"/>
  <c r="F25" i="95"/>
  <c r="F24" i="95"/>
  <c r="F23" i="95"/>
  <c r="F20" i="95"/>
  <c r="F19" i="95"/>
  <c r="F18" i="95"/>
  <c r="F17" i="95"/>
  <c r="F16" i="95"/>
  <c r="F15" i="95"/>
  <c r="F14" i="95"/>
  <c r="F11" i="95"/>
  <c r="F10" i="95"/>
  <c r="F9" i="95"/>
  <c r="F8" i="95"/>
  <c r="F7" i="95"/>
  <c r="F6" i="95"/>
  <c r="F5" i="95"/>
  <c r="F87" i="94"/>
  <c r="F86" i="94"/>
  <c r="F85" i="94"/>
  <c r="F84" i="94"/>
  <c r="F83" i="94"/>
  <c r="F82" i="94"/>
  <c r="F81" i="94"/>
  <c r="F78" i="94"/>
  <c r="F75" i="94"/>
  <c r="F74" i="94"/>
  <c r="F73" i="94"/>
  <c r="F72" i="94"/>
  <c r="F71" i="94"/>
  <c r="F70" i="94"/>
  <c r="F67" i="94"/>
  <c r="F66" i="94"/>
  <c r="F63" i="94"/>
  <c r="F62" i="94"/>
  <c r="F61" i="94"/>
  <c r="F60" i="94"/>
  <c r="F59" i="94"/>
  <c r="F58" i="94"/>
  <c r="F57" i="94"/>
  <c r="F56" i="94"/>
  <c r="F55" i="94"/>
  <c r="F54" i="94"/>
  <c r="F53" i="94"/>
  <c r="F52" i="94"/>
  <c r="F51" i="94"/>
  <c r="F50" i="94"/>
  <c r="F49" i="94"/>
  <c r="F48" i="94"/>
  <c r="F47" i="94"/>
  <c r="F46" i="94"/>
  <c r="F45" i="94"/>
  <c r="F44" i="94"/>
  <c r="F43" i="94"/>
  <c r="F42" i="94"/>
  <c r="F41" i="94"/>
  <c r="F40" i="94"/>
  <c r="F39" i="94"/>
  <c r="F38" i="94"/>
  <c r="F37" i="94"/>
  <c r="D36" i="94"/>
  <c r="F36" i="94" s="1"/>
  <c r="F35" i="94"/>
  <c r="F34" i="94"/>
  <c r="F33" i="94"/>
  <c r="F32" i="94"/>
  <c r="F31" i="94"/>
  <c r="F30" i="94"/>
  <c r="F29" i="94"/>
  <c r="F28" i="94"/>
  <c r="F27" i="94"/>
  <c r="F26" i="94"/>
  <c r="F25" i="94"/>
  <c r="F24" i="94"/>
  <c r="F21" i="94"/>
  <c r="F20" i="94"/>
  <c r="F19" i="94"/>
  <c r="F18" i="94"/>
  <c r="F17" i="94"/>
  <c r="F16" i="94"/>
  <c r="F15" i="94"/>
  <c r="F14" i="94"/>
  <c r="D13" i="94"/>
  <c r="F13" i="94" s="1"/>
  <c r="F12" i="94"/>
  <c r="F11" i="94"/>
  <c r="D10" i="94"/>
  <c r="F10" i="94" s="1"/>
  <c r="D9" i="94"/>
  <c r="F9" i="94" s="1"/>
  <c r="D8" i="94"/>
  <c r="F8" i="94" s="1"/>
  <c r="D7" i="94"/>
  <c r="F7" i="94" s="1"/>
  <c r="D6" i="94"/>
  <c r="F6" i="94" s="1"/>
  <c r="F5" i="94"/>
  <c r="F47" i="93"/>
  <c r="F46" i="93"/>
  <c r="F45" i="93"/>
  <c r="F42" i="93"/>
  <c r="F41" i="93"/>
  <c r="F40" i="93"/>
  <c r="F39" i="93"/>
  <c r="F38" i="93"/>
  <c r="F37" i="93"/>
  <c r="F36" i="93"/>
  <c r="F35" i="93"/>
  <c r="F32" i="93"/>
  <c r="F31" i="93"/>
  <c r="F30" i="93"/>
  <c r="F27" i="93"/>
  <c r="F26" i="93"/>
  <c r="F23" i="93"/>
  <c r="F22" i="93"/>
  <c r="F21" i="93"/>
  <c r="F20" i="93"/>
  <c r="F19" i="93"/>
  <c r="F18" i="93"/>
  <c r="F17" i="93"/>
  <c r="F14" i="93"/>
  <c r="F13" i="93"/>
  <c r="F10" i="93"/>
  <c r="F7" i="93"/>
  <c r="F6" i="93"/>
  <c r="F5" i="93"/>
  <c r="F14" i="92"/>
  <c r="F11" i="92"/>
  <c r="F8" i="92"/>
  <c r="F5" i="92"/>
  <c r="F9" i="91"/>
  <c r="DI107" i="72" l="1"/>
  <c r="DC90" i="72"/>
  <c r="DR91" i="72"/>
  <c r="DG90" i="72"/>
  <c r="DM91" i="72"/>
  <c r="CS90" i="72"/>
  <c r="DH90" i="72"/>
  <c r="CZ90" i="72"/>
  <c r="CY90" i="72"/>
  <c r="DP91" i="72"/>
  <c r="DB90" i="72"/>
  <c r="CX90" i="72"/>
  <c r="DI90" i="72"/>
  <c r="F52" i="95"/>
  <c r="F9" i="85" s="1"/>
  <c r="F9" i="99"/>
  <c r="F13" i="85" s="1"/>
  <c r="F10" i="98"/>
  <c r="F12" i="85" s="1"/>
  <c r="F91" i="94"/>
  <c r="F8" i="85" s="1"/>
  <c r="F50" i="93"/>
  <c r="F7" i="85" s="1"/>
  <c r="E7" i="100" l="1"/>
  <c r="F7" i="100" s="1"/>
  <c r="E5" i="100"/>
  <c r="E8" i="100" s="1"/>
  <c r="F8" i="100" s="1"/>
  <c r="DJ91" i="72"/>
  <c r="DK91" i="72"/>
  <c r="DT91" i="72"/>
  <c r="DT95" i="72" s="1"/>
  <c r="DE91" i="72"/>
  <c r="DN91" i="72"/>
  <c r="DL91" i="72"/>
  <c r="DS91" i="72"/>
  <c r="DS95" i="72" s="1"/>
  <c r="DO91" i="72"/>
  <c r="F5" i="100"/>
  <c r="DQ92" i="72" l="1"/>
  <c r="F17" i="83" l="1"/>
  <c r="Z18" i="88" l="1"/>
  <c r="AA18" i="88"/>
  <c r="Z19" i="88"/>
  <c r="AA19" i="88"/>
  <c r="D60" i="88"/>
  <c r="Z18" i="87"/>
  <c r="AA18" i="87"/>
  <c r="Z19" i="87"/>
  <c r="AA19" i="87"/>
  <c r="D60" i="87"/>
  <c r="Z18" i="86"/>
  <c r="AA18" i="86"/>
  <c r="Z19" i="86"/>
  <c r="AA19" i="86"/>
  <c r="D60" i="86"/>
  <c r="Z18" i="74"/>
  <c r="AA18" i="74"/>
  <c r="Z19" i="74"/>
  <c r="AA19" i="74"/>
  <c r="N4" i="80" l="1"/>
  <c r="F20" i="83" l="1"/>
  <c r="G26" i="77" l="1"/>
  <c r="G6" i="77"/>
  <c r="G8" i="77" s="1"/>
  <c r="G24" i="77" l="1"/>
  <c r="G14" i="77"/>
  <c r="G10" i="77"/>
  <c r="G12" i="77"/>
  <c r="G15" i="77"/>
  <c r="G13" i="77"/>
  <c r="G9" i="77"/>
  <c r="G16" i="77"/>
  <c r="G11" i="77"/>
  <c r="G23" i="77"/>
  <c r="G20" i="77"/>
  <c r="G7" i="77"/>
  <c r="G25" i="77"/>
  <c r="G19" i="77"/>
  <c r="G21" i="77"/>
  <c r="G17" i="77"/>
  <c r="G18" i="77"/>
  <c r="G22" i="77"/>
  <c r="J4" i="83" l="1"/>
  <c r="F16" i="83"/>
  <c r="F14" i="83"/>
  <c r="F15" i="83"/>
  <c r="F13" i="83"/>
  <c r="J6" i="77"/>
  <c r="J16" i="83" l="1"/>
  <c r="J9" i="83"/>
  <c r="J10" i="83"/>
  <c r="J8" i="83"/>
  <c r="J7" i="83"/>
  <c r="L4" i="83"/>
  <c r="J15" i="83"/>
  <c r="J13" i="83"/>
  <c r="J12" i="83"/>
  <c r="J11" i="83"/>
  <c r="J14" i="83"/>
  <c r="J16" i="80"/>
  <c r="W26" i="22"/>
  <c r="W25" i="22"/>
  <c r="W24" i="22"/>
  <c r="W23" i="22"/>
  <c r="W22" i="22"/>
  <c r="W21" i="22"/>
  <c r="C17" i="13"/>
  <c r="V17" i="13" s="1"/>
  <c r="C16" i="13"/>
  <c r="T26" i="22" s="1"/>
  <c r="C11" i="13"/>
  <c r="T21" i="22" s="1"/>
  <c r="C10" i="13"/>
  <c r="F10" i="13" s="1"/>
  <c r="L13" i="83" l="1"/>
  <c r="L20" i="83"/>
  <c r="N4" i="83"/>
  <c r="N17" i="83" s="1"/>
  <c r="N15" i="83"/>
  <c r="L12" i="83"/>
  <c r="L15" i="83"/>
  <c r="L11" i="83"/>
  <c r="L16" i="83"/>
  <c r="N9" i="83"/>
  <c r="L10" i="83"/>
  <c r="L8" i="83"/>
  <c r="L9" i="83"/>
  <c r="L7" i="83"/>
  <c r="N12" i="83"/>
  <c r="N11" i="83"/>
  <c r="N20" i="83"/>
  <c r="O16" i="13"/>
  <c r="I11" i="13"/>
  <c r="E17" i="13"/>
  <c r="K17" i="13"/>
  <c r="G17" i="13"/>
  <c r="S17" i="13"/>
  <c r="O17" i="13"/>
  <c r="N17" i="13"/>
  <c r="J17" i="13"/>
  <c r="F17" i="13"/>
  <c r="R17" i="13"/>
  <c r="X17" i="13"/>
  <c r="M17" i="13"/>
  <c r="I17" i="13"/>
  <c r="U17" i="13"/>
  <c r="Q17" i="13"/>
  <c r="W17" i="13"/>
  <c r="L17" i="13"/>
  <c r="H17" i="13"/>
  <c r="T17" i="13"/>
  <c r="P17" i="13"/>
  <c r="G11" i="13"/>
  <c r="E10" i="13"/>
  <c r="H11" i="13"/>
  <c r="N10" i="83" l="1"/>
  <c r="N13" i="83"/>
  <c r="N8" i="83"/>
  <c r="N14" i="83"/>
  <c r="N16" i="83"/>
  <c r="P4" i="83"/>
  <c r="P20" i="83" s="1"/>
  <c r="N7" i="83"/>
  <c r="P9" i="83"/>
  <c r="P13" i="83"/>
  <c r="AX11" i="72"/>
  <c r="AY11" i="72"/>
  <c r="AX12" i="72"/>
  <c r="AX101" i="72" s="1"/>
  <c r="AX102" i="72" s="1"/>
  <c r="BJ103" i="72" s="1"/>
  <c r="BV104" i="72" s="1"/>
  <c r="CH105" i="72" s="1"/>
  <c r="CT106" i="72" s="1"/>
  <c r="DF107" i="72" s="1"/>
  <c r="DR108" i="72" s="1"/>
  <c r="AY12" i="72"/>
  <c r="AY101" i="72" s="1"/>
  <c r="AY102" i="72" s="1"/>
  <c r="BK103" i="72" s="1"/>
  <c r="BW104" i="72" s="1"/>
  <c r="CI105" i="72" s="1"/>
  <c r="CU106" i="72" s="1"/>
  <c r="DG107" i="72" s="1"/>
  <c r="DS108" i="72" s="1"/>
  <c r="AZ12" i="72"/>
  <c r="AZ101" i="72" s="1"/>
  <c r="AZ102" i="72" s="1"/>
  <c r="BL103" i="72" s="1"/>
  <c r="BX104" i="72" s="1"/>
  <c r="CJ105" i="72" s="1"/>
  <c r="CV106" i="72" s="1"/>
  <c r="DH107" i="72" s="1"/>
  <c r="DT108" i="72" s="1"/>
  <c r="AO27" i="72"/>
  <c r="AP27" i="72"/>
  <c r="AQ27" i="72"/>
  <c r="AU66" i="72"/>
  <c r="AV66" i="72"/>
  <c r="AW66" i="72"/>
  <c r="AX66" i="72"/>
  <c r="AY66" i="72"/>
  <c r="AZ66" i="72"/>
  <c r="BA66" i="72"/>
  <c r="BB66" i="72"/>
  <c r="BC66" i="72"/>
  <c r="BD66" i="72"/>
  <c r="BE66" i="72"/>
  <c r="BF66" i="72"/>
  <c r="BG66" i="72"/>
  <c r="AU65" i="72"/>
  <c r="AV65" i="72"/>
  <c r="AO64" i="72"/>
  <c r="AP64" i="72"/>
  <c r="AQ64" i="72"/>
  <c r="AR64" i="72"/>
  <c r="AS64" i="72"/>
  <c r="AT64" i="72"/>
  <c r="AU64" i="72"/>
  <c r="AV64" i="72"/>
  <c r="AW64" i="72"/>
  <c r="AX64" i="72"/>
  <c r="AY64" i="72"/>
  <c r="AZ64" i="72"/>
  <c r="BA64" i="72"/>
  <c r="BB64" i="72"/>
  <c r="BC64" i="72"/>
  <c r="BD64" i="72"/>
  <c r="BE64" i="72"/>
  <c r="BF64" i="72"/>
  <c r="BG64" i="72"/>
  <c r="BH64" i="72"/>
  <c r="BI64" i="72"/>
  <c r="BJ64" i="72"/>
  <c r="AX30" i="72"/>
  <c r="AY30" i="72"/>
  <c r="AZ30" i="72"/>
  <c r="BA30" i="72"/>
  <c r="BB30" i="72"/>
  <c r="BC30" i="72"/>
  <c r="BD30" i="72"/>
  <c r="BE30" i="72"/>
  <c r="BF30" i="72"/>
  <c r="BG30" i="72"/>
  <c r="AU29" i="72"/>
  <c r="AV28" i="72"/>
  <c r="AW28" i="72"/>
  <c r="AX28" i="72"/>
  <c r="AY28" i="72"/>
  <c r="AZ28" i="72"/>
  <c r="BA28" i="72"/>
  <c r="BB28" i="72"/>
  <c r="BC28" i="72"/>
  <c r="BD28" i="72"/>
  <c r="BE28" i="72"/>
  <c r="BF28" i="72"/>
  <c r="BG28" i="72"/>
  <c r="BH28" i="72"/>
  <c r="AR27" i="72"/>
  <c r="AS27" i="72"/>
  <c r="AT27" i="72"/>
  <c r="AU27" i="72"/>
  <c r="AV27" i="72"/>
  <c r="AW27" i="72"/>
  <c r="AX27" i="72"/>
  <c r="AY27" i="72"/>
  <c r="AZ27" i="72"/>
  <c r="BA27" i="72"/>
  <c r="BB27" i="72"/>
  <c r="BC27" i="72"/>
  <c r="BD27" i="72"/>
  <c r="BE27" i="72"/>
  <c r="BF27" i="72"/>
  <c r="BG27" i="72"/>
  <c r="BH27" i="72"/>
  <c r="BI27" i="72"/>
  <c r="BJ27" i="72"/>
  <c r="E18" i="88"/>
  <c r="F18" i="88"/>
  <c r="G18" i="88"/>
  <c r="H18" i="88"/>
  <c r="I18" i="88"/>
  <c r="J18" i="88"/>
  <c r="K18" i="88"/>
  <c r="L18" i="88"/>
  <c r="M18" i="88"/>
  <c r="N18" i="88"/>
  <c r="O18" i="88"/>
  <c r="P18" i="88"/>
  <c r="Q18" i="88"/>
  <c r="R18" i="88"/>
  <c r="S18" i="88"/>
  <c r="T18" i="88"/>
  <c r="U18" i="88"/>
  <c r="V18" i="88"/>
  <c r="W18" i="88"/>
  <c r="X18" i="88"/>
  <c r="Y18" i="88"/>
  <c r="X18" i="87"/>
  <c r="Y18" i="87"/>
  <c r="E18" i="87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E18" i="74"/>
  <c r="F18" i="74"/>
  <c r="G18" i="74"/>
  <c r="H18" i="74"/>
  <c r="I18" i="74"/>
  <c r="J18" i="74"/>
  <c r="K18" i="74"/>
  <c r="L18" i="74"/>
  <c r="M18" i="74"/>
  <c r="N18" i="74"/>
  <c r="O18" i="74"/>
  <c r="P18" i="74"/>
  <c r="Q18" i="74"/>
  <c r="R18" i="74"/>
  <c r="S18" i="74"/>
  <c r="T18" i="74"/>
  <c r="U18" i="74"/>
  <c r="V18" i="74"/>
  <c r="W18" i="74"/>
  <c r="X18" i="74"/>
  <c r="Y18" i="74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Y18" i="86"/>
  <c r="Y19" i="88"/>
  <c r="Y19" i="87"/>
  <c r="P7" i="83" l="1"/>
  <c r="P14" i="83"/>
  <c r="P11" i="83"/>
  <c r="P10" i="83"/>
  <c r="P15" i="83"/>
  <c r="P17" i="83"/>
  <c r="P12" i="83"/>
  <c r="P8" i="83"/>
  <c r="P16" i="83"/>
  <c r="R4" i="83"/>
  <c r="R9" i="83" s="1"/>
  <c r="Y19" i="86"/>
  <c r="X19" i="74"/>
  <c r="Y19" i="74"/>
  <c r="R20" i="83" l="1"/>
  <c r="R7" i="83"/>
  <c r="R15" i="83"/>
  <c r="R14" i="83"/>
  <c r="R11" i="83"/>
  <c r="R17" i="83"/>
  <c r="T4" i="83"/>
  <c r="T8" i="83" s="1"/>
  <c r="R13" i="83"/>
  <c r="R16" i="83"/>
  <c r="R12" i="83"/>
  <c r="R8" i="83"/>
  <c r="R10" i="83"/>
  <c r="T7" i="83"/>
  <c r="T17" i="83"/>
  <c r="T16" i="83"/>
  <c r="T13" i="83"/>
  <c r="C28" i="18"/>
  <c r="Z9" i="29"/>
  <c r="AA9" i="29"/>
  <c r="AB9" i="29"/>
  <c r="AD29" i="16"/>
  <c r="C12" i="60"/>
  <c r="AD20" i="44"/>
  <c r="Q5" i="88"/>
  <c r="Q5" i="87"/>
  <c r="Q5" i="86"/>
  <c r="Q5" i="74"/>
  <c r="D57" i="74" s="1"/>
  <c r="CL71" i="72"/>
  <c r="CX72" i="72" s="1"/>
  <c r="DJ73" i="72" s="1"/>
  <c r="CM71" i="72"/>
  <c r="CY72" i="72" s="1"/>
  <c r="DK73" i="72" s="1"/>
  <c r="CN71" i="72"/>
  <c r="CZ72" i="72" s="1"/>
  <c r="DL73" i="72" s="1"/>
  <c r="CO71" i="72"/>
  <c r="DA72" i="72" s="1"/>
  <c r="DM73" i="72" s="1"/>
  <c r="CP71" i="72"/>
  <c r="DB72" i="72" s="1"/>
  <c r="DN73" i="72" s="1"/>
  <c r="CQ71" i="72"/>
  <c r="DC72" i="72" s="1"/>
  <c r="DO73" i="72" s="1"/>
  <c r="CR71" i="72"/>
  <c r="DD72" i="72" s="1"/>
  <c r="DP73" i="72" s="1"/>
  <c r="CS71" i="72"/>
  <c r="DE72" i="72" s="1"/>
  <c r="DQ73" i="72" s="1"/>
  <c r="CT71" i="72"/>
  <c r="DF72" i="72" s="1"/>
  <c r="DR73" i="72" s="1"/>
  <c r="CU71" i="72"/>
  <c r="DG72" i="72" s="1"/>
  <c r="DS73" i="72" s="1"/>
  <c r="CV71" i="72"/>
  <c r="DH72" i="72" s="1"/>
  <c r="DT73" i="72" s="1"/>
  <c r="CW71" i="72"/>
  <c r="DI72" i="72" s="1"/>
  <c r="CX71" i="72"/>
  <c r="DJ72" i="72" s="1"/>
  <c r="CY71" i="72"/>
  <c r="DK72" i="72" s="1"/>
  <c r="CZ71" i="72"/>
  <c r="DL72" i="72" s="1"/>
  <c r="DA71" i="72"/>
  <c r="DM72" i="72" s="1"/>
  <c r="DB71" i="72"/>
  <c r="DN72" i="72" s="1"/>
  <c r="DC71" i="72"/>
  <c r="DO72" i="72" s="1"/>
  <c r="DD71" i="72"/>
  <c r="DP72" i="72" s="1"/>
  <c r="DE71" i="72"/>
  <c r="DQ72" i="72" s="1"/>
  <c r="DF71" i="72"/>
  <c r="DR72" i="72" s="1"/>
  <c r="DG71" i="72"/>
  <c r="DS72" i="72" s="1"/>
  <c r="DH71" i="72"/>
  <c r="DT72" i="72" s="1"/>
  <c r="DI71" i="72"/>
  <c r="DJ71" i="72"/>
  <c r="DK71" i="72"/>
  <c r="DL71" i="72"/>
  <c r="BN69" i="72"/>
  <c r="AZ67" i="72"/>
  <c r="BA67" i="72"/>
  <c r="BB67" i="72"/>
  <c r="BC67" i="72"/>
  <c r="BD67" i="72"/>
  <c r="BE67" i="72"/>
  <c r="BF67" i="72"/>
  <c r="BG67" i="72"/>
  <c r="BH67" i="72"/>
  <c r="BI67" i="72"/>
  <c r="BJ67" i="72"/>
  <c r="BK67" i="72"/>
  <c r="BL67" i="72"/>
  <c r="BM67" i="72"/>
  <c r="BN67" i="72"/>
  <c r="BO67" i="72"/>
  <c r="BP67" i="72"/>
  <c r="BQ67" i="72"/>
  <c r="BR67" i="72"/>
  <c r="BS67" i="72"/>
  <c r="BT67" i="72"/>
  <c r="BU67" i="72"/>
  <c r="BV67" i="72"/>
  <c r="BW67" i="72"/>
  <c r="BX67" i="72"/>
  <c r="BY67" i="72"/>
  <c r="BZ67" i="72"/>
  <c r="CA67" i="72"/>
  <c r="CB67" i="72"/>
  <c r="CC67" i="72"/>
  <c r="CD67" i="72"/>
  <c r="CE67" i="72"/>
  <c r="CF67" i="72"/>
  <c r="CG67" i="72"/>
  <c r="CH67" i="72"/>
  <c r="CI67" i="72"/>
  <c r="CJ67" i="72"/>
  <c r="CK67" i="72"/>
  <c r="CL67" i="72"/>
  <c r="CM67" i="72"/>
  <c r="CN67" i="72"/>
  <c r="CO67" i="72"/>
  <c r="CP67" i="72"/>
  <c r="CQ67" i="72"/>
  <c r="CR67" i="72"/>
  <c r="CS67" i="72"/>
  <c r="CT67" i="72"/>
  <c r="CU67" i="72"/>
  <c r="CV67" i="72"/>
  <c r="CW67" i="72"/>
  <c r="CX67" i="72"/>
  <c r="CY67" i="72"/>
  <c r="CZ67" i="72"/>
  <c r="DA67" i="72"/>
  <c r="DB67" i="72"/>
  <c r="DC67" i="72"/>
  <c r="DD67" i="72"/>
  <c r="DE67" i="72"/>
  <c r="DF67" i="72"/>
  <c r="DG67" i="72"/>
  <c r="DH67" i="72"/>
  <c r="DI67" i="72"/>
  <c r="DJ67" i="72"/>
  <c r="DK67" i="72"/>
  <c r="DL67" i="72"/>
  <c r="DM67" i="72"/>
  <c r="DN67" i="72"/>
  <c r="DO67" i="72"/>
  <c r="DP67" i="72"/>
  <c r="DQ67" i="72"/>
  <c r="DR67" i="72"/>
  <c r="DS67" i="72"/>
  <c r="DT67" i="72"/>
  <c r="BH66" i="72"/>
  <c r="BI66" i="72"/>
  <c r="BJ66" i="72"/>
  <c r="BK66" i="72"/>
  <c r="BL66" i="72"/>
  <c r="BM66" i="72"/>
  <c r="BN66" i="72"/>
  <c r="BO66" i="72"/>
  <c r="BP66" i="72"/>
  <c r="BQ66" i="72"/>
  <c r="BR66" i="72"/>
  <c r="BS66" i="72"/>
  <c r="BT66" i="72"/>
  <c r="BU66" i="72"/>
  <c r="BV66" i="72"/>
  <c r="BW66" i="72"/>
  <c r="BX66" i="72"/>
  <c r="BY66" i="72"/>
  <c r="BZ66" i="72"/>
  <c r="CA66" i="72"/>
  <c r="CB66" i="72"/>
  <c r="CC66" i="72"/>
  <c r="CD66" i="72"/>
  <c r="CE66" i="72"/>
  <c r="CF66" i="72"/>
  <c r="CG66" i="72"/>
  <c r="CH66" i="72"/>
  <c r="CI66" i="72"/>
  <c r="CJ66" i="72"/>
  <c r="CK66" i="72"/>
  <c r="CL66" i="72"/>
  <c r="CM66" i="72"/>
  <c r="CN66" i="72"/>
  <c r="CO66" i="72"/>
  <c r="CP66" i="72"/>
  <c r="CQ66" i="72"/>
  <c r="CR66" i="72"/>
  <c r="CS66" i="72"/>
  <c r="CT66" i="72"/>
  <c r="CU66" i="72"/>
  <c r="CV66" i="72"/>
  <c r="CW66" i="72"/>
  <c r="CX66" i="72"/>
  <c r="CY66" i="72"/>
  <c r="CZ66" i="72"/>
  <c r="DA66" i="72"/>
  <c r="DB66" i="72"/>
  <c r="DC66" i="72"/>
  <c r="DD66" i="72"/>
  <c r="DE66" i="72"/>
  <c r="DF66" i="72"/>
  <c r="DG66" i="72"/>
  <c r="DH66" i="72"/>
  <c r="DI66" i="72"/>
  <c r="DJ66" i="72"/>
  <c r="DK66" i="72"/>
  <c r="DL66" i="72"/>
  <c r="DM66" i="72"/>
  <c r="DN66" i="72"/>
  <c r="DO66" i="72"/>
  <c r="DP66" i="72"/>
  <c r="DQ66" i="72"/>
  <c r="DR66" i="72"/>
  <c r="DS66" i="72"/>
  <c r="DT66" i="72"/>
  <c r="AX65" i="72"/>
  <c r="AX68" i="72" s="1"/>
  <c r="BJ69" i="72" s="1"/>
  <c r="BV70" i="72" s="1"/>
  <c r="AY65" i="72"/>
  <c r="AZ65" i="72"/>
  <c r="BA65" i="72"/>
  <c r="BB65" i="72"/>
  <c r="BC65" i="72"/>
  <c r="BD65" i="72"/>
  <c r="BE65" i="72"/>
  <c r="BF65" i="72"/>
  <c r="BG65" i="72"/>
  <c r="BH65" i="72"/>
  <c r="BI65" i="72"/>
  <c r="BJ65" i="72"/>
  <c r="BK65" i="72"/>
  <c r="BL65" i="72"/>
  <c r="BM65" i="72"/>
  <c r="BN65" i="72"/>
  <c r="BO65" i="72"/>
  <c r="BP65" i="72"/>
  <c r="BQ65" i="72"/>
  <c r="BR65" i="72"/>
  <c r="BS65" i="72"/>
  <c r="BT65" i="72"/>
  <c r="BU65" i="72"/>
  <c r="BV65" i="72"/>
  <c r="BW65" i="72"/>
  <c r="BX65" i="72"/>
  <c r="BY65" i="72"/>
  <c r="BZ65" i="72"/>
  <c r="CA65" i="72"/>
  <c r="CB65" i="72"/>
  <c r="CC65" i="72"/>
  <c r="CD65" i="72"/>
  <c r="CE65" i="72"/>
  <c r="CF65" i="72"/>
  <c r="CG65" i="72"/>
  <c r="CH65" i="72"/>
  <c r="CI65" i="72"/>
  <c r="CJ65" i="72"/>
  <c r="CK65" i="72"/>
  <c r="CL65" i="72"/>
  <c r="CM65" i="72"/>
  <c r="CN65" i="72"/>
  <c r="CO65" i="72"/>
  <c r="CP65" i="72"/>
  <c r="CQ65" i="72"/>
  <c r="CR65" i="72"/>
  <c r="CS65" i="72"/>
  <c r="CT65" i="72"/>
  <c r="CU65" i="72"/>
  <c r="CV65" i="72"/>
  <c r="CW65" i="72"/>
  <c r="CX65" i="72"/>
  <c r="CY65" i="72"/>
  <c r="CZ65" i="72"/>
  <c r="DA65" i="72"/>
  <c r="DB65" i="72"/>
  <c r="DC65" i="72"/>
  <c r="DD65" i="72"/>
  <c r="DE65" i="72"/>
  <c r="DF65" i="72"/>
  <c r="DG65" i="72"/>
  <c r="DH65" i="72"/>
  <c r="DI65" i="72"/>
  <c r="DJ65" i="72"/>
  <c r="DK65" i="72"/>
  <c r="DL65" i="72"/>
  <c r="DM65" i="72"/>
  <c r="DN65" i="72"/>
  <c r="DO65" i="72"/>
  <c r="DP65" i="72"/>
  <c r="DQ65" i="72"/>
  <c r="DR65" i="72"/>
  <c r="DS65" i="72"/>
  <c r="DT65" i="72"/>
  <c r="CU35" i="72"/>
  <c r="CV35" i="72"/>
  <c r="BT33" i="72"/>
  <c r="CF34" i="72" s="1"/>
  <c r="CR35" i="72" s="1"/>
  <c r="DD36" i="72" s="1"/>
  <c r="DP37" i="72" s="1"/>
  <c r="BU33" i="72"/>
  <c r="CG34" i="72" s="1"/>
  <c r="CS35" i="72" s="1"/>
  <c r="DE36" i="72" s="1"/>
  <c r="DQ37" i="72" s="1"/>
  <c r="BV33" i="72"/>
  <c r="CH34" i="72" s="1"/>
  <c r="CT35" i="72" s="1"/>
  <c r="DF36" i="72" s="1"/>
  <c r="BW33" i="72"/>
  <c r="BX33" i="72"/>
  <c r="BY33" i="72"/>
  <c r="BZ33" i="72"/>
  <c r="CA33" i="72"/>
  <c r="CB33" i="72"/>
  <c r="BH30" i="72"/>
  <c r="BI30" i="72"/>
  <c r="BJ30" i="72"/>
  <c r="BK30" i="72"/>
  <c r="BL30" i="72"/>
  <c r="BM30" i="72"/>
  <c r="BN30" i="72"/>
  <c r="BO30" i="72"/>
  <c r="BP30" i="72"/>
  <c r="BQ30" i="72"/>
  <c r="BR30" i="72"/>
  <c r="BS30" i="72"/>
  <c r="BT30" i="72"/>
  <c r="BU30" i="72"/>
  <c r="BV30" i="72"/>
  <c r="BW30" i="72"/>
  <c r="BX30" i="72"/>
  <c r="BY30" i="72"/>
  <c r="BZ30" i="72"/>
  <c r="CA30" i="72"/>
  <c r="CB30" i="72"/>
  <c r="CC30" i="72"/>
  <c r="CD30" i="72"/>
  <c r="CE30" i="72"/>
  <c r="CF30" i="72"/>
  <c r="CG30" i="72"/>
  <c r="CH30" i="72"/>
  <c r="CI30" i="72"/>
  <c r="CJ30" i="72"/>
  <c r="CK30" i="72"/>
  <c r="CL30" i="72"/>
  <c r="CM30" i="72"/>
  <c r="CN30" i="72"/>
  <c r="CO30" i="72"/>
  <c r="CP30" i="72"/>
  <c r="CQ30" i="72"/>
  <c r="CR30" i="72"/>
  <c r="CS30" i="72"/>
  <c r="CT30" i="72"/>
  <c r="CU30" i="72"/>
  <c r="CV30" i="72"/>
  <c r="CW30" i="72"/>
  <c r="CX30" i="72"/>
  <c r="CY30" i="72"/>
  <c r="CZ30" i="72"/>
  <c r="DA30" i="72"/>
  <c r="DB30" i="72"/>
  <c r="DC30" i="72"/>
  <c r="DD30" i="72"/>
  <c r="DE30" i="72"/>
  <c r="DF30" i="72"/>
  <c r="DG30" i="72"/>
  <c r="DH30" i="72"/>
  <c r="DI30" i="72"/>
  <c r="DJ30" i="72"/>
  <c r="DK30" i="72"/>
  <c r="DL30" i="72"/>
  <c r="DM30" i="72"/>
  <c r="AW29" i="72"/>
  <c r="AX29" i="72"/>
  <c r="AY29" i="72"/>
  <c r="AZ29" i="72"/>
  <c r="BA29" i="72"/>
  <c r="BB29" i="72"/>
  <c r="BC29" i="72"/>
  <c r="BD29" i="72"/>
  <c r="BD31" i="72" s="1"/>
  <c r="BE29" i="72"/>
  <c r="BF29" i="72"/>
  <c r="BG29" i="72"/>
  <c r="BH29" i="72"/>
  <c r="BI29" i="72"/>
  <c r="BJ29" i="72"/>
  <c r="BK29" i="72"/>
  <c r="BL29" i="72"/>
  <c r="BI28" i="72"/>
  <c r="BJ28" i="72"/>
  <c r="BK28" i="72"/>
  <c r="BL28" i="72"/>
  <c r="BM28" i="72"/>
  <c r="BN28" i="72"/>
  <c r="BO28" i="72"/>
  <c r="BP28" i="72"/>
  <c r="BQ28" i="72"/>
  <c r="BR28" i="72"/>
  <c r="BS28" i="72"/>
  <c r="BT28" i="72"/>
  <c r="BU28" i="72"/>
  <c r="BV28" i="72"/>
  <c r="BW28" i="72"/>
  <c r="BX28" i="72"/>
  <c r="CX17" i="72"/>
  <c r="DJ18" i="72" s="1"/>
  <c r="CY17" i="72"/>
  <c r="DK18" i="72" s="1"/>
  <c r="CZ17" i="72"/>
  <c r="DA17" i="72"/>
  <c r="DB17" i="72"/>
  <c r="DC17" i="72"/>
  <c r="DD17" i="72"/>
  <c r="DE17" i="72"/>
  <c r="DF17" i="72"/>
  <c r="DG17" i="72"/>
  <c r="X44" i="88"/>
  <c r="W44" i="88"/>
  <c r="V44" i="88"/>
  <c r="U44" i="88"/>
  <c r="T44" i="88"/>
  <c r="S44" i="88"/>
  <c r="R44" i="88"/>
  <c r="Q44" i="88"/>
  <c r="P44" i="88"/>
  <c r="O44" i="88"/>
  <c r="N44" i="88"/>
  <c r="M44" i="88"/>
  <c r="L44" i="88"/>
  <c r="K44" i="88"/>
  <c r="J44" i="88"/>
  <c r="I44" i="88"/>
  <c r="H44" i="88"/>
  <c r="G44" i="88"/>
  <c r="F44" i="88"/>
  <c r="E44" i="88"/>
  <c r="D43" i="88"/>
  <c r="E43" i="88" s="1"/>
  <c r="F43" i="88" s="1"/>
  <c r="G43" i="88" s="1"/>
  <c r="H43" i="88" s="1"/>
  <c r="I43" i="88" s="1"/>
  <c r="J43" i="88" s="1"/>
  <c r="K43" i="88" s="1"/>
  <c r="L43" i="88" s="1"/>
  <c r="M43" i="88" s="1"/>
  <c r="N43" i="88" s="1"/>
  <c r="O43" i="88" s="1"/>
  <c r="P43" i="88" s="1"/>
  <c r="Q43" i="88" s="1"/>
  <c r="R43" i="88" s="1"/>
  <c r="S43" i="88" s="1"/>
  <c r="T43" i="88" s="1"/>
  <c r="U43" i="88" s="1"/>
  <c r="V43" i="88" s="1"/>
  <c r="W43" i="88" s="1"/>
  <c r="X43" i="88" s="1"/>
  <c r="X42" i="88"/>
  <c r="W42" i="88"/>
  <c r="V42" i="88"/>
  <c r="U42" i="88"/>
  <c r="T42" i="88"/>
  <c r="S42" i="88"/>
  <c r="R42" i="88"/>
  <c r="Q42" i="88"/>
  <c r="P42" i="88"/>
  <c r="O42" i="88"/>
  <c r="N42" i="88"/>
  <c r="M42" i="88"/>
  <c r="L42" i="88"/>
  <c r="K42" i="88"/>
  <c r="J42" i="88"/>
  <c r="I42" i="88"/>
  <c r="H42" i="88"/>
  <c r="G42" i="88"/>
  <c r="F42" i="88"/>
  <c r="E42" i="88"/>
  <c r="D42" i="88"/>
  <c r="D44" i="88" s="1"/>
  <c r="X33" i="88"/>
  <c r="W33" i="88"/>
  <c r="W35" i="88" s="1"/>
  <c r="V33" i="88"/>
  <c r="U33" i="88"/>
  <c r="T33" i="88"/>
  <c r="S33" i="88"/>
  <c r="S35" i="88" s="1"/>
  <c r="R33" i="88"/>
  <c r="Q33" i="88"/>
  <c r="P33" i="88"/>
  <c r="O33" i="88"/>
  <c r="O35" i="88" s="1"/>
  <c r="N33" i="88"/>
  <c r="M33" i="88"/>
  <c r="L33" i="88"/>
  <c r="K33" i="88"/>
  <c r="K35" i="88" s="1"/>
  <c r="J33" i="88"/>
  <c r="I33" i="88"/>
  <c r="H33" i="88"/>
  <c r="G33" i="88"/>
  <c r="G35" i="88" s="1"/>
  <c r="F33" i="88"/>
  <c r="E33" i="88"/>
  <c r="E35" i="88" s="1"/>
  <c r="X28" i="88"/>
  <c r="W28" i="88"/>
  <c r="V28" i="88"/>
  <c r="U28" i="88"/>
  <c r="T28" i="88"/>
  <c r="S28" i="88"/>
  <c r="R28" i="88"/>
  <c r="Q28" i="88"/>
  <c r="P28" i="88"/>
  <c r="O28" i="88"/>
  <c r="N28" i="88"/>
  <c r="M28" i="88"/>
  <c r="L28" i="88"/>
  <c r="K28" i="88"/>
  <c r="J28" i="88"/>
  <c r="I28" i="88"/>
  <c r="H28" i="88"/>
  <c r="G28" i="88"/>
  <c r="F28" i="88"/>
  <c r="E28" i="88"/>
  <c r="D28" i="88"/>
  <c r="D27" i="88"/>
  <c r="E27" i="88" s="1"/>
  <c r="E20" i="88"/>
  <c r="F20" i="88" s="1"/>
  <c r="G20" i="88" s="1"/>
  <c r="X19" i="88"/>
  <c r="W19" i="88"/>
  <c r="V19" i="88"/>
  <c r="U19" i="88"/>
  <c r="T19" i="88"/>
  <c r="S19" i="88"/>
  <c r="R19" i="88"/>
  <c r="Q19" i="88"/>
  <c r="P19" i="88"/>
  <c r="O19" i="88"/>
  <c r="N19" i="88"/>
  <c r="M19" i="88"/>
  <c r="L19" i="88"/>
  <c r="K19" i="88"/>
  <c r="J19" i="88"/>
  <c r="I19" i="88"/>
  <c r="H19" i="88"/>
  <c r="G19" i="88"/>
  <c r="F19" i="88"/>
  <c r="E19" i="88"/>
  <c r="D19" i="88"/>
  <c r="V35" i="88"/>
  <c r="R35" i="88"/>
  <c r="N35" i="88"/>
  <c r="J35" i="88"/>
  <c r="F35" i="88"/>
  <c r="D18" i="88"/>
  <c r="D16" i="88"/>
  <c r="E16" i="88" s="1"/>
  <c r="F16" i="88" s="1"/>
  <c r="G16" i="88" s="1"/>
  <c r="H16" i="88" s="1"/>
  <c r="I16" i="88" s="1"/>
  <c r="J16" i="88" s="1"/>
  <c r="K16" i="88" s="1"/>
  <c r="L16" i="88" s="1"/>
  <c r="M16" i="88" s="1"/>
  <c r="N16" i="88" s="1"/>
  <c r="O16" i="88" s="1"/>
  <c r="P16" i="88" s="1"/>
  <c r="Q16" i="88" s="1"/>
  <c r="R16" i="88" s="1"/>
  <c r="S16" i="88" s="1"/>
  <c r="T16" i="88" s="1"/>
  <c r="U16" i="88" s="1"/>
  <c r="V16" i="88" s="1"/>
  <c r="W16" i="88" s="1"/>
  <c r="X16" i="88" s="1"/>
  <c r="X44" i="87"/>
  <c r="W44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3" i="87"/>
  <c r="E43" i="87" s="1"/>
  <c r="F43" i="87" s="1"/>
  <c r="G43" i="87" s="1"/>
  <c r="H43" i="87" s="1"/>
  <c r="I43" i="87" s="1"/>
  <c r="J43" i="87" s="1"/>
  <c r="K43" i="87" s="1"/>
  <c r="L43" i="87" s="1"/>
  <c r="M43" i="87" s="1"/>
  <c r="N43" i="87" s="1"/>
  <c r="O43" i="87" s="1"/>
  <c r="P43" i="87" s="1"/>
  <c r="Q43" i="87" s="1"/>
  <c r="R43" i="87" s="1"/>
  <c r="S43" i="87" s="1"/>
  <c r="T43" i="87" s="1"/>
  <c r="U43" i="87" s="1"/>
  <c r="V43" i="87" s="1"/>
  <c r="W43" i="87" s="1"/>
  <c r="X43" i="87" s="1"/>
  <c r="X42" i="87"/>
  <c r="W42" i="87"/>
  <c r="V42" i="87"/>
  <c r="U42" i="87"/>
  <c r="T42" i="87"/>
  <c r="S42" i="87"/>
  <c r="R42" i="87"/>
  <c r="Q42" i="87"/>
  <c r="P42" i="87"/>
  <c r="O42" i="87"/>
  <c r="N42" i="87"/>
  <c r="M42" i="87"/>
  <c r="L42" i="87"/>
  <c r="K42" i="87"/>
  <c r="J42" i="87"/>
  <c r="I42" i="87"/>
  <c r="H42" i="87"/>
  <c r="G42" i="87"/>
  <c r="F42" i="87"/>
  <c r="E42" i="87"/>
  <c r="D42" i="87"/>
  <c r="D44" i="87" s="1"/>
  <c r="X33" i="87"/>
  <c r="W33" i="87"/>
  <c r="V33" i="87"/>
  <c r="U33" i="87"/>
  <c r="U35" i="87" s="1"/>
  <c r="T33" i="87"/>
  <c r="S33" i="87"/>
  <c r="R33" i="87"/>
  <c r="Q33" i="87"/>
  <c r="Q35" i="87" s="1"/>
  <c r="P33" i="87"/>
  <c r="O33" i="87"/>
  <c r="N33" i="87"/>
  <c r="M33" i="87"/>
  <c r="M35" i="87" s="1"/>
  <c r="L33" i="87"/>
  <c r="K33" i="87"/>
  <c r="J33" i="87"/>
  <c r="J35" i="87" s="1"/>
  <c r="I33" i="87"/>
  <c r="H33" i="87"/>
  <c r="G33" i="87"/>
  <c r="F33" i="87"/>
  <c r="E33" i="87"/>
  <c r="E35" i="87" s="1"/>
  <c r="X28" i="87"/>
  <c r="W28" i="87"/>
  <c r="V28" i="87"/>
  <c r="U28" i="87"/>
  <c r="T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D27" i="87"/>
  <c r="E20" i="87"/>
  <c r="F20" i="87" s="1"/>
  <c r="X19" i="87"/>
  <c r="W19" i="87"/>
  <c r="V19" i="87"/>
  <c r="U19" i="87"/>
  <c r="T19" i="87"/>
  <c r="S19" i="87"/>
  <c r="R19" i="87"/>
  <c r="Q19" i="87"/>
  <c r="P19" i="87"/>
  <c r="O19" i="87"/>
  <c r="N19" i="87"/>
  <c r="M19" i="87"/>
  <c r="L19" i="87"/>
  <c r="K19" i="87"/>
  <c r="J19" i="87"/>
  <c r="I19" i="87"/>
  <c r="H19" i="87"/>
  <c r="G19" i="87"/>
  <c r="F19" i="87"/>
  <c r="E19" i="87"/>
  <c r="D19" i="87"/>
  <c r="V35" i="87"/>
  <c r="R35" i="87"/>
  <c r="N35" i="87"/>
  <c r="I35" i="87"/>
  <c r="F35" i="87"/>
  <c r="D18" i="87"/>
  <c r="D16" i="87"/>
  <c r="E16" i="87" s="1"/>
  <c r="F16" i="87" s="1"/>
  <c r="G16" i="87" s="1"/>
  <c r="H16" i="87" s="1"/>
  <c r="I16" i="87" s="1"/>
  <c r="J16" i="87" s="1"/>
  <c r="K16" i="87" s="1"/>
  <c r="L16" i="87" s="1"/>
  <c r="M16" i="87" s="1"/>
  <c r="N16" i="87" s="1"/>
  <c r="O16" i="87" s="1"/>
  <c r="P16" i="87" s="1"/>
  <c r="Q16" i="87" s="1"/>
  <c r="R16" i="87" s="1"/>
  <c r="S16" i="87" s="1"/>
  <c r="T16" i="87" s="1"/>
  <c r="U16" i="87" s="1"/>
  <c r="V16" i="87" s="1"/>
  <c r="W16" i="87" s="1"/>
  <c r="X16" i="87" s="1"/>
  <c r="X44" i="86"/>
  <c r="W44" i="86"/>
  <c r="V44" i="86"/>
  <c r="U44" i="86"/>
  <c r="T44" i="86"/>
  <c r="S44" i="86"/>
  <c r="R44" i="86"/>
  <c r="Q44" i="86"/>
  <c r="P44" i="86"/>
  <c r="O44" i="86"/>
  <c r="N44" i="86"/>
  <c r="M44" i="86"/>
  <c r="L44" i="86"/>
  <c r="K44" i="86"/>
  <c r="J44" i="86"/>
  <c r="I44" i="86"/>
  <c r="H44" i="86"/>
  <c r="G44" i="86"/>
  <c r="F44" i="86"/>
  <c r="E44" i="86"/>
  <c r="D43" i="86"/>
  <c r="E43" i="86" s="1"/>
  <c r="F43" i="86" s="1"/>
  <c r="G43" i="86" s="1"/>
  <c r="H43" i="86" s="1"/>
  <c r="I43" i="86" s="1"/>
  <c r="J43" i="86" s="1"/>
  <c r="K43" i="86" s="1"/>
  <c r="L43" i="86" s="1"/>
  <c r="M43" i="86" s="1"/>
  <c r="N43" i="86" s="1"/>
  <c r="O43" i="86" s="1"/>
  <c r="P43" i="86" s="1"/>
  <c r="Q43" i="86" s="1"/>
  <c r="R43" i="86" s="1"/>
  <c r="S43" i="86" s="1"/>
  <c r="T43" i="86" s="1"/>
  <c r="U43" i="86" s="1"/>
  <c r="V43" i="86" s="1"/>
  <c r="W43" i="86" s="1"/>
  <c r="X43" i="86" s="1"/>
  <c r="X42" i="86"/>
  <c r="W42" i="86"/>
  <c r="V42" i="86"/>
  <c r="U42" i="86"/>
  <c r="T42" i="86"/>
  <c r="S42" i="86"/>
  <c r="R42" i="86"/>
  <c r="Q42" i="86"/>
  <c r="P42" i="86"/>
  <c r="O42" i="86"/>
  <c r="N42" i="86"/>
  <c r="M42" i="86"/>
  <c r="L42" i="86"/>
  <c r="K42" i="86"/>
  <c r="J42" i="86"/>
  <c r="I42" i="86"/>
  <c r="H42" i="86"/>
  <c r="G42" i="86"/>
  <c r="F42" i="86"/>
  <c r="E42" i="86"/>
  <c r="D42" i="86"/>
  <c r="D44" i="86" s="1"/>
  <c r="X33" i="86"/>
  <c r="W33" i="86"/>
  <c r="V33" i="86"/>
  <c r="U33" i="86"/>
  <c r="T33" i="86"/>
  <c r="S33" i="86"/>
  <c r="S35" i="86" s="1"/>
  <c r="R33" i="86"/>
  <c r="Q33" i="86"/>
  <c r="P33" i="86"/>
  <c r="O33" i="86"/>
  <c r="O35" i="86" s="1"/>
  <c r="N33" i="86"/>
  <c r="M33" i="86"/>
  <c r="L33" i="86"/>
  <c r="K33" i="86"/>
  <c r="K35" i="86" s="1"/>
  <c r="J33" i="86"/>
  <c r="I33" i="86"/>
  <c r="H33" i="86"/>
  <c r="G33" i="86"/>
  <c r="G35" i="86" s="1"/>
  <c r="F33" i="86"/>
  <c r="E33" i="86"/>
  <c r="E35" i="86" s="1"/>
  <c r="X28" i="86"/>
  <c r="W28" i="86"/>
  <c r="V28" i="86"/>
  <c r="U28" i="86"/>
  <c r="T28" i="86"/>
  <c r="S28" i="86"/>
  <c r="R28" i="86"/>
  <c r="Q28" i="86"/>
  <c r="P28" i="86"/>
  <c r="O28" i="86"/>
  <c r="N28" i="86"/>
  <c r="M28" i="86"/>
  <c r="L28" i="86"/>
  <c r="K28" i="86"/>
  <c r="J28" i="86"/>
  <c r="I28" i="86"/>
  <c r="H28" i="86"/>
  <c r="G28" i="86"/>
  <c r="F28" i="86"/>
  <c r="E28" i="86"/>
  <c r="D28" i="86"/>
  <c r="D27" i="86"/>
  <c r="E27" i="86" s="1"/>
  <c r="E20" i="86"/>
  <c r="T19" i="86"/>
  <c r="S19" i="86"/>
  <c r="R19" i="86"/>
  <c r="Q19" i="86"/>
  <c r="P19" i="86"/>
  <c r="O19" i="86"/>
  <c r="N19" i="86"/>
  <c r="M19" i="86"/>
  <c r="L19" i="86"/>
  <c r="K19" i="86"/>
  <c r="J19" i="86"/>
  <c r="I19" i="86"/>
  <c r="H19" i="86"/>
  <c r="G19" i="86"/>
  <c r="F19" i="86"/>
  <c r="E19" i="86"/>
  <c r="D19" i="86"/>
  <c r="D18" i="86"/>
  <c r="D16" i="86"/>
  <c r="E16" i="86" s="1"/>
  <c r="F16" i="86" s="1"/>
  <c r="G16" i="86" s="1"/>
  <c r="H16" i="86" s="1"/>
  <c r="I16" i="86" s="1"/>
  <c r="J16" i="86" s="1"/>
  <c r="K16" i="86" s="1"/>
  <c r="L16" i="86" s="1"/>
  <c r="M16" i="86" s="1"/>
  <c r="N16" i="86" s="1"/>
  <c r="O16" i="86" s="1"/>
  <c r="P16" i="86" s="1"/>
  <c r="Q16" i="86" s="1"/>
  <c r="R16" i="86" s="1"/>
  <c r="S16" i="86" s="1"/>
  <c r="T16" i="86" s="1"/>
  <c r="U16" i="86" s="1"/>
  <c r="T15" i="83" l="1"/>
  <c r="V4" i="83"/>
  <c r="T11" i="83"/>
  <c r="T20" i="83"/>
  <c r="T9" i="83"/>
  <c r="T14" i="83"/>
  <c r="T12" i="83"/>
  <c r="T10" i="83"/>
  <c r="D33" i="87"/>
  <c r="D57" i="87"/>
  <c r="D58" i="87" s="1"/>
  <c r="D52" i="87" s="1"/>
  <c r="D33" i="88"/>
  <c r="D57" i="88"/>
  <c r="D58" i="88" s="1"/>
  <c r="D52" i="88" s="1"/>
  <c r="V10" i="83"/>
  <c r="V8" i="83"/>
  <c r="V9" i="83"/>
  <c r="V7" i="83"/>
  <c r="V11" i="83"/>
  <c r="V12" i="83"/>
  <c r="V20" i="83"/>
  <c r="V16" i="83"/>
  <c r="X4" i="83"/>
  <c r="V17" i="83"/>
  <c r="V15" i="83"/>
  <c r="V13" i="83"/>
  <c r="V14" i="83"/>
  <c r="BH31" i="72"/>
  <c r="D33" i="86"/>
  <c r="D57" i="86"/>
  <c r="D58" i="86" s="1"/>
  <c r="D52" i="86" s="1"/>
  <c r="BI31" i="72"/>
  <c r="BE31" i="72"/>
  <c r="BA31" i="72"/>
  <c r="AZ31" i="72"/>
  <c r="BG31" i="72"/>
  <c r="BC31" i="72"/>
  <c r="AY31" i="72"/>
  <c r="BF31" i="72"/>
  <c r="BB31" i="72"/>
  <c r="AX31" i="72"/>
  <c r="G35" i="87"/>
  <c r="K35" i="87"/>
  <c r="O35" i="87"/>
  <c r="S35" i="87"/>
  <c r="W35" i="87"/>
  <c r="F35" i="86"/>
  <c r="J35" i="86"/>
  <c r="N35" i="86"/>
  <c r="R35" i="86"/>
  <c r="I35" i="88"/>
  <c r="M35" i="88"/>
  <c r="Q35" i="88"/>
  <c r="U35" i="88"/>
  <c r="D35" i="88"/>
  <c r="F27" i="88"/>
  <c r="H35" i="88"/>
  <c r="L35" i="88"/>
  <c r="P35" i="88"/>
  <c r="T35" i="88"/>
  <c r="X35" i="88"/>
  <c r="H20" i="88"/>
  <c r="H35" i="87"/>
  <c r="L35" i="87"/>
  <c r="P35" i="87"/>
  <c r="T35" i="87"/>
  <c r="X35" i="87"/>
  <c r="D35" i="87"/>
  <c r="G20" i="87"/>
  <c r="E27" i="87"/>
  <c r="I35" i="86"/>
  <c r="M35" i="86"/>
  <c r="Q35" i="86"/>
  <c r="D35" i="86"/>
  <c r="V16" i="86"/>
  <c r="F27" i="86"/>
  <c r="H35" i="86"/>
  <c r="L35" i="86"/>
  <c r="P35" i="86"/>
  <c r="T35" i="86"/>
  <c r="F20" i="86"/>
  <c r="X8" i="83" l="1"/>
  <c r="X10" i="83"/>
  <c r="X9" i="83"/>
  <c r="X7" i="83"/>
  <c r="X12" i="83"/>
  <c r="X11" i="83"/>
  <c r="X20" i="83"/>
  <c r="Z4" i="83"/>
  <c r="X14" i="83"/>
  <c r="X17" i="83"/>
  <c r="X15" i="83"/>
  <c r="X13" i="83"/>
  <c r="X16" i="83"/>
  <c r="G27" i="88"/>
  <c r="I20" i="88"/>
  <c r="F27" i="87"/>
  <c r="H20" i="87"/>
  <c r="G27" i="86"/>
  <c r="G20" i="86"/>
  <c r="W16" i="86"/>
  <c r="U19" i="86"/>
  <c r="U35" i="86"/>
  <c r="Z8" i="83" l="1"/>
  <c r="Z9" i="83"/>
  <c r="Z10" i="83"/>
  <c r="Z7" i="83"/>
  <c r="Z11" i="83"/>
  <c r="Z12" i="83"/>
  <c r="Z20" i="83"/>
  <c r="Z15" i="83"/>
  <c r="Z17" i="83"/>
  <c r="Z14" i="83"/>
  <c r="Z16" i="83"/>
  <c r="Z13" i="83"/>
  <c r="H27" i="88"/>
  <c r="J20" i="88"/>
  <c r="G27" i="87"/>
  <c r="I20" i="87"/>
  <c r="V19" i="86"/>
  <c r="V35" i="86"/>
  <c r="H20" i="86"/>
  <c r="X16" i="86"/>
  <c r="H27" i="86"/>
  <c r="C14" i="60"/>
  <c r="F18" i="83"/>
  <c r="F19" i="83"/>
  <c r="V18" i="83" l="1"/>
  <c r="T18" i="83"/>
  <c r="Z18" i="83"/>
  <c r="P18" i="83"/>
  <c r="X18" i="83"/>
  <c r="N18" i="83"/>
  <c r="R18" i="83"/>
  <c r="V19" i="83"/>
  <c r="R19" i="83"/>
  <c r="N19" i="83"/>
  <c r="P19" i="83"/>
  <c r="X19" i="83"/>
  <c r="T19" i="83"/>
  <c r="L19" i="83"/>
  <c r="Z19" i="83"/>
  <c r="L18" i="83"/>
  <c r="K20" i="88"/>
  <c r="I27" i="88"/>
  <c r="H27" i="87"/>
  <c r="J20" i="87"/>
  <c r="I20" i="86"/>
  <c r="I27" i="86"/>
  <c r="X19" i="86"/>
  <c r="X35" i="86"/>
  <c r="W35" i="86"/>
  <c r="W19" i="86"/>
  <c r="AM9" i="60" l="1"/>
  <c r="AL9" i="60"/>
  <c r="AK9" i="60"/>
  <c r="BC9" i="60"/>
  <c r="BA9" i="60"/>
  <c r="AZ9" i="60"/>
  <c r="BE9" i="60"/>
  <c r="BJ9" i="60"/>
  <c r="BF9" i="60"/>
  <c r="BH9" i="60"/>
  <c r="BD9" i="60"/>
  <c r="BB9" i="60"/>
  <c r="BG9" i="60"/>
  <c r="BI9" i="60"/>
  <c r="BK9" i="60"/>
  <c r="BM9" i="60"/>
  <c r="BU9" i="60"/>
  <c r="BN9" i="60"/>
  <c r="BT9" i="60"/>
  <c r="BQ9" i="60"/>
  <c r="BR9" i="60"/>
  <c r="BS9" i="60"/>
  <c r="BW9" i="60"/>
  <c r="BO9" i="60"/>
  <c r="BP9" i="60"/>
  <c r="BL9" i="60"/>
  <c r="BV9" i="60"/>
  <c r="AP9" i="60"/>
  <c r="AX9" i="60"/>
  <c r="AT9" i="60"/>
  <c r="AU9" i="60"/>
  <c r="AQ9" i="60"/>
  <c r="AY9" i="60"/>
  <c r="AW9" i="60"/>
  <c r="AO9" i="60"/>
  <c r="AN9" i="60"/>
  <c r="AV9" i="60"/>
  <c r="AS9" i="60"/>
  <c r="AR9" i="60"/>
  <c r="BY9" i="60"/>
  <c r="CF9" i="60"/>
  <c r="BX9" i="60"/>
  <c r="CI9" i="60"/>
  <c r="CA9" i="60"/>
  <c r="CC9" i="60"/>
  <c r="CH9" i="60"/>
  <c r="CB9" i="60"/>
  <c r="CE9" i="60"/>
  <c r="CD9" i="60"/>
  <c r="CG9" i="60"/>
  <c r="BZ9" i="60"/>
  <c r="DL9" i="60"/>
  <c r="DM9" i="60"/>
  <c r="DR9" i="60"/>
  <c r="DN9" i="60"/>
  <c r="DK9" i="60"/>
  <c r="DP9" i="60"/>
  <c r="DQ9" i="60"/>
  <c r="DI9" i="60"/>
  <c r="DO9" i="60"/>
  <c r="DH9" i="60"/>
  <c r="DJ9" i="60"/>
  <c r="DS9" i="60"/>
  <c r="DB9" i="60"/>
  <c r="DA9" i="60"/>
  <c r="CV9" i="60"/>
  <c r="DC9" i="60"/>
  <c r="DF9" i="60"/>
  <c r="DE9" i="60"/>
  <c r="DG9" i="60"/>
  <c r="CX9" i="60"/>
  <c r="CW9" i="60"/>
  <c r="DD9" i="60"/>
  <c r="CZ9" i="60"/>
  <c r="CY9" i="60"/>
  <c r="CL9" i="60"/>
  <c r="CT9" i="60"/>
  <c r="CM9" i="60"/>
  <c r="CU9" i="60"/>
  <c r="CP9" i="60"/>
  <c r="CQ9" i="60"/>
  <c r="CS9" i="60"/>
  <c r="CJ9" i="60"/>
  <c r="CR9" i="60"/>
  <c r="CO9" i="60"/>
  <c r="CK9" i="60"/>
  <c r="CN9" i="60"/>
  <c r="J27" i="88"/>
  <c r="L20" i="88"/>
  <c r="I27" i="87"/>
  <c r="K20" i="87"/>
  <c r="J27" i="86"/>
  <c r="J20" i="86"/>
  <c r="K27" i="88" l="1"/>
  <c r="M20" i="88"/>
  <c r="L20" i="87"/>
  <c r="J27" i="87"/>
  <c r="K27" i="86"/>
  <c r="K20" i="86"/>
  <c r="L27" i="88" l="1"/>
  <c r="N20" i="88"/>
  <c r="K27" i="87"/>
  <c r="M20" i="87"/>
  <c r="L27" i="86"/>
  <c r="L20" i="86"/>
  <c r="G32" i="83"/>
  <c r="G33" i="83"/>
  <c r="G34" i="83"/>
  <c r="G35" i="83"/>
  <c r="G36" i="83"/>
  <c r="G31" i="83"/>
  <c r="G41" i="83"/>
  <c r="G42" i="83"/>
  <c r="G43" i="83"/>
  <c r="G44" i="83"/>
  <c r="G45" i="83"/>
  <c r="G40" i="83"/>
  <c r="C19" i="80"/>
  <c r="L14" i="83"/>
  <c r="L17" i="83"/>
  <c r="J17" i="83"/>
  <c r="H14" i="83"/>
  <c r="H17" i="83"/>
  <c r="F6" i="83"/>
  <c r="F5" i="83"/>
  <c r="V5" i="83" s="1"/>
  <c r="X6" i="83" l="1"/>
  <c r="V6" i="83"/>
  <c r="V24" i="83" s="1"/>
  <c r="J6" i="83"/>
  <c r="Z6" i="83"/>
  <c r="P6" i="83"/>
  <c r="N6" i="83"/>
  <c r="T6" i="83"/>
  <c r="R6" i="83"/>
  <c r="M27" i="88"/>
  <c r="O20" i="88"/>
  <c r="N20" i="87"/>
  <c r="L27" i="87"/>
  <c r="M27" i="86"/>
  <c r="M20" i="86"/>
  <c r="H5" i="83"/>
  <c r="H6" i="83"/>
  <c r="L6" i="83"/>
  <c r="P5" i="83"/>
  <c r="T5" i="83"/>
  <c r="Z5" i="83"/>
  <c r="R5" i="83"/>
  <c r="X5" i="83"/>
  <c r="X24" i="83" s="1"/>
  <c r="L5" i="83"/>
  <c r="L24" i="83" s="1"/>
  <c r="J5" i="83"/>
  <c r="N5" i="83"/>
  <c r="P24" i="83" l="1"/>
  <c r="H22" i="83"/>
  <c r="T22" i="83"/>
  <c r="T24" i="83"/>
  <c r="N35" i="60"/>
  <c r="J24" i="83"/>
  <c r="Z22" i="83"/>
  <c r="Z24" i="83"/>
  <c r="N24" i="83"/>
  <c r="R24" i="83"/>
  <c r="J22" i="83"/>
  <c r="N22" i="83"/>
  <c r="R22" i="83"/>
  <c r="AE35" i="60"/>
  <c r="AI35" i="60"/>
  <c r="AM35" i="60"/>
  <c r="AL35" i="60"/>
  <c r="AF35" i="60"/>
  <c r="AJ35" i="60"/>
  <c r="AD35" i="60"/>
  <c r="AC35" i="60"/>
  <c r="AG35" i="60"/>
  <c r="AK35" i="60"/>
  <c r="AH35" i="60"/>
  <c r="AQ35" i="60"/>
  <c r="AU35" i="60"/>
  <c r="AY35" i="60"/>
  <c r="AX35" i="60"/>
  <c r="AR35" i="60"/>
  <c r="AV35" i="60"/>
  <c r="AN35" i="60"/>
  <c r="AP35" i="60"/>
  <c r="AO35" i="60"/>
  <c r="AS35" i="60"/>
  <c r="AW35" i="60"/>
  <c r="AT35" i="60"/>
  <c r="CM35" i="60"/>
  <c r="CQ35" i="60"/>
  <c r="CU35" i="60"/>
  <c r="CL35" i="60"/>
  <c r="CN35" i="60"/>
  <c r="CR35" i="60"/>
  <c r="CJ35" i="60"/>
  <c r="CT35" i="60"/>
  <c r="CK35" i="60"/>
  <c r="CO35" i="60"/>
  <c r="CS35" i="60"/>
  <c r="CP35" i="60"/>
  <c r="V22" i="83"/>
  <c r="BC35" i="60"/>
  <c r="BG35" i="60"/>
  <c r="BK35" i="60"/>
  <c r="BJ35" i="60"/>
  <c r="BD35" i="60"/>
  <c r="BH35" i="60"/>
  <c r="AZ35" i="60"/>
  <c r="BB35" i="60"/>
  <c r="BA35" i="60"/>
  <c r="BE35" i="60"/>
  <c r="BI35" i="60"/>
  <c r="BF35" i="60"/>
  <c r="CY35" i="60"/>
  <c r="DC35" i="60"/>
  <c r="DG35" i="60"/>
  <c r="CX35" i="60"/>
  <c r="CZ35" i="60"/>
  <c r="DD35" i="60"/>
  <c r="CV35" i="60"/>
  <c r="DB35" i="60"/>
  <c r="CW35" i="60"/>
  <c r="DA35" i="60"/>
  <c r="DE35" i="60"/>
  <c r="DF35" i="60"/>
  <c r="BO35" i="60"/>
  <c r="BS35" i="60"/>
  <c r="BW35" i="60"/>
  <c r="BV35" i="60"/>
  <c r="BP35" i="60"/>
  <c r="BT35" i="60"/>
  <c r="BL35" i="60"/>
  <c r="BN35" i="60"/>
  <c r="BM35" i="60"/>
  <c r="BQ35" i="60"/>
  <c r="BU35" i="60"/>
  <c r="BR35" i="60"/>
  <c r="DK35" i="60"/>
  <c r="DO35" i="60"/>
  <c r="DS35" i="60"/>
  <c r="DJ35" i="60"/>
  <c r="DL35" i="60"/>
  <c r="DP35" i="60"/>
  <c r="DH35" i="60"/>
  <c r="DI35" i="60"/>
  <c r="DM35" i="60"/>
  <c r="DQ35" i="60"/>
  <c r="DN35" i="60"/>
  <c r="DR35" i="60"/>
  <c r="X22" i="83"/>
  <c r="P22" i="83"/>
  <c r="CA35" i="60"/>
  <c r="CE35" i="60"/>
  <c r="CI35" i="60"/>
  <c r="BZ35" i="60"/>
  <c r="CH35" i="60"/>
  <c r="CB35" i="60"/>
  <c r="CF35" i="60"/>
  <c r="BX35" i="60"/>
  <c r="BY35" i="60"/>
  <c r="CC35" i="60"/>
  <c r="CG35" i="60"/>
  <c r="CD35" i="60"/>
  <c r="AB35" i="60"/>
  <c r="R35" i="60"/>
  <c r="O35" i="60"/>
  <c r="S35" i="60"/>
  <c r="W35" i="60"/>
  <c r="AA35" i="60"/>
  <c r="U35" i="60"/>
  <c r="V35" i="60"/>
  <c r="P35" i="60"/>
  <c r="T35" i="60"/>
  <c r="X35" i="60"/>
  <c r="Q35" i="60"/>
  <c r="Y35" i="60"/>
  <c r="Z35" i="60"/>
  <c r="L22" i="83"/>
  <c r="P20" i="88"/>
  <c r="N27" i="88"/>
  <c r="O20" i="87"/>
  <c r="M27" i="87"/>
  <c r="N20" i="86"/>
  <c r="N27" i="86"/>
  <c r="E4" i="80"/>
  <c r="O6" i="72" s="1"/>
  <c r="O26" i="72" l="1"/>
  <c r="P6" i="72"/>
  <c r="O27" i="88"/>
  <c r="Q20" i="88"/>
  <c r="N27" i="87"/>
  <c r="P20" i="87"/>
  <c r="O27" i="86"/>
  <c r="O20" i="86"/>
  <c r="J19" i="80"/>
  <c r="J13" i="80"/>
  <c r="P26" i="72" l="1"/>
  <c r="Q6" i="72"/>
  <c r="R6" i="72" s="1"/>
  <c r="S6" i="72" s="1"/>
  <c r="T6" i="72" s="1"/>
  <c r="U6" i="72" s="1"/>
  <c r="V6" i="72" s="1"/>
  <c r="W6" i="72" s="1"/>
  <c r="X6" i="72" s="1"/>
  <c r="Y6" i="72" s="1"/>
  <c r="Z6" i="72" s="1"/>
  <c r="AA6" i="72" s="1"/>
  <c r="AB6" i="72" s="1"/>
  <c r="AC6" i="72" s="1"/>
  <c r="AD6" i="72" s="1"/>
  <c r="AE6" i="72" s="1"/>
  <c r="AF6" i="72" s="1"/>
  <c r="AG6" i="72" s="1"/>
  <c r="AH6" i="72" s="1"/>
  <c r="AI6" i="72" s="1"/>
  <c r="AJ6" i="72" s="1"/>
  <c r="AK6" i="72" s="1"/>
  <c r="AL6" i="72" s="1"/>
  <c r="AM6" i="72" s="1"/>
  <c r="AN6" i="72" s="1"/>
  <c r="AO6" i="72" s="1"/>
  <c r="AP6" i="72" s="1"/>
  <c r="AQ6" i="72" s="1"/>
  <c r="AR6" i="72" s="1"/>
  <c r="AS6" i="72" s="1"/>
  <c r="AT6" i="72" s="1"/>
  <c r="AU6" i="72" s="1"/>
  <c r="AV6" i="72" s="1"/>
  <c r="AW6" i="72" s="1"/>
  <c r="AX6" i="72" s="1"/>
  <c r="AY6" i="72" s="1"/>
  <c r="AZ6" i="72" s="1"/>
  <c r="BA6" i="72" s="1"/>
  <c r="BB6" i="72" s="1"/>
  <c r="BC6" i="72" s="1"/>
  <c r="BD6" i="72" s="1"/>
  <c r="BE6" i="72" s="1"/>
  <c r="BF6" i="72" s="1"/>
  <c r="BG6" i="72" s="1"/>
  <c r="BH6" i="72" s="1"/>
  <c r="BI6" i="72" s="1"/>
  <c r="BJ6" i="72" s="1"/>
  <c r="BK6" i="72" s="1"/>
  <c r="BL6" i="72" s="1"/>
  <c r="BM6" i="72" s="1"/>
  <c r="BN6" i="72" s="1"/>
  <c r="BO6" i="72" s="1"/>
  <c r="BP6" i="72" s="1"/>
  <c r="BQ6" i="72" s="1"/>
  <c r="BR6" i="72" s="1"/>
  <c r="BS6" i="72" s="1"/>
  <c r="BT6" i="72" s="1"/>
  <c r="BU6" i="72" s="1"/>
  <c r="BV6" i="72" s="1"/>
  <c r="BW6" i="72" s="1"/>
  <c r="BX6" i="72" s="1"/>
  <c r="BY6" i="72" s="1"/>
  <c r="BZ6" i="72" s="1"/>
  <c r="CA6" i="72" s="1"/>
  <c r="CB6" i="72" s="1"/>
  <c r="CC6" i="72" s="1"/>
  <c r="CD6" i="72" s="1"/>
  <c r="CE6" i="72" s="1"/>
  <c r="CF6" i="72" s="1"/>
  <c r="CG6" i="72" s="1"/>
  <c r="CH6" i="72" s="1"/>
  <c r="CI6" i="72" s="1"/>
  <c r="CJ6" i="72" s="1"/>
  <c r="CK6" i="72" s="1"/>
  <c r="CL6" i="72" s="1"/>
  <c r="CM6" i="72" s="1"/>
  <c r="CN6" i="72" s="1"/>
  <c r="CO6" i="72" s="1"/>
  <c r="CP6" i="72" s="1"/>
  <c r="CQ6" i="72" s="1"/>
  <c r="CR6" i="72" s="1"/>
  <c r="CS6" i="72" s="1"/>
  <c r="CT6" i="72" s="1"/>
  <c r="CU6" i="72" s="1"/>
  <c r="CV6" i="72" s="1"/>
  <c r="CW6" i="72" s="1"/>
  <c r="CX6" i="72" s="1"/>
  <c r="CY6" i="72" s="1"/>
  <c r="CZ6" i="72" s="1"/>
  <c r="DA6" i="72" s="1"/>
  <c r="DB6" i="72" s="1"/>
  <c r="DC6" i="72" s="1"/>
  <c r="DD6" i="72" s="1"/>
  <c r="DE6" i="72" s="1"/>
  <c r="DF6" i="72" s="1"/>
  <c r="DG6" i="72" s="1"/>
  <c r="DH6" i="72" s="1"/>
  <c r="DI6" i="72" s="1"/>
  <c r="DJ6" i="72" s="1"/>
  <c r="DK6" i="72" s="1"/>
  <c r="DL6" i="72" s="1"/>
  <c r="DM6" i="72" s="1"/>
  <c r="DN6" i="72" s="1"/>
  <c r="DO6" i="72" s="1"/>
  <c r="DP6" i="72" s="1"/>
  <c r="DQ6" i="72" s="1"/>
  <c r="DR6" i="72" s="1"/>
  <c r="DS6" i="72" s="1"/>
  <c r="DT6" i="72" s="1"/>
  <c r="P27" i="88"/>
  <c r="R20" i="88"/>
  <c r="Q20" i="87"/>
  <c r="O27" i="87"/>
  <c r="P27" i="86"/>
  <c r="P20" i="86"/>
  <c r="L2" i="80"/>
  <c r="O2" i="80" s="1"/>
  <c r="S20" i="88" l="1"/>
  <c r="Q27" i="88"/>
  <c r="P27" i="87"/>
  <c r="R20" i="87"/>
  <c r="Q20" i="86"/>
  <c r="Q27" i="86"/>
  <c r="Q2" i="80"/>
  <c r="M2" i="80"/>
  <c r="P2" i="80" s="1"/>
  <c r="R2" i="80" s="1"/>
  <c r="R27" i="88" l="1"/>
  <c r="T20" i="88"/>
  <c r="Q27" i="87"/>
  <c r="S20" i="87"/>
  <c r="R20" i="86"/>
  <c r="R27" i="86"/>
  <c r="K14" i="69"/>
  <c r="K13" i="69"/>
  <c r="U20" i="88" l="1"/>
  <c r="S27" i="88"/>
  <c r="T20" i="87"/>
  <c r="R27" i="87"/>
  <c r="S27" i="86"/>
  <c r="S20" i="86"/>
  <c r="V20" i="88" l="1"/>
  <c r="W20" i="88" s="1"/>
  <c r="X20" i="88" s="1"/>
  <c r="Y20" i="88" s="1"/>
  <c r="Z20" i="88" s="1"/>
  <c r="AA20" i="88" s="1"/>
  <c r="AB20" i="88" s="1"/>
  <c r="AC20" i="88" s="1"/>
  <c r="T27" i="88"/>
  <c r="S27" i="87"/>
  <c r="U20" i="87"/>
  <c r="T27" i="86"/>
  <c r="T20" i="86"/>
  <c r="U27" i="88" l="1"/>
  <c r="T27" i="87"/>
  <c r="V20" i="87"/>
  <c r="W20" i="87" s="1"/>
  <c r="X20" i="87" s="1"/>
  <c r="Y20" i="87" s="1"/>
  <c r="Z20" i="87" s="1"/>
  <c r="AA20" i="87" s="1"/>
  <c r="AB20" i="87" s="1"/>
  <c r="AC20" i="87" s="1"/>
  <c r="U20" i="86"/>
  <c r="U27" i="86"/>
  <c r="V27" i="88" l="1"/>
  <c r="U27" i="87"/>
  <c r="V20" i="86"/>
  <c r="W20" i="86" s="1"/>
  <c r="X20" i="86" s="1"/>
  <c r="Y20" i="86" s="1"/>
  <c r="Z20" i="86" s="1"/>
  <c r="AA20" i="86" s="1"/>
  <c r="AB20" i="86" s="1"/>
  <c r="AC20" i="86" s="1"/>
  <c r="V27" i="86"/>
  <c r="W27" i="88" l="1"/>
  <c r="V27" i="87"/>
  <c r="W27" i="86"/>
  <c r="X27" i="88" l="1"/>
  <c r="W27" i="87"/>
  <c r="X27" i="86"/>
  <c r="S4" i="77"/>
  <c r="Q6" i="74" s="1"/>
  <c r="E22" i="82"/>
  <c r="F22" i="82"/>
  <c r="G22" i="82"/>
  <c r="H22" i="82"/>
  <c r="I22" i="82"/>
  <c r="J22" i="82"/>
  <c r="K22" i="82"/>
  <c r="L22" i="82"/>
  <c r="M22" i="82"/>
  <c r="N22" i="82"/>
  <c r="Q6" i="88" l="1"/>
  <c r="Q6" i="87"/>
  <c r="Q6" i="86"/>
  <c r="X27" i="87"/>
  <c r="N78" i="72"/>
  <c r="M78" i="72"/>
  <c r="L78" i="72"/>
  <c r="K78" i="72"/>
  <c r="DK54" i="72"/>
  <c r="DL54" i="72"/>
  <c r="DM54" i="72"/>
  <c r="CY53" i="72"/>
  <c r="CZ53" i="72"/>
  <c r="DA53" i="72"/>
  <c r="DB53" i="72"/>
  <c r="DC53" i="72"/>
  <c r="DD53" i="72"/>
  <c r="CM52" i="72"/>
  <c r="CN52" i="72"/>
  <c r="CO52" i="72"/>
  <c r="CP52" i="72"/>
  <c r="CQ52" i="72"/>
  <c r="CR52" i="72"/>
  <c r="CA51" i="72"/>
  <c r="CB51" i="72"/>
  <c r="CC51" i="72"/>
  <c r="CD51" i="72"/>
  <c r="CE51" i="72"/>
  <c r="CF51" i="72"/>
  <c r="CG51" i="72"/>
  <c r="BO50" i="72"/>
  <c r="BP50" i="72"/>
  <c r="BQ50" i="72"/>
  <c r="BJ31" i="72"/>
  <c r="BK31" i="72"/>
  <c r="BL31" i="72"/>
  <c r="BA26" i="72" l="1"/>
  <c r="CK26" i="72"/>
  <c r="Q26" i="72"/>
  <c r="BO14" i="72"/>
  <c r="BB13" i="72"/>
  <c r="BN14" i="72" s="1"/>
  <c r="S26" i="72" l="1"/>
  <c r="R26" i="72"/>
  <c r="T26" i="72" l="1"/>
  <c r="U26" i="72"/>
  <c r="V26" i="72"/>
  <c r="W26" i="72" l="1"/>
  <c r="X26" i="72"/>
  <c r="Y26" i="72" l="1"/>
  <c r="Z26" i="72" l="1"/>
  <c r="AA26" i="72" l="1"/>
  <c r="AB26" i="72" l="1"/>
  <c r="AC26" i="72" l="1"/>
  <c r="AD26" i="72"/>
  <c r="AE26" i="72" l="1"/>
  <c r="AF26" i="72"/>
  <c r="AG26" i="72" l="1"/>
  <c r="AH26" i="72" l="1"/>
  <c r="AI26" i="72" l="1"/>
  <c r="AJ26" i="72"/>
  <c r="AK26" i="72" l="1"/>
  <c r="AL26" i="72" l="1"/>
  <c r="AM26" i="72" l="1"/>
  <c r="AN26" i="72" l="1"/>
  <c r="AO26" i="72" l="1"/>
  <c r="AP26" i="72" l="1"/>
  <c r="AQ26" i="72" l="1"/>
  <c r="AR26" i="72" l="1"/>
  <c r="AS26" i="72" l="1"/>
  <c r="AT26" i="72" l="1"/>
  <c r="AU26" i="72" l="1"/>
  <c r="AV26" i="72" l="1"/>
  <c r="AW26" i="72" l="1"/>
  <c r="AX26" i="72" l="1"/>
  <c r="AY26" i="72" l="1"/>
  <c r="F4" i="80" l="1"/>
  <c r="I4" i="80" s="1"/>
  <c r="K4" i="80" s="1"/>
  <c r="AZ26" i="72"/>
  <c r="BB26" i="72"/>
  <c r="B23" i="80" l="1"/>
  <c r="D19" i="96" s="1"/>
  <c r="BC26" i="72"/>
  <c r="BD26" i="72"/>
  <c r="D22" i="96" l="1"/>
  <c r="F22" i="96" s="1"/>
  <c r="D24" i="96"/>
  <c r="F24" i="96" s="1"/>
  <c r="D21" i="96"/>
  <c r="F21" i="96" s="1"/>
  <c r="D20" i="96"/>
  <c r="F20" i="96" s="1"/>
  <c r="F19" i="96"/>
  <c r="D26" i="96"/>
  <c r="F26" i="96" s="1"/>
  <c r="D23" i="96"/>
  <c r="F23" i="96" s="1"/>
  <c r="D23" i="80"/>
  <c r="BE26" i="72"/>
  <c r="BF26" i="72"/>
  <c r="E23" i="80" l="1"/>
  <c r="G23" i="80"/>
  <c r="BG26" i="72"/>
  <c r="BH26" i="72"/>
  <c r="H23" i="80" l="1"/>
  <c r="BI26" i="72"/>
  <c r="BJ26" i="72"/>
  <c r="BK26" i="72" l="1"/>
  <c r="BL26" i="72"/>
  <c r="BM26" i="72" l="1"/>
  <c r="BN26" i="72" l="1"/>
  <c r="BO26" i="72" l="1"/>
  <c r="BP26" i="72" l="1"/>
  <c r="BQ26" i="72" l="1"/>
  <c r="BR26" i="72" l="1"/>
  <c r="BS26" i="72" l="1"/>
  <c r="BT26" i="72" l="1"/>
  <c r="BU26" i="72" l="1"/>
  <c r="BV26" i="72" l="1"/>
  <c r="BW26" i="72" l="1"/>
  <c r="BX26" i="72" l="1"/>
  <c r="BY26" i="72" l="1"/>
  <c r="BZ26" i="72" l="1"/>
  <c r="CA26" i="72" l="1"/>
  <c r="CB26" i="72" l="1"/>
  <c r="CC26" i="72" l="1"/>
  <c r="CD26" i="72" l="1"/>
  <c r="CE26" i="72" l="1"/>
  <c r="CF26" i="72" l="1"/>
  <c r="CG26" i="72" l="1"/>
  <c r="CH26" i="72" l="1"/>
  <c r="CI26" i="72" l="1"/>
  <c r="CJ26" i="72" l="1"/>
  <c r="CL26" i="72" l="1"/>
  <c r="CM26" i="72" l="1"/>
  <c r="CN26" i="72" l="1"/>
  <c r="CO26" i="72" l="1"/>
  <c r="CP26" i="72" l="1"/>
  <c r="CQ26" i="72" l="1"/>
  <c r="CR26" i="72" l="1"/>
  <c r="CS26" i="72" l="1"/>
  <c r="CT26" i="72" l="1"/>
  <c r="CU26" i="72" l="1"/>
  <c r="CV26" i="72" l="1"/>
  <c r="CW26" i="72" l="1"/>
  <c r="CX26" i="72" l="1"/>
  <c r="CY26" i="72" l="1"/>
  <c r="CZ26" i="72" l="1"/>
  <c r="DA26" i="72" l="1"/>
  <c r="DB26" i="72" l="1"/>
  <c r="DC26" i="72" l="1"/>
  <c r="DD26" i="72" l="1"/>
  <c r="DE26" i="72" l="1"/>
  <c r="DF26" i="72" l="1"/>
  <c r="DG26" i="72" l="1"/>
  <c r="DH26" i="72" l="1"/>
  <c r="DI26" i="72" l="1"/>
  <c r="DJ26" i="72" l="1"/>
  <c r="DK26" i="72" l="1"/>
  <c r="DL26" i="72" l="1"/>
  <c r="DM26" i="72" l="1"/>
  <c r="DN26" i="72" l="1"/>
  <c r="DO26" i="72" l="1"/>
  <c r="DP26" i="72" l="1"/>
  <c r="DQ26" i="72" l="1"/>
  <c r="DR26" i="72" l="1"/>
  <c r="DS26" i="72" l="1"/>
  <c r="DT26" i="72" l="1"/>
  <c r="C47" i="82"/>
  <c r="G7" i="20" l="1"/>
  <c r="H7" i="20"/>
  <c r="I7" i="20"/>
  <c r="J7" i="20"/>
  <c r="K7" i="20"/>
  <c r="L7" i="20"/>
  <c r="M7" i="20"/>
  <c r="F9" i="62"/>
  <c r="F8" i="62"/>
  <c r="F7" i="62"/>
  <c r="F6" i="62"/>
  <c r="F6" i="82"/>
  <c r="Q5" i="47"/>
  <c r="P5" i="47"/>
  <c r="O5" i="47"/>
  <c r="N5" i="47"/>
  <c r="M5" i="47"/>
  <c r="L5" i="47"/>
  <c r="K5" i="47"/>
  <c r="J5" i="47"/>
  <c r="I5" i="47"/>
  <c r="H5" i="47"/>
  <c r="G5" i="47"/>
  <c r="F5" i="47"/>
  <c r="P6" i="13"/>
  <c r="P21" i="13" s="1"/>
  <c r="O6" i="13"/>
  <c r="O21" i="13" s="1"/>
  <c r="N6" i="13"/>
  <c r="N21" i="13" s="1"/>
  <c r="M6" i="13"/>
  <c r="M21" i="13" s="1"/>
  <c r="L6" i="13"/>
  <c r="L21" i="13" s="1"/>
  <c r="K6" i="13"/>
  <c r="K21" i="13" s="1"/>
  <c r="J6" i="13"/>
  <c r="J21" i="13" s="1"/>
  <c r="I6" i="13"/>
  <c r="I21" i="13" s="1"/>
  <c r="H6" i="13"/>
  <c r="H21" i="13" s="1"/>
  <c r="G6" i="13"/>
  <c r="G21" i="13" s="1"/>
  <c r="F6" i="13"/>
  <c r="F21" i="13" s="1"/>
  <c r="E6" i="13"/>
  <c r="E21" i="13" s="1"/>
  <c r="DR4" i="24"/>
  <c r="DQ4" i="24"/>
  <c r="DP4" i="24"/>
  <c r="DO4" i="24"/>
  <c r="DN4" i="24"/>
  <c r="DM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Y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Q4" i="24"/>
  <c r="BP4" i="24"/>
  <c r="BO4" i="24"/>
  <c r="BN4" i="24"/>
  <c r="BM4" i="24"/>
  <c r="BL4" i="24"/>
  <c r="BK4" i="24"/>
  <c r="BJ4" i="24"/>
  <c r="BI4" i="24"/>
  <c r="BH4" i="24"/>
  <c r="BG4" i="24"/>
  <c r="BF4" i="24"/>
  <c r="BE4" i="24"/>
  <c r="BD4" i="24"/>
  <c r="BC4" i="24"/>
  <c r="BB4" i="24"/>
  <c r="BA4" i="24"/>
  <c r="AZ4" i="24"/>
  <c r="AY4" i="24"/>
  <c r="AX4" i="24"/>
  <c r="AW4" i="24"/>
  <c r="AV4" i="24"/>
  <c r="AU4" i="24"/>
  <c r="AT4" i="24"/>
  <c r="AS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DH4" i="58"/>
  <c r="DI4" i="58"/>
  <c r="DJ4" i="58"/>
  <c r="DK4" i="58"/>
  <c r="DL4" i="58"/>
  <c r="DM4" i="58"/>
  <c r="DN4" i="58"/>
  <c r="DO4" i="58"/>
  <c r="DP4" i="58"/>
  <c r="DQ4" i="58"/>
  <c r="DR4" i="58"/>
  <c r="DG4" i="58"/>
  <c r="CV4" i="58"/>
  <c r="CW4" i="58"/>
  <c r="CX4" i="58"/>
  <c r="CY4" i="58"/>
  <c r="CZ4" i="58"/>
  <c r="DA4" i="58"/>
  <c r="DB4" i="58"/>
  <c r="DC4" i="58"/>
  <c r="DD4" i="58"/>
  <c r="DE4" i="58"/>
  <c r="DF4" i="58"/>
  <c r="CU4" i="58"/>
  <c r="CJ4" i="58"/>
  <c r="CK4" i="58"/>
  <c r="CL4" i="58"/>
  <c r="CM4" i="58"/>
  <c r="CN4" i="58"/>
  <c r="CO4" i="58"/>
  <c r="CP4" i="58"/>
  <c r="CQ4" i="58"/>
  <c r="CR4" i="58"/>
  <c r="CS4" i="58"/>
  <c r="CT4" i="58"/>
  <c r="CI4" i="58"/>
  <c r="BX4" i="58"/>
  <c r="BY4" i="58"/>
  <c r="BZ4" i="58"/>
  <c r="CA4" i="58"/>
  <c r="CB4" i="58"/>
  <c r="CC4" i="58"/>
  <c r="CD4" i="58"/>
  <c r="CE4" i="58"/>
  <c r="CF4" i="58"/>
  <c r="CG4" i="58"/>
  <c r="CH4" i="58"/>
  <c r="BW4" i="58"/>
  <c r="BL4" i="58"/>
  <c r="BM4" i="58"/>
  <c r="BN4" i="58"/>
  <c r="BO4" i="58"/>
  <c r="BP4" i="58"/>
  <c r="BQ4" i="58"/>
  <c r="BR4" i="58"/>
  <c r="BS4" i="58"/>
  <c r="BT4" i="58"/>
  <c r="BU4" i="58"/>
  <c r="BV4" i="58"/>
  <c r="BK4" i="58"/>
  <c r="AZ4" i="58"/>
  <c r="BA4" i="58"/>
  <c r="BB4" i="58"/>
  <c r="BC4" i="58"/>
  <c r="BD4" i="58"/>
  <c r="BE4" i="58"/>
  <c r="BF4" i="58"/>
  <c r="BG4" i="58"/>
  <c r="BH4" i="58"/>
  <c r="BI4" i="58"/>
  <c r="BJ4" i="58"/>
  <c r="AY4" i="58"/>
  <c r="AM4" i="58"/>
  <c r="AN4" i="58"/>
  <c r="AO4" i="58"/>
  <c r="AP4" i="58"/>
  <c r="AQ4" i="58"/>
  <c r="AR4" i="58"/>
  <c r="AS4" i="58"/>
  <c r="AT4" i="58"/>
  <c r="AU4" i="58"/>
  <c r="AV4" i="58"/>
  <c r="AW4" i="58"/>
  <c r="AX4" i="58"/>
  <c r="AB4" i="58"/>
  <c r="AC4" i="58"/>
  <c r="AD4" i="58"/>
  <c r="AE4" i="58"/>
  <c r="AF4" i="58"/>
  <c r="AG4" i="58"/>
  <c r="AH4" i="58"/>
  <c r="AI4" i="58"/>
  <c r="AJ4" i="58"/>
  <c r="AK4" i="58"/>
  <c r="AL4" i="58"/>
  <c r="AA4" i="58"/>
  <c r="P4" i="58"/>
  <c r="Q4" i="58"/>
  <c r="R4" i="58"/>
  <c r="S4" i="58"/>
  <c r="T4" i="58"/>
  <c r="U4" i="58"/>
  <c r="V4" i="58"/>
  <c r="W4" i="58"/>
  <c r="X4" i="58"/>
  <c r="Y4" i="58"/>
  <c r="Z4" i="58"/>
  <c r="O4" i="58"/>
  <c r="D4" i="58"/>
  <c r="E4" i="58"/>
  <c r="F4" i="58"/>
  <c r="G4" i="58"/>
  <c r="H4" i="58"/>
  <c r="I4" i="58"/>
  <c r="J4" i="58"/>
  <c r="K4" i="58"/>
  <c r="L4" i="58"/>
  <c r="M4" i="58"/>
  <c r="N4" i="58"/>
  <c r="C4" i="58"/>
  <c r="O6" i="18"/>
  <c r="N6" i="18"/>
  <c r="M6" i="18"/>
  <c r="L6" i="18"/>
  <c r="K6" i="18"/>
  <c r="J6" i="18"/>
  <c r="I6" i="18"/>
  <c r="H6" i="18"/>
  <c r="G6" i="18"/>
  <c r="F6" i="18"/>
  <c r="E6" i="18"/>
  <c r="D6" i="18"/>
  <c r="O5" i="60"/>
  <c r="O38" i="60" s="1"/>
  <c r="N5" i="60"/>
  <c r="M5" i="60"/>
  <c r="L5" i="60"/>
  <c r="K5" i="60"/>
  <c r="J5" i="60"/>
  <c r="I5" i="60"/>
  <c r="H5" i="60"/>
  <c r="G5" i="60"/>
  <c r="F5" i="60"/>
  <c r="E5" i="60"/>
  <c r="D5" i="60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F6" i="16"/>
  <c r="G6" i="16"/>
  <c r="H6" i="16"/>
  <c r="I6" i="16"/>
  <c r="J6" i="16"/>
  <c r="K6" i="16"/>
  <c r="L6" i="16"/>
  <c r="M6" i="16"/>
  <c r="N6" i="16"/>
  <c r="O6" i="16"/>
  <c r="P6" i="16"/>
  <c r="E6" i="16"/>
  <c r="D6" i="16"/>
  <c r="DT10" i="29"/>
  <c r="Q4" i="77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D25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D8" i="1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R9" i="16"/>
  <c r="S9" i="16"/>
  <c r="T9" i="16"/>
  <c r="U9" i="16"/>
  <c r="V9" i="16"/>
  <c r="W9" i="16"/>
  <c r="X9" i="16"/>
  <c r="Y9" i="16"/>
  <c r="Z9" i="16"/>
  <c r="AA9" i="16"/>
  <c r="AB9" i="16"/>
  <c r="AC9" i="16"/>
  <c r="Q9" i="16"/>
  <c r="Q8" i="16"/>
  <c r="D6" i="20" l="1"/>
  <c r="N38" i="60"/>
  <c r="N39" i="60"/>
  <c r="B16" i="80"/>
  <c r="N28" i="18"/>
  <c r="N10" i="18"/>
  <c r="N12" i="18"/>
  <c r="N14" i="18"/>
  <c r="N16" i="18"/>
  <c r="N19" i="18"/>
  <c r="N21" i="18"/>
  <c r="N23" i="18"/>
  <c r="N27" i="18"/>
  <c r="N30" i="18"/>
  <c r="N32" i="18"/>
  <c r="N8" i="18"/>
  <c r="N11" i="18"/>
  <c r="N13" i="18"/>
  <c r="N15" i="18"/>
  <c r="N18" i="18"/>
  <c r="N20" i="18"/>
  <c r="N22" i="18"/>
  <c r="N24" i="18"/>
  <c r="N26" i="18"/>
  <c r="N29" i="18"/>
  <c r="N31" i="18"/>
  <c r="O28" i="18"/>
  <c r="O8" i="18"/>
  <c r="O11" i="18"/>
  <c r="O13" i="18"/>
  <c r="O15" i="18"/>
  <c r="O18" i="18"/>
  <c r="O20" i="18"/>
  <c r="O22" i="18"/>
  <c r="O24" i="18"/>
  <c r="O26" i="18"/>
  <c r="O29" i="18"/>
  <c r="O31" i="18"/>
  <c r="O10" i="18"/>
  <c r="O12" i="18"/>
  <c r="O14" i="18"/>
  <c r="O16" i="18"/>
  <c r="O19" i="18"/>
  <c r="O21" i="18"/>
  <c r="O23" i="18"/>
  <c r="O27" i="18"/>
  <c r="O30" i="18"/>
  <c r="O32" i="18"/>
  <c r="N51" i="60"/>
  <c r="N52" i="60"/>
  <c r="N49" i="60"/>
  <c r="N50" i="60"/>
  <c r="O36" i="60"/>
  <c r="O39" i="60"/>
  <c r="O50" i="60"/>
  <c r="N36" i="60"/>
  <c r="Q4" i="88"/>
  <c r="Q4" i="86"/>
  <c r="Q4" i="87"/>
  <c r="Q4" i="74"/>
  <c r="E6" i="20"/>
  <c r="D24" i="88" l="1"/>
  <c r="D49" i="88"/>
  <c r="D49" i="87"/>
  <c r="D24" i="87"/>
  <c r="D49" i="86"/>
  <c r="D24" i="86"/>
  <c r="E37" i="82"/>
  <c r="E35" i="82"/>
  <c r="E33" i="82"/>
  <c r="E32" i="82"/>
  <c r="E31" i="82"/>
  <c r="N29" i="82"/>
  <c r="M29" i="82"/>
  <c r="L29" i="82"/>
  <c r="K29" i="82"/>
  <c r="J29" i="82"/>
  <c r="I29" i="82"/>
  <c r="H29" i="82"/>
  <c r="G29" i="82"/>
  <c r="F29" i="82"/>
  <c r="E29" i="82"/>
  <c r="N28" i="82"/>
  <c r="M28" i="82"/>
  <c r="L28" i="82"/>
  <c r="K28" i="82"/>
  <c r="J28" i="82"/>
  <c r="I28" i="82"/>
  <c r="H28" i="82"/>
  <c r="G28" i="82"/>
  <c r="F28" i="82"/>
  <c r="E28" i="82"/>
  <c r="N27" i="82"/>
  <c r="M27" i="82"/>
  <c r="L27" i="82"/>
  <c r="K27" i="82"/>
  <c r="J27" i="82"/>
  <c r="I27" i="82"/>
  <c r="H27" i="82"/>
  <c r="G27" i="82"/>
  <c r="F27" i="82"/>
  <c r="E27" i="82"/>
  <c r="N25" i="82"/>
  <c r="M25" i="82"/>
  <c r="L25" i="82"/>
  <c r="K25" i="82"/>
  <c r="J25" i="82"/>
  <c r="I25" i="82"/>
  <c r="H25" i="82"/>
  <c r="G25" i="82"/>
  <c r="F25" i="82"/>
  <c r="E25" i="82"/>
  <c r="N24" i="82"/>
  <c r="M24" i="82"/>
  <c r="L24" i="82"/>
  <c r="K24" i="82"/>
  <c r="J24" i="82"/>
  <c r="I24" i="82"/>
  <c r="H24" i="82"/>
  <c r="G24" i="82"/>
  <c r="F24" i="82"/>
  <c r="E24" i="82"/>
  <c r="N23" i="82"/>
  <c r="M23" i="82"/>
  <c r="L23" i="82"/>
  <c r="K23" i="82"/>
  <c r="J23" i="82"/>
  <c r="I23" i="82"/>
  <c r="H23" i="82"/>
  <c r="G23" i="82"/>
  <c r="F23" i="82"/>
  <c r="E23" i="82"/>
  <c r="F7" i="82"/>
  <c r="G6" i="82"/>
  <c r="H6" i="82" s="1"/>
  <c r="I6" i="82" s="1"/>
  <c r="J6" i="82" s="1"/>
  <c r="K6" i="82" s="1"/>
  <c r="L6" i="82" s="1"/>
  <c r="M6" i="82" s="1"/>
  <c r="N6" i="82" s="1"/>
  <c r="E6" i="82"/>
  <c r="E5" i="82"/>
  <c r="F5" i="82" s="1"/>
  <c r="G5" i="82" s="1"/>
  <c r="H5" i="82" s="1"/>
  <c r="I5" i="82" s="1"/>
  <c r="J5" i="82" s="1"/>
  <c r="K5" i="82" s="1"/>
  <c r="L5" i="82" s="1"/>
  <c r="M5" i="82" s="1"/>
  <c r="N5" i="82" s="1"/>
  <c r="D34" i="87" l="1"/>
  <c r="D29" i="87"/>
  <c r="D31" i="87"/>
  <c r="E29" i="87"/>
  <c r="F29" i="87"/>
  <c r="G29" i="87"/>
  <c r="H29" i="87"/>
  <c r="I29" i="87"/>
  <c r="J29" i="87"/>
  <c r="K29" i="87"/>
  <c r="L29" i="87"/>
  <c r="M29" i="87"/>
  <c r="N29" i="87"/>
  <c r="O29" i="87"/>
  <c r="P29" i="87"/>
  <c r="Q29" i="87"/>
  <c r="R29" i="87"/>
  <c r="S29" i="87"/>
  <c r="T29" i="87"/>
  <c r="U29" i="87"/>
  <c r="V29" i="87"/>
  <c r="W29" i="87"/>
  <c r="X29" i="87"/>
  <c r="D62" i="88"/>
  <c r="D61" i="88"/>
  <c r="E57" i="88" s="1"/>
  <c r="D31" i="86"/>
  <c r="D34" i="86"/>
  <c r="D29" i="86"/>
  <c r="E29" i="86"/>
  <c r="F29" i="86"/>
  <c r="G29" i="86"/>
  <c r="H29" i="86"/>
  <c r="I29" i="86"/>
  <c r="J29" i="86"/>
  <c r="K29" i="86"/>
  <c r="L29" i="86"/>
  <c r="M29" i="86"/>
  <c r="N29" i="86"/>
  <c r="O29" i="86"/>
  <c r="P29" i="86"/>
  <c r="Q29" i="86"/>
  <c r="R29" i="86"/>
  <c r="S29" i="86"/>
  <c r="T29" i="86"/>
  <c r="U29" i="86"/>
  <c r="V29" i="86"/>
  <c r="W29" i="86"/>
  <c r="X29" i="86"/>
  <c r="D62" i="87"/>
  <c r="D61" i="87"/>
  <c r="E57" i="87" s="1"/>
  <c r="D31" i="88"/>
  <c r="E29" i="88"/>
  <c r="D29" i="88"/>
  <c r="D34" i="88"/>
  <c r="F29" i="88"/>
  <c r="G29" i="88"/>
  <c r="H29" i="88"/>
  <c r="I29" i="88"/>
  <c r="J29" i="88"/>
  <c r="K29" i="88"/>
  <c r="L29" i="88"/>
  <c r="M29" i="88"/>
  <c r="N29" i="88"/>
  <c r="O29" i="88"/>
  <c r="P29" i="88"/>
  <c r="Q29" i="88"/>
  <c r="R29" i="88"/>
  <c r="S29" i="88"/>
  <c r="T29" i="88"/>
  <c r="U29" i="88"/>
  <c r="V29" i="88"/>
  <c r="W29" i="88"/>
  <c r="X29" i="88"/>
  <c r="D62" i="86"/>
  <c r="D61" i="86"/>
  <c r="E57" i="86" s="1"/>
  <c r="AB5" i="47"/>
  <c r="X5" i="47"/>
  <c r="T5" i="47"/>
  <c r="AA6" i="13"/>
  <c r="AA21" i="13" s="1"/>
  <c r="W6" i="13"/>
  <c r="W21" i="13" s="1"/>
  <c r="S6" i="13"/>
  <c r="S21" i="13" s="1"/>
  <c r="AC5" i="47"/>
  <c r="Y5" i="47"/>
  <c r="U5" i="47"/>
  <c r="AB6" i="13"/>
  <c r="AB21" i="13" s="1"/>
  <c r="X6" i="13"/>
  <c r="X21" i="13" s="1"/>
  <c r="T6" i="13"/>
  <c r="T21" i="13" s="1"/>
  <c r="V5" i="47"/>
  <c r="Y6" i="13"/>
  <c r="Y21" i="13" s="1"/>
  <c r="Q6" i="13"/>
  <c r="Q21" i="13" s="1"/>
  <c r="Z5" i="47"/>
  <c r="R5" i="47"/>
  <c r="U6" i="13"/>
  <c r="U21" i="13" s="1"/>
  <c r="Z6" i="18"/>
  <c r="Z28" i="18" s="1"/>
  <c r="V6" i="18"/>
  <c r="V28" i="18" s="1"/>
  <c r="R6" i="18"/>
  <c r="R28" i="18" s="1"/>
  <c r="Z6" i="13"/>
  <c r="Z21" i="13" s="1"/>
  <c r="AA6" i="18"/>
  <c r="AA28" i="18" s="1"/>
  <c r="U6" i="18"/>
  <c r="U28" i="18" s="1"/>
  <c r="P6" i="18"/>
  <c r="P28" i="18" s="1"/>
  <c r="Z5" i="60"/>
  <c r="V5" i="60"/>
  <c r="R5" i="60"/>
  <c r="Z6" i="29"/>
  <c r="V6" i="29"/>
  <c r="R6" i="29"/>
  <c r="R6" i="16"/>
  <c r="V6" i="16"/>
  <c r="Z6" i="16"/>
  <c r="AA5" i="47"/>
  <c r="V6" i="13"/>
  <c r="V21" i="13" s="1"/>
  <c r="W5" i="47"/>
  <c r="R6" i="13"/>
  <c r="R21" i="13" s="1"/>
  <c r="X6" i="18"/>
  <c r="X28" i="18" s="1"/>
  <c r="S6" i="18"/>
  <c r="S28" i="18" s="1"/>
  <c r="X5" i="60"/>
  <c r="T5" i="60"/>
  <c r="P5" i="60"/>
  <c r="P38" i="60" s="1"/>
  <c r="X6" i="29"/>
  <c r="T6" i="29"/>
  <c r="P6" i="29"/>
  <c r="T6" i="16"/>
  <c r="X6" i="16"/>
  <c r="AB6" i="16"/>
  <c r="S5" i="47"/>
  <c r="W6" i="18"/>
  <c r="W28" i="18" s="1"/>
  <c r="Q6" i="18"/>
  <c r="Q28" i="18" s="1"/>
  <c r="T6" i="18"/>
  <c r="T28" i="18" s="1"/>
  <c r="AA5" i="60"/>
  <c r="S5" i="60"/>
  <c r="Q5" i="60"/>
  <c r="W5" i="60"/>
  <c r="AA6" i="29"/>
  <c r="S6" i="29"/>
  <c r="U6" i="16"/>
  <c r="Q6" i="16"/>
  <c r="Y5" i="60"/>
  <c r="AA6" i="16"/>
  <c r="Y6" i="18"/>
  <c r="Y28" i="18" s="1"/>
  <c r="U5" i="60"/>
  <c r="Y6" i="29"/>
  <c r="Q6" i="29"/>
  <c r="W6" i="16"/>
  <c r="W6" i="29"/>
  <c r="Y6" i="16"/>
  <c r="U6" i="29"/>
  <c r="S6" i="16"/>
  <c r="I15" i="16"/>
  <c r="M15" i="16"/>
  <c r="E15" i="16"/>
  <c r="H15" i="16"/>
  <c r="N15" i="16"/>
  <c r="J15" i="16"/>
  <c r="O15" i="16"/>
  <c r="F15" i="16"/>
  <c r="K15" i="16"/>
  <c r="P15" i="16"/>
  <c r="G15" i="16"/>
  <c r="L15" i="16"/>
  <c r="G17" i="16"/>
  <c r="K17" i="16"/>
  <c r="O17" i="16"/>
  <c r="H17" i="16"/>
  <c r="M17" i="16"/>
  <c r="I17" i="16"/>
  <c r="N17" i="16"/>
  <c r="J17" i="16"/>
  <c r="P17" i="16"/>
  <c r="F17" i="16"/>
  <c r="L17" i="16"/>
  <c r="E17" i="16"/>
  <c r="F33" i="82"/>
  <c r="H14" i="16"/>
  <c r="L14" i="16"/>
  <c r="P14" i="16"/>
  <c r="I14" i="16"/>
  <c r="N14" i="16"/>
  <c r="J14" i="16"/>
  <c r="O14" i="16"/>
  <c r="E14" i="16"/>
  <c r="F14" i="16"/>
  <c r="K14" i="16"/>
  <c r="G14" i="16"/>
  <c r="M14" i="16"/>
  <c r="H13" i="16"/>
  <c r="L13" i="16"/>
  <c r="P13" i="16"/>
  <c r="F13" i="16"/>
  <c r="K13" i="16"/>
  <c r="E13" i="16"/>
  <c r="G13" i="16"/>
  <c r="M13" i="16"/>
  <c r="I13" i="16"/>
  <c r="N13" i="16"/>
  <c r="J13" i="16"/>
  <c r="O13" i="16"/>
  <c r="I19" i="16"/>
  <c r="M19" i="16"/>
  <c r="E19" i="16"/>
  <c r="G19" i="16"/>
  <c r="L19" i="16"/>
  <c r="H19" i="16"/>
  <c r="N19" i="16"/>
  <c r="J19" i="16"/>
  <c r="O19" i="16"/>
  <c r="F19" i="16"/>
  <c r="K19" i="16"/>
  <c r="P19" i="16"/>
  <c r="F35" i="82"/>
  <c r="G7" i="82"/>
  <c r="F32" i="82"/>
  <c r="E34" i="82"/>
  <c r="E36" i="82"/>
  <c r="F37" i="82"/>
  <c r="F31" i="82"/>
  <c r="F34" i="82"/>
  <c r="F36" i="82"/>
  <c r="C38" i="82"/>
  <c r="Q26" i="60" l="1"/>
  <c r="Q25" i="60"/>
  <c r="X25" i="60"/>
  <c r="X26" i="60"/>
  <c r="Z38" i="60"/>
  <c r="Z25" i="60"/>
  <c r="Z26" i="60"/>
  <c r="S26" i="60"/>
  <c r="S25" i="60"/>
  <c r="Y38" i="60"/>
  <c r="Y26" i="60"/>
  <c r="Y25" i="60"/>
  <c r="AA38" i="60"/>
  <c r="AA26" i="60"/>
  <c r="AA25" i="60"/>
  <c r="R38" i="60"/>
  <c r="R25" i="60"/>
  <c r="R26" i="60"/>
  <c r="U38" i="60"/>
  <c r="U26" i="60"/>
  <c r="U25" i="60"/>
  <c r="W38" i="60"/>
  <c r="W25" i="60"/>
  <c r="W26" i="60"/>
  <c r="T25" i="60"/>
  <c r="T26" i="60"/>
  <c r="V38" i="60"/>
  <c r="V25" i="60"/>
  <c r="V26" i="60"/>
  <c r="Q38" i="60"/>
  <c r="Q37" i="60"/>
  <c r="T38" i="60"/>
  <c r="T37" i="60"/>
  <c r="X37" i="60"/>
  <c r="X38" i="60"/>
  <c r="S38" i="60"/>
  <c r="W37" i="60"/>
  <c r="W49" i="60"/>
  <c r="T52" i="60"/>
  <c r="T49" i="60"/>
  <c r="T51" i="60"/>
  <c r="Q49" i="60"/>
  <c r="Z51" i="60"/>
  <c r="Z52" i="60"/>
  <c r="Z49" i="60"/>
  <c r="AA44" i="60"/>
  <c r="AA45" i="60"/>
  <c r="AA39" i="60"/>
  <c r="Z44" i="60"/>
  <c r="Z39" i="60"/>
  <c r="Z43" i="60"/>
  <c r="Z45" i="60"/>
  <c r="E24" i="88"/>
  <c r="D39" i="88"/>
  <c r="E58" i="87"/>
  <c r="E24" i="86"/>
  <c r="D39" i="86"/>
  <c r="E58" i="88"/>
  <c r="E24" i="87"/>
  <c r="D39" i="87"/>
  <c r="E58" i="86"/>
  <c r="AA50" i="60"/>
  <c r="AA36" i="60"/>
  <c r="R50" i="60"/>
  <c r="R36" i="60"/>
  <c r="U50" i="60"/>
  <c r="U36" i="60"/>
  <c r="W50" i="60"/>
  <c r="W36" i="60"/>
  <c r="T53" i="60"/>
  <c r="T50" i="60"/>
  <c r="T36" i="60"/>
  <c r="V50" i="60"/>
  <c r="V36" i="60"/>
  <c r="S50" i="60"/>
  <c r="S36" i="60"/>
  <c r="Y36" i="60"/>
  <c r="Y50" i="60"/>
  <c r="P50" i="60"/>
  <c r="Q50" i="60"/>
  <c r="Q36" i="60"/>
  <c r="X50" i="60"/>
  <c r="X36" i="60"/>
  <c r="Z50" i="60"/>
  <c r="Z53" i="60"/>
  <c r="Z36" i="60"/>
  <c r="Y44" i="60"/>
  <c r="Y39" i="60"/>
  <c r="Y45" i="60"/>
  <c r="P45" i="60"/>
  <c r="P39" i="60"/>
  <c r="P44" i="60"/>
  <c r="R39" i="60"/>
  <c r="R43" i="60"/>
  <c r="R45" i="60"/>
  <c r="R44" i="60"/>
  <c r="U45" i="60"/>
  <c r="U43" i="60"/>
  <c r="U44" i="60"/>
  <c r="U39" i="60"/>
  <c r="W39" i="60"/>
  <c r="W44" i="60"/>
  <c r="W45" i="60"/>
  <c r="W43" i="60"/>
  <c r="T44" i="60"/>
  <c r="T43" i="60"/>
  <c r="T45" i="60"/>
  <c r="T39" i="60"/>
  <c r="V39" i="60"/>
  <c r="V45" i="60"/>
  <c r="V44" i="60"/>
  <c r="S39" i="60"/>
  <c r="S43" i="60"/>
  <c r="S44" i="60"/>
  <c r="S45" i="60"/>
  <c r="Q43" i="60"/>
  <c r="Q44" i="60"/>
  <c r="Q39" i="60"/>
  <c r="Q45" i="60"/>
  <c r="X39" i="60"/>
  <c r="X43" i="60"/>
  <c r="X45" i="60"/>
  <c r="X44" i="60"/>
  <c r="P36" i="60"/>
  <c r="AN5" i="47"/>
  <c r="AJ5" i="47"/>
  <c r="AF5" i="47"/>
  <c r="AM6" i="13"/>
  <c r="AI6" i="13"/>
  <c r="AE6" i="13"/>
  <c r="AO5" i="47"/>
  <c r="AK5" i="47"/>
  <c r="AG5" i="47"/>
  <c r="AN6" i="13"/>
  <c r="AJ6" i="13"/>
  <c r="AF6" i="13"/>
  <c r="AL5" i="47"/>
  <c r="AD5" i="47"/>
  <c r="AG6" i="13"/>
  <c r="AH5" i="47"/>
  <c r="AK6" i="13"/>
  <c r="AC6" i="13"/>
  <c r="AL6" i="18"/>
  <c r="AL28" i="18" s="1"/>
  <c r="AH6" i="18"/>
  <c r="AH28" i="18" s="1"/>
  <c r="AD6" i="18"/>
  <c r="AD28" i="18" s="1"/>
  <c r="AE5" i="47"/>
  <c r="AK6" i="18"/>
  <c r="AK28" i="18" s="1"/>
  <c r="AF6" i="18"/>
  <c r="AF28" i="18" s="1"/>
  <c r="AL5" i="60"/>
  <c r="AL43" i="60" s="1"/>
  <c r="AH5" i="60"/>
  <c r="AD5" i="60"/>
  <c r="AL6" i="29"/>
  <c r="AH6" i="29"/>
  <c r="AD6" i="29"/>
  <c r="AD6" i="16"/>
  <c r="AH6" i="16"/>
  <c r="AL6" i="16"/>
  <c r="AL6" i="13"/>
  <c r="AM5" i="47"/>
  <c r="AH6" i="13"/>
  <c r="AI6" i="18"/>
  <c r="AI28" i="18" s="1"/>
  <c r="AC6" i="18"/>
  <c r="AC28" i="18" s="1"/>
  <c r="AJ5" i="60"/>
  <c r="AF5" i="60"/>
  <c r="AF43" i="60" s="1"/>
  <c r="AB5" i="60"/>
  <c r="AJ6" i="29"/>
  <c r="AF6" i="29"/>
  <c r="AB6" i="29"/>
  <c r="AF6" i="16"/>
  <c r="AJ6" i="16"/>
  <c r="AN6" i="16"/>
  <c r="AI5" i="47"/>
  <c r="AD6" i="13"/>
  <c r="AM6" i="18"/>
  <c r="AM28" i="18" s="1"/>
  <c r="AG6" i="18"/>
  <c r="AG28" i="18" s="1"/>
  <c r="AB6" i="18"/>
  <c r="AB28" i="18" s="1"/>
  <c r="AI5" i="60"/>
  <c r="AM6" i="29"/>
  <c r="AE6" i="29"/>
  <c r="AJ6" i="18"/>
  <c r="AJ28" i="18" s="1"/>
  <c r="AG5" i="60"/>
  <c r="AC6" i="29"/>
  <c r="AI6" i="16"/>
  <c r="AE6" i="18"/>
  <c r="AE28" i="18" s="1"/>
  <c r="AM5" i="60"/>
  <c r="AE5" i="60"/>
  <c r="AI6" i="29"/>
  <c r="AK6" i="16"/>
  <c r="AK6" i="29"/>
  <c r="AK5" i="60"/>
  <c r="AC5" i="60"/>
  <c r="AG6" i="29"/>
  <c r="AE6" i="16"/>
  <c r="AM6" i="16"/>
  <c r="AG6" i="16"/>
  <c r="AC6" i="16"/>
  <c r="R13" i="16"/>
  <c r="V13" i="16"/>
  <c r="Z13" i="16"/>
  <c r="S13" i="16"/>
  <c r="W13" i="16"/>
  <c r="AA13" i="16"/>
  <c r="X13" i="16"/>
  <c r="Y13" i="16"/>
  <c r="T13" i="16"/>
  <c r="AB13" i="16"/>
  <c r="U13" i="16"/>
  <c r="Q13" i="16"/>
  <c r="U19" i="16"/>
  <c r="Y19" i="16"/>
  <c r="Q19" i="16"/>
  <c r="T19" i="16"/>
  <c r="Z19" i="16"/>
  <c r="V19" i="16"/>
  <c r="AA19" i="16"/>
  <c r="R19" i="16"/>
  <c r="W19" i="16"/>
  <c r="AB19" i="16"/>
  <c r="S19" i="16"/>
  <c r="X19" i="16"/>
  <c r="T18" i="16"/>
  <c r="X18" i="16"/>
  <c r="AB18" i="16"/>
  <c r="U18" i="16"/>
  <c r="Z18" i="16"/>
  <c r="V18" i="16"/>
  <c r="AA18" i="16"/>
  <c r="Q18" i="16"/>
  <c r="R18" i="16"/>
  <c r="W18" i="16"/>
  <c r="S18" i="16"/>
  <c r="Y18" i="16"/>
  <c r="H18" i="16"/>
  <c r="L18" i="16"/>
  <c r="P18" i="16"/>
  <c r="G18" i="16"/>
  <c r="M18" i="16"/>
  <c r="I18" i="16"/>
  <c r="N18" i="16"/>
  <c r="J18" i="16"/>
  <c r="O18" i="16"/>
  <c r="E18" i="16"/>
  <c r="F18" i="16"/>
  <c r="K18" i="16"/>
  <c r="S17" i="16"/>
  <c r="W17" i="16"/>
  <c r="AA17" i="16"/>
  <c r="U17" i="16"/>
  <c r="Z17" i="16"/>
  <c r="V17" i="16"/>
  <c r="AB17" i="16"/>
  <c r="R17" i="16"/>
  <c r="X17" i="16"/>
  <c r="Q17" i="16"/>
  <c r="T17" i="16"/>
  <c r="Y17" i="16"/>
  <c r="T14" i="16"/>
  <c r="X14" i="16"/>
  <c r="AB14" i="16"/>
  <c r="V14" i="16"/>
  <c r="AA14" i="16"/>
  <c r="Q14" i="16"/>
  <c r="R14" i="16"/>
  <c r="W14" i="16"/>
  <c r="S14" i="16"/>
  <c r="Y14" i="16"/>
  <c r="U14" i="16"/>
  <c r="Z14" i="16"/>
  <c r="U15" i="16"/>
  <c r="Y15" i="16"/>
  <c r="Q15" i="16"/>
  <c r="V15" i="16"/>
  <c r="AA15" i="16"/>
  <c r="R15" i="16"/>
  <c r="W15" i="16"/>
  <c r="AB15" i="16"/>
  <c r="S15" i="16"/>
  <c r="X15" i="16"/>
  <c r="T15" i="16"/>
  <c r="Z15" i="16"/>
  <c r="G36" i="82"/>
  <c r="R16" i="16"/>
  <c r="V16" i="16"/>
  <c r="Z16" i="16"/>
  <c r="U16" i="16"/>
  <c r="AA16" i="16"/>
  <c r="W16" i="16"/>
  <c r="AB16" i="16"/>
  <c r="S16" i="16"/>
  <c r="X16" i="16"/>
  <c r="T16" i="16"/>
  <c r="Y16" i="16"/>
  <c r="Q16" i="16"/>
  <c r="F16" i="16"/>
  <c r="J16" i="16"/>
  <c r="N16" i="16"/>
  <c r="H16" i="16"/>
  <c r="M16" i="16"/>
  <c r="E16" i="16"/>
  <c r="I16" i="16"/>
  <c r="O16" i="16"/>
  <c r="K16" i="16"/>
  <c r="P16" i="16"/>
  <c r="G16" i="16"/>
  <c r="L16" i="16"/>
  <c r="G34" i="82"/>
  <c r="F39" i="82"/>
  <c r="E39" i="82"/>
  <c r="G39" i="82"/>
  <c r="E38" i="82"/>
  <c r="G38" i="82"/>
  <c r="F38" i="82"/>
  <c r="G31" i="82"/>
  <c r="G37" i="82"/>
  <c r="G32" i="82"/>
  <c r="H7" i="82"/>
  <c r="G35" i="82"/>
  <c r="G33" i="82"/>
  <c r="AC26" i="60" l="1"/>
  <c r="AC25" i="60"/>
  <c r="AF38" i="60"/>
  <c r="AF25" i="60"/>
  <c r="AF26" i="60"/>
  <c r="AL38" i="60"/>
  <c r="AL25" i="60"/>
  <c r="AL26" i="60"/>
  <c r="AE26" i="60"/>
  <c r="AE25" i="60"/>
  <c r="AM26" i="60"/>
  <c r="AM25" i="60"/>
  <c r="AG26" i="60"/>
  <c r="AG25" i="60"/>
  <c r="AD38" i="60"/>
  <c r="AD25" i="60"/>
  <c r="AD26" i="60"/>
  <c r="AK38" i="60"/>
  <c r="AK26" i="60"/>
  <c r="AK25" i="60"/>
  <c r="AJ25" i="60"/>
  <c r="AJ26" i="60"/>
  <c r="AI25" i="60"/>
  <c r="AI26" i="60"/>
  <c r="AB38" i="60"/>
  <c r="AB25" i="60"/>
  <c r="AB26" i="60"/>
  <c r="AH38" i="60"/>
  <c r="AH25" i="60"/>
  <c r="AH26" i="60"/>
  <c r="AI38" i="60"/>
  <c r="AC49" i="60"/>
  <c r="AC38" i="60"/>
  <c r="AE38" i="60"/>
  <c r="AJ38" i="60"/>
  <c r="AM38" i="60"/>
  <c r="AG38" i="60"/>
  <c r="AL16" i="60"/>
  <c r="AL15" i="60"/>
  <c r="AK15" i="60"/>
  <c r="AK16" i="60"/>
  <c r="AM16" i="60"/>
  <c r="AM15" i="60"/>
  <c r="AI49" i="60"/>
  <c r="AF51" i="60"/>
  <c r="AF49" i="60"/>
  <c r="AF52" i="60"/>
  <c r="AL52" i="60"/>
  <c r="AL51" i="60"/>
  <c r="AL49" i="60"/>
  <c r="AM11" i="60"/>
  <c r="AK11" i="60"/>
  <c r="AL11" i="60"/>
  <c r="E31" i="87"/>
  <c r="E34" i="87"/>
  <c r="E31" i="86"/>
  <c r="E34" i="86"/>
  <c r="E31" i="88"/>
  <c r="E34" i="88"/>
  <c r="AB50" i="60"/>
  <c r="AM50" i="60"/>
  <c r="AG50" i="60"/>
  <c r="AD50" i="60"/>
  <c r="AC50" i="60"/>
  <c r="AF50" i="60"/>
  <c r="AF53" i="60"/>
  <c r="AL50" i="60"/>
  <c r="AL53" i="60"/>
  <c r="AI50" i="60"/>
  <c r="AH50" i="60"/>
  <c r="AK50" i="60"/>
  <c r="AE50" i="60"/>
  <c r="AJ50" i="60"/>
  <c r="AC45" i="60"/>
  <c r="AC44" i="60"/>
  <c r="AK45" i="60"/>
  <c r="AK44" i="60"/>
  <c r="AE45" i="60"/>
  <c r="AE44" i="60"/>
  <c r="AJ45" i="60"/>
  <c r="AJ44" i="60"/>
  <c r="AL44" i="60"/>
  <c r="AL45" i="60"/>
  <c r="AM45" i="60"/>
  <c r="AM44" i="60"/>
  <c r="AG45" i="60"/>
  <c r="AG44" i="60"/>
  <c r="AI45" i="60"/>
  <c r="AI44" i="60"/>
  <c r="AD44" i="60"/>
  <c r="AD45" i="60"/>
  <c r="AF45" i="60"/>
  <c r="AF44" i="60"/>
  <c r="AB45" i="60"/>
  <c r="AB44" i="60"/>
  <c r="AH44" i="60"/>
  <c r="AH45" i="60"/>
  <c r="AH36" i="60"/>
  <c r="AF36" i="60"/>
  <c r="AL36" i="60"/>
  <c r="AK36" i="60"/>
  <c r="AE36" i="60"/>
  <c r="AI36" i="60"/>
  <c r="AM36" i="60"/>
  <c r="AG36" i="60"/>
  <c r="AJ36" i="60"/>
  <c r="AB36" i="60"/>
  <c r="AC36" i="60"/>
  <c r="AD36" i="60"/>
  <c r="AZ5" i="47"/>
  <c r="AV5" i="47"/>
  <c r="AR5" i="47"/>
  <c r="AY6" i="13"/>
  <c r="AU6" i="13"/>
  <c r="AQ6" i="13"/>
  <c r="BA5" i="47"/>
  <c r="AW5" i="47"/>
  <c r="AS5" i="47"/>
  <c r="AZ6" i="13"/>
  <c r="AV6" i="13"/>
  <c r="AR6" i="13"/>
  <c r="AT5" i="47"/>
  <c r="AW6" i="13"/>
  <c r="AO6" i="13"/>
  <c r="AX5" i="47"/>
  <c r="AP5" i="47"/>
  <c r="AS6" i="13"/>
  <c r="AX6" i="18"/>
  <c r="AX28" i="18" s="1"/>
  <c r="AT6" i="18"/>
  <c r="AT28" i="18" s="1"/>
  <c r="AP6" i="18"/>
  <c r="AP28" i="18" s="1"/>
  <c r="AU5" i="47"/>
  <c r="AP6" i="13"/>
  <c r="AV6" i="18"/>
  <c r="AV28" i="18" s="1"/>
  <c r="AQ6" i="18"/>
  <c r="AQ28" i="18" s="1"/>
  <c r="AX5" i="60"/>
  <c r="AX43" i="60" s="1"/>
  <c r="AT5" i="60"/>
  <c r="AP5" i="60"/>
  <c r="AX6" i="29"/>
  <c r="AT6" i="29"/>
  <c r="AP6" i="29"/>
  <c r="AP6" i="16"/>
  <c r="AT6" i="16"/>
  <c r="AX6" i="16"/>
  <c r="AQ5" i="47"/>
  <c r="AX6" i="13"/>
  <c r="AY6" i="18"/>
  <c r="AY28" i="18" s="1"/>
  <c r="AS6" i="18"/>
  <c r="AS28" i="18" s="1"/>
  <c r="AN6" i="18"/>
  <c r="AN28" i="18" s="1"/>
  <c r="AV5" i="60"/>
  <c r="AR5" i="60"/>
  <c r="AR43" i="60" s="1"/>
  <c r="AN5" i="60"/>
  <c r="AV6" i="29"/>
  <c r="AR6" i="29"/>
  <c r="AN6" i="29"/>
  <c r="AR6" i="16"/>
  <c r="AV6" i="16"/>
  <c r="AZ6" i="16"/>
  <c r="AY5" i="47"/>
  <c r="AT6" i="13"/>
  <c r="AW6" i="18"/>
  <c r="AW28" i="18" s="1"/>
  <c r="AR6" i="18"/>
  <c r="AR28" i="18" s="1"/>
  <c r="AO6" i="18"/>
  <c r="AO28" i="18" s="1"/>
  <c r="AY5" i="60"/>
  <c r="AQ5" i="60"/>
  <c r="AU6" i="29"/>
  <c r="AW5" i="60"/>
  <c r="AS6" i="29"/>
  <c r="AQ6" i="16"/>
  <c r="AU5" i="60"/>
  <c r="AY6" i="29"/>
  <c r="AQ6" i="29"/>
  <c r="AS6" i="16"/>
  <c r="AO6" i="16"/>
  <c r="AY6" i="16"/>
  <c r="AU6" i="18"/>
  <c r="AU28" i="18" s="1"/>
  <c r="AS5" i="60"/>
  <c r="AW6" i="29"/>
  <c r="AO6" i="29"/>
  <c r="AU6" i="16"/>
  <c r="AW6" i="16"/>
  <c r="AO5" i="60"/>
  <c r="R20" i="16"/>
  <c r="V20" i="16"/>
  <c r="Z20" i="16"/>
  <c r="T20" i="16"/>
  <c r="Y20" i="16"/>
  <c r="Q20" i="16"/>
  <c r="U20" i="16"/>
  <c r="AA20" i="16"/>
  <c r="W20" i="16"/>
  <c r="AB20" i="16"/>
  <c r="S20" i="16"/>
  <c r="X20" i="16"/>
  <c r="AD14" i="16"/>
  <c r="AH14" i="16"/>
  <c r="AL14" i="16"/>
  <c r="AI14" i="16"/>
  <c r="AN14" i="16"/>
  <c r="AE14" i="16"/>
  <c r="AJ14" i="16"/>
  <c r="AC14" i="16"/>
  <c r="AF14" i="16"/>
  <c r="AG14" i="16"/>
  <c r="AK14" i="16"/>
  <c r="AM14" i="16"/>
  <c r="S21" i="16"/>
  <c r="W21" i="16"/>
  <c r="AA21" i="16"/>
  <c r="T21" i="16"/>
  <c r="Y21" i="16"/>
  <c r="U21" i="16"/>
  <c r="Z21" i="16"/>
  <c r="V21" i="16"/>
  <c r="AB21" i="16"/>
  <c r="R21" i="16"/>
  <c r="X21" i="16"/>
  <c r="Q21" i="16"/>
  <c r="AE19" i="16"/>
  <c r="AG19" i="16"/>
  <c r="AK19" i="16"/>
  <c r="AC19" i="16"/>
  <c r="AH19" i="16"/>
  <c r="AL19" i="16"/>
  <c r="AD19" i="16"/>
  <c r="AM19" i="16"/>
  <c r="AF19" i="16"/>
  <c r="AN19" i="16"/>
  <c r="AI19" i="16"/>
  <c r="AJ19" i="16"/>
  <c r="AF16" i="16"/>
  <c r="AJ16" i="16"/>
  <c r="AN16" i="16"/>
  <c r="AH16" i="16"/>
  <c r="AM16" i="16"/>
  <c r="AD16" i="16"/>
  <c r="AI16" i="16"/>
  <c r="AE16" i="16"/>
  <c r="AG16" i="16"/>
  <c r="AK16" i="16"/>
  <c r="AL16" i="16"/>
  <c r="AC16" i="16"/>
  <c r="H38" i="82"/>
  <c r="G21" i="16"/>
  <c r="K21" i="16"/>
  <c r="O21" i="16"/>
  <c r="F21" i="16"/>
  <c r="L21" i="16"/>
  <c r="E21" i="16"/>
  <c r="H21" i="16"/>
  <c r="M21" i="16"/>
  <c r="I21" i="16"/>
  <c r="N21" i="16"/>
  <c r="J21" i="16"/>
  <c r="P21" i="16"/>
  <c r="AD18" i="16"/>
  <c r="AH18" i="16"/>
  <c r="AL18" i="16"/>
  <c r="AG18" i="16"/>
  <c r="AM18" i="16"/>
  <c r="AI18" i="16"/>
  <c r="AN18" i="16"/>
  <c r="AC18" i="16"/>
  <c r="AE18" i="16"/>
  <c r="AF18" i="16"/>
  <c r="AJ18" i="16"/>
  <c r="AK18" i="16"/>
  <c r="AD20" i="16"/>
  <c r="AH20" i="16"/>
  <c r="AL20" i="16"/>
  <c r="AE20" i="16"/>
  <c r="AI20" i="16"/>
  <c r="AM20" i="16"/>
  <c r="AJ20" i="16"/>
  <c r="AK20" i="16"/>
  <c r="AC20" i="16"/>
  <c r="AF20" i="16"/>
  <c r="AN20" i="16"/>
  <c r="AG20" i="16"/>
  <c r="AE15" i="16"/>
  <c r="AI15" i="16"/>
  <c r="AM15" i="16"/>
  <c r="AH15" i="16"/>
  <c r="AN15" i="16"/>
  <c r="AC15" i="16"/>
  <c r="AD15" i="16"/>
  <c r="AJ15" i="16"/>
  <c r="AF15" i="16"/>
  <c r="AG15" i="16"/>
  <c r="AK15" i="16"/>
  <c r="AL15" i="16"/>
  <c r="F20" i="16"/>
  <c r="J20" i="16"/>
  <c r="N20" i="16"/>
  <c r="G20" i="16"/>
  <c r="L20" i="16"/>
  <c r="H20" i="16"/>
  <c r="M20" i="16"/>
  <c r="E20" i="16"/>
  <c r="I20" i="16"/>
  <c r="O20" i="16"/>
  <c r="K20" i="16"/>
  <c r="P20" i="16"/>
  <c r="AG17" i="16"/>
  <c r="AK17" i="16"/>
  <c r="AH17" i="16"/>
  <c r="AM17" i="16"/>
  <c r="AD17" i="16"/>
  <c r="AI17" i="16"/>
  <c r="AN17" i="16"/>
  <c r="AE17" i="16"/>
  <c r="AF17" i="16"/>
  <c r="AJ17" i="16"/>
  <c r="AC17" i="16"/>
  <c r="AL17" i="16"/>
  <c r="AF13" i="16"/>
  <c r="AJ13" i="16"/>
  <c r="AN13" i="16"/>
  <c r="AD13" i="16"/>
  <c r="AI13" i="16"/>
  <c r="AE13" i="16"/>
  <c r="AK13" i="16"/>
  <c r="AG13" i="16"/>
  <c r="AH13" i="16"/>
  <c r="AC13" i="16"/>
  <c r="AL13" i="16"/>
  <c r="AM13" i="16"/>
  <c r="AE21" i="16"/>
  <c r="AI21" i="16"/>
  <c r="AM21" i="16"/>
  <c r="AF21" i="16"/>
  <c r="AJ21" i="16"/>
  <c r="AN21" i="16"/>
  <c r="AG21" i="16"/>
  <c r="AC21" i="16"/>
  <c r="AH21" i="16"/>
  <c r="AK21" i="16"/>
  <c r="AD21" i="16"/>
  <c r="AL21" i="16"/>
  <c r="H39" i="82"/>
  <c r="H32" i="82"/>
  <c r="I7" i="82"/>
  <c r="H35" i="82"/>
  <c r="H33" i="82"/>
  <c r="H31" i="82"/>
  <c r="H36" i="82"/>
  <c r="H37" i="82"/>
  <c r="H34" i="82"/>
  <c r="AW38" i="60" l="1"/>
  <c r="AW26" i="60"/>
  <c r="AW25" i="60"/>
  <c r="AR38" i="60"/>
  <c r="AR25" i="60"/>
  <c r="AR26" i="60"/>
  <c r="AT38" i="60"/>
  <c r="AT25" i="60"/>
  <c r="AT26" i="60"/>
  <c r="AO26" i="60"/>
  <c r="AO25" i="60"/>
  <c r="AU38" i="60"/>
  <c r="AU26" i="60"/>
  <c r="AU25" i="60"/>
  <c r="AV25" i="60"/>
  <c r="AV26" i="60"/>
  <c r="AX38" i="60"/>
  <c r="AX25" i="60"/>
  <c r="AX26" i="60"/>
  <c r="AS26" i="60"/>
  <c r="AS25" i="60"/>
  <c r="AQ25" i="60"/>
  <c r="AQ26" i="60"/>
  <c r="AY25" i="60"/>
  <c r="AY26" i="60"/>
  <c r="AN25" i="60"/>
  <c r="AN26" i="60"/>
  <c r="AP25" i="60"/>
  <c r="AP26" i="60"/>
  <c r="AN38" i="60"/>
  <c r="AN18" i="60"/>
  <c r="AO49" i="60"/>
  <c r="AO38" i="60"/>
  <c r="AV38" i="60"/>
  <c r="AY38" i="60"/>
  <c r="AP38" i="60"/>
  <c r="AS38" i="60"/>
  <c r="AQ38" i="60"/>
  <c r="AN15" i="60"/>
  <c r="AN16" i="60"/>
  <c r="AR52" i="60"/>
  <c r="AR49" i="60"/>
  <c r="AR51" i="60"/>
  <c r="AU49" i="60"/>
  <c r="AX51" i="60"/>
  <c r="AX52" i="60"/>
  <c r="AX49" i="60"/>
  <c r="AO11" i="60"/>
  <c r="AN11" i="60"/>
  <c r="F24" i="86"/>
  <c r="E39" i="86"/>
  <c r="F24" i="87"/>
  <c r="E39" i="87"/>
  <c r="E39" i="88"/>
  <c r="F24" i="88"/>
  <c r="AS50" i="60"/>
  <c r="AY50" i="60"/>
  <c r="AN50" i="60"/>
  <c r="AP50" i="60"/>
  <c r="AW50" i="60"/>
  <c r="AR50" i="60"/>
  <c r="AR53" i="60"/>
  <c r="AT50" i="60"/>
  <c r="AQ50" i="60"/>
  <c r="AO50" i="60"/>
  <c r="AU50" i="60"/>
  <c r="AV50" i="60"/>
  <c r="AX53" i="60"/>
  <c r="AX50" i="60"/>
  <c r="AR45" i="60"/>
  <c r="AR44" i="60"/>
  <c r="AO45" i="60"/>
  <c r="AO44" i="60"/>
  <c r="AU45" i="60"/>
  <c r="AU44" i="60"/>
  <c r="AV45" i="60"/>
  <c r="AV44" i="60"/>
  <c r="AX44" i="60"/>
  <c r="AX45" i="60"/>
  <c r="AT44" i="60"/>
  <c r="AT45" i="60"/>
  <c r="AS45" i="60"/>
  <c r="AS44" i="60"/>
  <c r="AQ45" i="60"/>
  <c r="AQ44" i="60"/>
  <c r="AW45" i="60"/>
  <c r="AW44" i="60"/>
  <c r="AY45" i="60"/>
  <c r="AY44" i="60"/>
  <c r="AN45" i="60"/>
  <c r="AN44" i="60"/>
  <c r="AP44" i="60"/>
  <c r="AP45" i="60"/>
  <c r="AU36" i="60"/>
  <c r="AX36" i="60"/>
  <c r="AS36" i="60"/>
  <c r="AQ36" i="60"/>
  <c r="AV36" i="60"/>
  <c r="AY36" i="60"/>
  <c r="AN36" i="60"/>
  <c r="AP36" i="60"/>
  <c r="AO36" i="60"/>
  <c r="AW36" i="60"/>
  <c r="AR36" i="60"/>
  <c r="AT36" i="60"/>
  <c r="BL5" i="47"/>
  <c r="BH5" i="47"/>
  <c r="BD5" i="47"/>
  <c r="BK6" i="13"/>
  <c r="BG6" i="13"/>
  <c r="BC6" i="13"/>
  <c r="BM5" i="47"/>
  <c r="BI5" i="47"/>
  <c r="BE5" i="47"/>
  <c r="BL6" i="13"/>
  <c r="BH6" i="13"/>
  <c r="BD6" i="13"/>
  <c r="BJ5" i="47"/>
  <c r="BB5" i="47"/>
  <c r="BE6" i="13"/>
  <c r="BF5" i="47"/>
  <c r="BI6" i="13"/>
  <c r="BA6" i="13"/>
  <c r="BJ6" i="18"/>
  <c r="BJ28" i="18" s="1"/>
  <c r="BF6" i="18"/>
  <c r="BF28" i="18" s="1"/>
  <c r="BB6" i="18"/>
  <c r="BB28" i="18" s="1"/>
  <c r="BJ5" i="60"/>
  <c r="BJ43" i="60" s="1"/>
  <c r="BF5" i="60"/>
  <c r="BB5" i="60"/>
  <c r="BK5" i="47"/>
  <c r="BF6" i="13"/>
  <c r="BG6" i="18"/>
  <c r="BG28" i="18" s="1"/>
  <c r="BA6" i="18"/>
  <c r="BA28" i="18" s="1"/>
  <c r="BH5" i="60"/>
  <c r="BC5" i="60"/>
  <c r="BJ6" i="29"/>
  <c r="BF6" i="29"/>
  <c r="BB6" i="29"/>
  <c r="BL6" i="16"/>
  <c r="BE6" i="16"/>
  <c r="BI6" i="16"/>
  <c r="BG5" i="47"/>
  <c r="BB6" i="13"/>
  <c r="BC5" i="47"/>
  <c r="BI6" i="18"/>
  <c r="BI28" i="18" s="1"/>
  <c r="BD6" i="18"/>
  <c r="BD28" i="18" s="1"/>
  <c r="BK5" i="60"/>
  <c r="BE5" i="60"/>
  <c r="AZ5" i="60"/>
  <c r="AZ11" i="60" s="1"/>
  <c r="BH6" i="29"/>
  <c r="BD6" i="29"/>
  <c r="AZ6" i="29"/>
  <c r="BC6" i="16"/>
  <c r="BG6" i="16"/>
  <c r="BK6" i="16"/>
  <c r="BJ6" i="13"/>
  <c r="BH6" i="18"/>
  <c r="BH28" i="18" s="1"/>
  <c r="BC6" i="18"/>
  <c r="BC28" i="18" s="1"/>
  <c r="BI5" i="60"/>
  <c r="BK6" i="18"/>
  <c r="BK28" i="18" s="1"/>
  <c r="BK6" i="29"/>
  <c r="BC6" i="29"/>
  <c r="BI6" i="29"/>
  <c r="AZ6" i="18"/>
  <c r="AZ28" i="18" s="1"/>
  <c r="BD5" i="60"/>
  <c r="BD43" i="60" s="1"/>
  <c r="BG6" i="29"/>
  <c r="BH6" i="16"/>
  <c r="BG5" i="60"/>
  <c r="BA5" i="60"/>
  <c r="BA11" i="60" s="1"/>
  <c r="BE6" i="29"/>
  <c r="BB6" i="16"/>
  <c r="BJ6" i="16"/>
  <c r="BD6" i="16"/>
  <c r="BA6" i="16"/>
  <c r="BE6" i="18"/>
  <c r="BE28" i="18" s="1"/>
  <c r="BA6" i="29"/>
  <c r="BF6" i="16"/>
  <c r="AP18" i="16"/>
  <c r="AT18" i="16"/>
  <c r="AX18" i="16"/>
  <c r="AQ18" i="16"/>
  <c r="AV18" i="16"/>
  <c r="AR18" i="16"/>
  <c r="AW18" i="16"/>
  <c r="AS18" i="16"/>
  <c r="AU18" i="16"/>
  <c r="AO18" i="16"/>
  <c r="AY18" i="16"/>
  <c r="AZ18" i="16"/>
  <c r="AR13" i="16"/>
  <c r="AV13" i="16"/>
  <c r="AZ13" i="16"/>
  <c r="AS13" i="16"/>
  <c r="AX13" i="16"/>
  <c r="AT13" i="16"/>
  <c r="AY13" i="16"/>
  <c r="AU13" i="16"/>
  <c r="AW13" i="16"/>
  <c r="AP13" i="16"/>
  <c r="AQ13" i="16"/>
  <c r="AO13" i="16"/>
  <c r="AS21" i="16"/>
  <c r="AW21" i="16"/>
  <c r="AO21" i="16"/>
  <c r="AP21" i="16"/>
  <c r="AU21" i="16"/>
  <c r="AZ21" i="16"/>
  <c r="AQ21" i="16"/>
  <c r="AV21" i="16"/>
  <c r="AR21" i="16"/>
  <c r="AT21" i="16"/>
  <c r="AX21" i="16"/>
  <c r="AY21" i="16"/>
  <c r="AR20" i="16"/>
  <c r="AV20" i="16"/>
  <c r="AZ20" i="16"/>
  <c r="AP20" i="16"/>
  <c r="AU20" i="16"/>
  <c r="AQ20" i="16"/>
  <c r="AW20" i="16"/>
  <c r="AO20" i="16"/>
  <c r="AS20" i="16"/>
  <c r="AT20" i="16"/>
  <c r="AX20" i="16"/>
  <c r="AY20" i="16"/>
  <c r="AP14" i="16"/>
  <c r="AT14" i="16"/>
  <c r="AX14" i="16"/>
  <c r="AR14" i="16"/>
  <c r="AW14" i="16"/>
  <c r="AS14" i="16"/>
  <c r="AY14" i="16"/>
  <c r="AU14" i="16"/>
  <c r="AV14" i="16"/>
  <c r="AZ14" i="16"/>
  <c r="AO14" i="16"/>
  <c r="AQ14" i="16"/>
  <c r="AR16" i="16"/>
  <c r="AV16" i="16"/>
  <c r="AZ16" i="16"/>
  <c r="AQ16" i="16"/>
  <c r="AW16" i="16"/>
  <c r="AO16" i="16"/>
  <c r="AS16" i="16"/>
  <c r="AX16" i="16"/>
  <c r="AT16" i="16"/>
  <c r="AU16" i="16"/>
  <c r="AY16" i="16"/>
  <c r="AP16" i="16"/>
  <c r="AQ15" i="16"/>
  <c r="AU15" i="16"/>
  <c r="AY15" i="16"/>
  <c r="AR15" i="16"/>
  <c r="AW15" i="16"/>
  <c r="AS15" i="16"/>
  <c r="AX15" i="16"/>
  <c r="AO15" i="16"/>
  <c r="AT15" i="16"/>
  <c r="AV15" i="16"/>
  <c r="AZ15" i="16"/>
  <c r="AP15" i="16"/>
  <c r="AQ19" i="16"/>
  <c r="AU19" i="16"/>
  <c r="AY19" i="16"/>
  <c r="AP19" i="16"/>
  <c r="AV19" i="16"/>
  <c r="AR19" i="16"/>
  <c r="AW19" i="16"/>
  <c r="AS19" i="16"/>
  <c r="AO19" i="16"/>
  <c r="AT19" i="16"/>
  <c r="AX19" i="16"/>
  <c r="AZ19" i="16"/>
  <c r="AS17" i="16"/>
  <c r="AW17" i="16"/>
  <c r="AO17" i="16"/>
  <c r="AQ17" i="16"/>
  <c r="AV17" i="16"/>
  <c r="AR17" i="16"/>
  <c r="AX17" i="16"/>
  <c r="AT17" i="16"/>
  <c r="AU17" i="16"/>
  <c r="AY17" i="16"/>
  <c r="AP17" i="16"/>
  <c r="AZ17" i="16"/>
  <c r="I35" i="82"/>
  <c r="I33" i="82"/>
  <c r="I31" i="82"/>
  <c r="I37" i="82"/>
  <c r="I32" i="82"/>
  <c r="J7" i="82"/>
  <c r="I36" i="82"/>
  <c r="I34" i="82"/>
  <c r="I39" i="82"/>
  <c r="I38" i="82"/>
  <c r="BK26" i="60" l="1"/>
  <c r="BK25" i="60"/>
  <c r="BB25" i="60"/>
  <c r="BB26" i="60"/>
  <c r="BA38" i="60"/>
  <c r="BA26" i="60"/>
  <c r="BA25" i="60"/>
  <c r="BD38" i="60"/>
  <c r="BD25" i="60"/>
  <c r="BD26" i="60"/>
  <c r="BF38" i="60"/>
  <c r="BF25" i="60"/>
  <c r="BF26" i="60"/>
  <c r="BG38" i="60"/>
  <c r="BG25" i="60"/>
  <c r="BG26" i="60"/>
  <c r="AZ25" i="60"/>
  <c r="AZ26" i="60"/>
  <c r="BC26" i="60"/>
  <c r="BC25" i="60"/>
  <c r="BJ38" i="60"/>
  <c r="BJ25" i="60"/>
  <c r="BJ26" i="60"/>
  <c r="BI38" i="60"/>
  <c r="BI26" i="60"/>
  <c r="BI25" i="60"/>
  <c r="BE26" i="60"/>
  <c r="BE25" i="60"/>
  <c r="BH25" i="60"/>
  <c r="BH26" i="60"/>
  <c r="AZ38" i="60"/>
  <c r="AZ18" i="60"/>
  <c r="BC38" i="60"/>
  <c r="BE38" i="60"/>
  <c r="BH38" i="60"/>
  <c r="BK38" i="60"/>
  <c r="BB38" i="60"/>
  <c r="BJ52" i="60"/>
  <c r="BJ51" i="60"/>
  <c r="BJ49" i="60"/>
  <c r="BG49" i="60"/>
  <c r="BA49" i="60"/>
  <c r="BD51" i="60"/>
  <c r="BD49" i="60"/>
  <c r="BD52" i="60"/>
  <c r="F34" i="87"/>
  <c r="F31" i="87"/>
  <c r="F31" i="86"/>
  <c r="F34" i="86"/>
  <c r="F31" i="88"/>
  <c r="F34" i="88"/>
  <c r="BF50" i="60"/>
  <c r="BG50" i="60"/>
  <c r="AZ50" i="60"/>
  <c r="BC50" i="60"/>
  <c r="BJ53" i="60"/>
  <c r="BJ50" i="60"/>
  <c r="BA50" i="60"/>
  <c r="BD53" i="60"/>
  <c r="BD50" i="60"/>
  <c r="BI50" i="60"/>
  <c r="BE50" i="60"/>
  <c r="BH50" i="60"/>
  <c r="BK50" i="60"/>
  <c r="BB50" i="60"/>
  <c r="BA45" i="60"/>
  <c r="BA44" i="60"/>
  <c r="BD45" i="60"/>
  <c r="BD44" i="60"/>
  <c r="BF44" i="60"/>
  <c r="BF45" i="60"/>
  <c r="BK45" i="60"/>
  <c r="BK44" i="60"/>
  <c r="BG45" i="60"/>
  <c r="BG44" i="60"/>
  <c r="AZ45" i="60"/>
  <c r="AZ44" i="60"/>
  <c r="BC45" i="60"/>
  <c r="BC44" i="60"/>
  <c r="BJ44" i="60"/>
  <c r="BJ45" i="60"/>
  <c r="BB44" i="60"/>
  <c r="BB45" i="60"/>
  <c r="BI45" i="60"/>
  <c r="BI44" i="60"/>
  <c r="BE45" i="60"/>
  <c r="BE44" i="60"/>
  <c r="BH45" i="60"/>
  <c r="BH44" i="60"/>
  <c r="BG36" i="60"/>
  <c r="BJ36" i="60"/>
  <c r="BI36" i="60"/>
  <c r="BE36" i="60"/>
  <c r="BH36" i="60"/>
  <c r="BC36" i="60"/>
  <c r="BK36" i="60"/>
  <c r="BB36" i="60"/>
  <c r="AZ36" i="60"/>
  <c r="BA36" i="60"/>
  <c r="BD36" i="60"/>
  <c r="BF36" i="60"/>
  <c r="BX5" i="47"/>
  <c r="BT5" i="47"/>
  <c r="BP5" i="47"/>
  <c r="BW6" i="13"/>
  <c r="BS6" i="13"/>
  <c r="BO6" i="13"/>
  <c r="BY5" i="47"/>
  <c r="BU5" i="47"/>
  <c r="BQ5" i="47"/>
  <c r="BX6" i="13"/>
  <c r="BT6" i="13"/>
  <c r="BP6" i="13"/>
  <c r="BR5" i="47"/>
  <c r="BU6" i="13"/>
  <c r="BM6" i="13"/>
  <c r="BV5" i="47"/>
  <c r="BN5" i="47"/>
  <c r="BQ6" i="13"/>
  <c r="BV6" i="18"/>
  <c r="BR6" i="18"/>
  <c r="BR28" i="18" s="1"/>
  <c r="BN6" i="18"/>
  <c r="BN28" i="18" s="1"/>
  <c r="BV5" i="60"/>
  <c r="BR5" i="60"/>
  <c r="BN5" i="60"/>
  <c r="BV6" i="13"/>
  <c r="BW6" i="18"/>
  <c r="BQ6" i="18"/>
  <c r="BQ28" i="18" s="1"/>
  <c r="BL6" i="18"/>
  <c r="BL28" i="18" s="1"/>
  <c r="BS5" i="60"/>
  <c r="BM5" i="60"/>
  <c r="BM11" i="60" s="1"/>
  <c r="BV6" i="29"/>
  <c r="BR6" i="29"/>
  <c r="BN6" i="29"/>
  <c r="BO6" i="16"/>
  <c r="BS6" i="16"/>
  <c r="BW6" i="16"/>
  <c r="BW5" i="47"/>
  <c r="BR6" i="13"/>
  <c r="BS5" i="47"/>
  <c r="BN6" i="13"/>
  <c r="BT6" i="18"/>
  <c r="BO6" i="18"/>
  <c r="BO28" i="18" s="1"/>
  <c r="BU5" i="60"/>
  <c r="BP5" i="60"/>
  <c r="BP43" i="60" s="1"/>
  <c r="BT6" i="29"/>
  <c r="BP6" i="29"/>
  <c r="BL6" i="29"/>
  <c r="BQ6" i="16"/>
  <c r="BU6" i="16"/>
  <c r="BM6" i="16"/>
  <c r="BO5" i="47"/>
  <c r="BS6" i="18"/>
  <c r="BM6" i="18"/>
  <c r="BM28" i="18" s="1"/>
  <c r="BT5" i="60"/>
  <c r="BO5" i="60"/>
  <c r="BL5" i="60"/>
  <c r="BL11" i="60" s="1"/>
  <c r="BS6" i="29"/>
  <c r="BP6" i="16"/>
  <c r="BU6" i="18"/>
  <c r="BW5" i="60"/>
  <c r="BW6" i="29"/>
  <c r="BO6" i="29"/>
  <c r="BR6" i="16"/>
  <c r="BQ6" i="29"/>
  <c r="BX6" i="16"/>
  <c r="BP6" i="18"/>
  <c r="BP28" i="18" s="1"/>
  <c r="BQ5" i="60"/>
  <c r="BU6" i="29"/>
  <c r="BM6" i="29"/>
  <c r="BT6" i="16"/>
  <c r="BN6" i="16"/>
  <c r="BV6" i="16"/>
  <c r="BE21" i="16"/>
  <c r="BI21" i="16"/>
  <c r="BA21" i="16"/>
  <c r="BD21" i="16"/>
  <c r="BJ21" i="16"/>
  <c r="BF21" i="16"/>
  <c r="BK21" i="16"/>
  <c r="BG21" i="16"/>
  <c r="BH21" i="16"/>
  <c r="BB21" i="16"/>
  <c r="BL21" i="16"/>
  <c r="BC21" i="16"/>
  <c r="BD16" i="16"/>
  <c r="BH16" i="16"/>
  <c r="BL16" i="16"/>
  <c r="BF16" i="16"/>
  <c r="BK16" i="16"/>
  <c r="BB16" i="16"/>
  <c r="BG16" i="16"/>
  <c r="BI16" i="16"/>
  <c r="BA16" i="16"/>
  <c r="BJ16" i="16"/>
  <c r="BC16" i="16"/>
  <c r="BE16" i="16"/>
  <c r="BB18" i="16"/>
  <c r="BF18" i="16"/>
  <c r="BJ18" i="16"/>
  <c r="BE18" i="16"/>
  <c r="BK18" i="16"/>
  <c r="BG18" i="16"/>
  <c r="BL18" i="16"/>
  <c r="BA18" i="16"/>
  <c r="BH18" i="16"/>
  <c r="BI18" i="16"/>
  <c r="BC18" i="16"/>
  <c r="BD18" i="16"/>
  <c r="BD13" i="16"/>
  <c r="BH13" i="16"/>
  <c r="BL13" i="16"/>
  <c r="BB13" i="16"/>
  <c r="BG13" i="16"/>
  <c r="BC13" i="16"/>
  <c r="BI13" i="16"/>
  <c r="BA13" i="16"/>
  <c r="BJ13" i="16"/>
  <c r="BK13" i="16"/>
  <c r="BE13" i="16"/>
  <c r="BF13" i="16"/>
  <c r="BB14" i="16"/>
  <c r="BF14" i="16"/>
  <c r="BJ14" i="16"/>
  <c r="BG14" i="16"/>
  <c r="BL14" i="16"/>
  <c r="BA14" i="16"/>
  <c r="BC14" i="16"/>
  <c r="BH14" i="16"/>
  <c r="BI14" i="16"/>
  <c r="BK14" i="16"/>
  <c r="BD14" i="16"/>
  <c r="BE14" i="16"/>
  <c r="BE17" i="16"/>
  <c r="BI17" i="16"/>
  <c r="BA17" i="16"/>
  <c r="BF17" i="16"/>
  <c r="BK17" i="16"/>
  <c r="BB17" i="16"/>
  <c r="BG17" i="16"/>
  <c r="BL17" i="16"/>
  <c r="BH17" i="16"/>
  <c r="BJ17" i="16"/>
  <c r="BC17" i="16"/>
  <c r="BD17" i="16"/>
  <c r="BC19" i="16"/>
  <c r="BG19" i="16"/>
  <c r="BK19" i="16"/>
  <c r="BE19" i="16"/>
  <c r="BJ19" i="16"/>
  <c r="BA19" i="16"/>
  <c r="BF19" i="16"/>
  <c r="BL19" i="16"/>
  <c r="BH19" i="16"/>
  <c r="BI19" i="16"/>
  <c r="BB19" i="16"/>
  <c r="BD19" i="16"/>
  <c r="BD20" i="16"/>
  <c r="BH20" i="16"/>
  <c r="BL20" i="16"/>
  <c r="BE20" i="16"/>
  <c r="BJ20" i="16"/>
  <c r="BF20" i="16"/>
  <c r="BK20" i="16"/>
  <c r="BG20" i="16"/>
  <c r="BI20" i="16"/>
  <c r="BB20" i="16"/>
  <c r="BC20" i="16"/>
  <c r="BA20" i="16"/>
  <c r="BC15" i="16"/>
  <c r="BG15" i="16"/>
  <c r="BK15" i="16"/>
  <c r="BF15" i="16"/>
  <c r="BL15" i="16"/>
  <c r="BB15" i="16"/>
  <c r="BH15" i="16"/>
  <c r="BI15" i="16"/>
  <c r="BJ15" i="16"/>
  <c r="BA15" i="16"/>
  <c r="BD15" i="16"/>
  <c r="BE15" i="16"/>
  <c r="J33" i="82"/>
  <c r="J31" i="82"/>
  <c r="J32" i="82"/>
  <c r="K7" i="82"/>
  <c r="J35" i="82"/>
  <c r="J36" i="82"/>
  <c r="J37" i="82"/>
  <c r="J34" i="82"/>
  <c r="J39" i="82"/>
  <c r="J38" i="82"/>
  <c r="BV43" i="60" l="1"/>
  <c r="BV53" i="60"/>
  <c r="BN25" i="60"/>
  <c r="BN26" i="60"/>
  <c r="BW25" i="60"/>
  <c r="BW26" i="60"/>
  <c r="BL25" i="60"/>
  <c r="BL26" i="60"/>
  <c r="BM38" i="60"/>
  <c r="BM26" i="60"/>
  <c r="BM25" i="60"/>
  <c r="BR38" i="60"/>
  <c r="BR25" i="60"/>
  <c r="BR26" i="60"/>
  <c r="BQ26" i="60"/>
  <c r="BQ25" i="60"/>
  <c r="BO25" i="60"/>
  <c r="BO26" i="60"/>
  <c r="BP38" i="60"/>
  <c r="BP25" i="60"/>
  <c r="BP26" i="60"/>
  <c r="BS38" i="60"/>
  <c r="BS26" i="60"/>
  <c r="BS25" i="60"/>
  <c r="BV38" i="60"/>
  <c r="BV25" i="60"/>
  <c r="BV26" i="60"/>
  <c r="BT25" i="60"/>
  <c r="BT26" i="60"/>
  <c r="BU38" i="60"/>
  <c r="BU26" i="60"/>
  <c r="BU25" i="60"/>
  <c r="BL38" i="60"/>
  <c r="BL18" i="60"/>
  <c r="BQ38" i="60"/>
  <c r="BO38" i="60"/>
  <c r="BW38" i="60"/>
  <c r="BT38" i="60"/>
  <c r="BN38" i="60"/>
  <c r="BU10" i="18"/>
  <c r="BU28" i="18"/>
  <c r="BS49" i="60"/>
  <c r="BV51" i="60"/>
  <c r="BV52" i="60"/>
  <c r="BV49" i="60"/>
  <c r="BP52" i="60"/>
  <c r="BP49" i="60"/>
  <c r="BP51" i="60"/>
  <c r="BS10" i="18"/>
  <c r="BS28" i="18"/>
  <c r="BT10" i="18"/>
  <c r="BT28" i="18"/>
  <c r="BM49" i="60"/>
  <c r="BW10" i="18"/>
  <c r="BW28" i="18"/>
  <c r="BV10" i="18"/>
  <c r="BV28" i="18"/>
  <c r="G24" i="88"/>
  <c r="F39" i="88"/>
  <c r="G24" i="87"/>
  <c r="F39" i="87"/>
  <c r="G24" i="86"/>
  <c r="F39" i="86"/>
  <c r="BS50" i="60"/>
  <c r="BW50" i="60"/>
  <c r="BM50" i="60"/>
  <c r="BQ50" i="60"/>
  <c r="BP50" i="60"/>
  <c r="BP53" i="60"/>
  <c r="BT50" i="60"/>
  <c r="BU50" i="60"/>
  <c r="BL50" i="60"/>
  <c r="BR50" i="60"/>
  <c r="BO50" i="60"/>
  <c r="BV50" i="60"/>
  <c r="BN50" i="60"/>
  <c r="BU45" i="60"/>
  <c r="BU44" i="60"/>
  <c r="BN44" i="60"/>
  <c r="BN45" i="60"/>
  <c r="BW45" i="60"/>
  <c r="BW44" i="60"/>
  <c r="BL45" i="60"/>
  <c r="BL44" i="60"/>
  <c r="BM45" i="60"/>
  <c r="BM44" i="60"/>
  <c r="BR44" i="60"/>
  <c r="BR45" i="60"/>
  <c r="BT45" i="60"/>
  <c r="BT44" i="60"/>
  <c r="BQ45" i="60"/>
  <c r="BQ44" i="60"/>
  <c r="BO45" i="60"/>
  <c r="BO44" i="60"/>
  <c r="BP45" i="60"/>
  <c r="BP44" i="60"/>
  <c r="BS45" i="60"/>
  <c r="BS44" i="60"/>
  <c r="BV44" i="60"/>
  <c r="BV45" i="60"/>
  <c r="BQ36" i="60"/>
  <c r="BV36" i="60"/>
  <c r="BT36" i="60"/>
  <c r="BU36" i="60"/>
  <c r="BO36" i="60"/>
  <c r="BN36" i="60"/>
  <c r="BP36" i="60"/>
  <c r="BS36" i="60"/>
  <c r="BW36" i="60"/>
  <c r="BL36" i="60"/>
  <c r="BM36" i="60"/>
  <c r="BR36" i="60"/>
  <c r="CJ5" i="47"/>
  <c r="CF5" i="47"/>
  <c r="CB5" i="47"/>
  <c r="CI6" i="13"/>
  <c r="CE6" i="13"/>
  <c r="CA6" i="13"/>
  <c r="CK5" i="47"/>
  <c r="CG5" i="47"/>
  <c r="CC5" i="47"/>
  <c r="CJ6" i="13"/>
  <c r="CF6" i="13"/>
  <c r="CB6" i="13"/>
  <c r="CH5" i="47"/>
  <c r="BZ5" i="47"/>
  <c r="CC6" i="13"/>
  <c r="CD5" i="47"/>
  <c r="CG6" i="13"/>
  <c r="BY6" i="13"/>
  <c r="CH6" i="18"/>
  <c r="CD6" i="18"/>
  <c r="BZ6" i="18"/>
  <c r="CH5" i="60"/>
  <c r="CD5" i="60"/>
  <c r="BZ5" i="60"/>
  <c r="CA5" i="47"/>
  <c r="CG6" i="18"/>
  <c r="CB6" i="18"/>
  <c r="CI5" i="60"/>
  <c r="CC5" i="60"/>
  <c r="BX5" i="60"/>
  <c r="BX11" i="60" s="1"/>
  <c r="CH6" i="29"/>
  <c r="CD6" i="29"/>
  <c r="BZ6" i="29"/>
  <c r="CA6" i="16"/>
  <c r="CE6" i="16"/>
  <c r="CI6" i="16"/>
  <c r="CH6" i="13"/>
  <c r="CI5" i="47"/>
  <c r="CD6" i="13"/>
  <c r="CE6" i="18"/>
  <c r="BY6" i="18"/>
  <c r="CF5" i="60"/>
  <c r="CA5" i="60"/>
  <c r="CF6" i="29"/>
  <c r="CB6" i="29"/>
  <c r="BX6" i="29"/>
  <c r="CC6" i="16"/>
  <c r="CG6" i="16"/>
  <c r="BY6" i="16"/>
  <c r="CE5" i="47"/>
  <c r="BZ6" i="13"/>
  <c r="CI6" i="18"/>
  <c r="CC6" i="18"/>
  <c r="BX6" i="18"/>
  <c r="CE5" i="60"/>
  <c r="BY5" i="60"/>
  <c r="BY11" i="60" s="1"/>
  <c r="CF6" i="18"/>
  <c r="CG5" i="60"/>
  <c r="CI6" i="29"/>
  <c r="CA6" i="29"/>
  <c r="CA6" i="18"/>
  <c r="CG6" i="29"/>
  <c r="CE6" i="29"/>
  <c r="BZ6" i="16"/>
  <c r="CH6" i="16"/>
  <c r="CC6" i="29"/>
  <c r="CB6" i="16"/>
  <c r="CJ6" i="16"/>
  <c r="CD6" i="16"/>
  <c r="CB5" i="60"/>
  <c r="CB43" i="60" s="1"/>
  <c r="BY6" i="29"/>
  <c r="CF6" i="16"/>
  <c r="BO15" i="16"/>
  <c r="BS15" i="16"/>
  <c r="BW15" i="16"/>
  <c r="BP15" i="16"/>
  <c r="BU15" i="16"/>
  <c r="BQ15" i="16"/>
  <c r="BV15" i="16"/>
  <c r="BM15" i="16"/>
  <c r="BX15" i="16"/>
  <c r="BN15" i="16"/>
  <c r="BR15" i="16"/>
  <c r="BT15" i="16"/>
  <c r="BP16" i="16"/>
  <c r="BT16" i="16"/>
  <c r="BX16" i="16"/>
  <c r="BO16" i="16"/>
  <c r="BU16" i="16"/>
  <c r="BM16" i="16"/>
  <c r="BQ16" i="16"/>
  <c r="BV16" i="16"/>
  <c r="BW16" i="16"/>
  <c r="BN16" i="16"/>
  <c r="BR16" i="16"/>
  <c r="BS16" i="16"/>
  <c r="BO19" i="16"/>
  <c r="BS19" i="16"/>
  <c r="BW19" i="16"/>
  <c r="BN19" i="16"/>
  <c r="BT19" i="16"/>
  <c r="BP19" i="16"/>
  <c r="BU19" i="16"/>
  <c r="BV19" i="16"/>
  <c r="BX19" i="16"/>
  <c r="BQ19" i="16"/>
  <c r="BM19" i="16"/>
  <c r="BR19" i="16"/>
  <c r="BQ21" i="16"/>
  <c r="BU21" i="16"/>
  <c r="BM21" i="16"/>
  <c r="BN21" i="16"/>
  <c r="BS21" i="16"/>
  <c r="BX21" i="16"/>
  <c r="BO21" i="16"/>
  <c r="BT21" i="16"/>
  <c r="BV21" i="16"/>
  <c r="BW21" i="16"/>
  <c r="BP21" i="16"/>
  <c r="BR21" i="16"/>
  <c r="BQ17" i="16"/>
  <c r="BU17" i="16"/>
  <c r="BM17" i="16"/>
  <c r="BO17" i="16"/>
  <c r="BT17" i="16"/>
  <c r="BP17" i="16"/>
  <c r="BV17" i="16"/>
  <c r="BW17" i="16"/>
  <c r="BN17" i="16"/>
  <c r="BX17" i="16"/>
  <c r="BR17" i="16"/>
  <c r="BS17" i="16"/>
  <c r="BN14" i="16"/>
  <c r="BR14" i="16"/>
  <c r="BV14" i="16"/>
  <c r="BP14" i="16"/>
  <c r="BU14" i="16"/>
  <c r="BQ14" i="16"/>
  <c r="BW14" i="16"/>
  <c r="BX14" i="16"/>
  <c r="BM14" i="16"/>
  <c r="BO14" i="16"/>
  <c r="BS14" i="16"/>
  <c r="BT14" i="16"/>
  <c r="BP20" i="16"/>
  <c r="BT20" i="16"/>
  <c r="BX20" i="16"/>
  <c r="BN20" i="16"/>
  <c r="BS20" i="16"/>
  <c r="BO20" i="16"/>
  <c r="BU20" i="16"/>
  <c r="BM20" i="16"/>
  <c r="BV20" i="16"/>
  <c r="BW20" i="16"/>
  <c r="BQ20" i="16"/>
  <c r="BR20" i="16"/>
  <c r="BN18" i="16"/>
  <c r="BR18" i="16"/>
  <c r="BV18" i="16"/>
  <c r="BO18" i="16"/>
  <c r="BT18" i="16"/>
  <c r="BP18" i="16"/>
  <c r="BU18" i="16"/>
  <c r="BW18" i="16"/>
  <c r="BX18" i="16"/>
  <c r="BQ18" i="16"/>
  <c r="BS18" i="16"/>
  <c r="BM18" i="16"/>
  <c r="BO13" i="16"/>
  <c r="BS13" i="16"/>
  <c r="BW13" i="16"/>
  <c r="BQ13" i="16"/>
  <c r="BV13" i="16"/>
  <c r="BT13" i="16"/>
  <c r="BN13" i="16"/>
  <c r="BU13" i="16"/>
  <c r="BX13" i="16"/>
  <c r="BM13" i="16"/>
  <c r="BP13" i="16"/>
  <c r="BR13" i="16"/>
  <c r="K31" i="82"/>
  <c r="K37" i="82"/>
  <c r="K32" i="82"/>
  <c r="L7" i="82"/>
  <c r="K35" i="82"/>
  <c r="K33" i="82"/>
  <c r="K36" i="82"/>
  <c r="K34" i="82"/>
  <c r="K39" i="82"/>
  <c r="K38" i="82"/>
  <c r="CH53" i="60" l="1"/>
  <c r="CH43" i="60"/>
  <c r="CB38" i="60"/>
  <c r="CB25" i="60"/>
  <c r="CB26" i="60"/>
  <c r="CG38" i="60"/>
  <c r="CG26" i="60"/>
  <c r="CG25" i="60"/>
  <c r="CA26" i="60"/>
  <c r="CA25" i="60"/>
  <c r="CI26" i="60"/>
  <c r="CI25" i="60"/>
  <c r="CF25" i="60"/>
  <c r="CF26" i="60"/>
  <c r="BZ25" i="60"/>
  <c r="BZ26" i="60"/>
  <c r="BY38" i="60"/>
  <c r="BY26" i="60"/>
  <c r="BY25" i="60"/>
  <c r="BX25" i="60"/>
  <c r="BX26" i="60"/>
  <c r="CD38" i="60"/>
  <c r="CD25" i="60"/>
  <c r="CD26" i="60"/>
  <c r="CE38" i="60"/>
  <c r="CE25" i="60"/>
  <c r="CE26" i="60"/>
  <c r="CC26" i="60"/>
  <c r="CC25" i="60"/>
  <c r="CH38" i="60"/>
  <c r="CH25" i="60"/>
  <c r="CH26" i="60"/>
  <c r="BX38" i="60"/>
  <c r="BX18" i="60"/>
  <c r="CC38" i="60"/>
  <c r="CA38" i="60"/>
  <c r="CI38" i="60"/>
  <c r="CF38" i="60"/>
  <c r="BZ38" i="60"/>
  <c r="BY49" i="60"/>
  <c r="BY10" i="18"/>
  <c r="BY28" i="18"/>
  <c r="CG10" i="18"/>
  <c r="CG28" i="18"/>
  <c r="CH10" i="18"/>
  <c r="CH28" i="18"/>
  <c r="CE49" i="60"/>
  <c r="CE10" i="18"/>
  <c r="CE28" i="18"/>
  <c r="CH52" i="60"/>
  <c r="CH51" i="60"/>
  <c r="CH49" i="60"/>
  <c r="CA10" i="18"/>
  <c r="CA28" i="18"/>
  <c r="CF10" i="18"/>
  <c r="CF28" i="18"/>
  <c r="CC10" i="18"/>
  <c r="CC28" i="18"/>
  <c r="CB10" i="18"/>
  <c r="CB28" i="18"/>
  <c r="CD10" i="18"/>
  <c r="CD28" i="18"/>
  <c r="CI10" i="18"/>
  <c r="CI28" i="18"/>
  <c r="CB51" i="60"/>
  <c r="CB49" i="60"/>
  <c r="CB52" i="60"/>
  <c r="BX10" i="18"/>
  <c r="BX28" i="18"/>
  <c r="BZ10" i="18"/>
  <c r="BZ28" i="18"/>
  <c r="G34" i="86"/>
  <c r="G31" i="86"/>
  <c r="G31" i="87"/>
  <c r="G34" i="87"/>
  <c r="G31" i="88"/>
  <c r="G34" i="88"/>
  <c r="CD50" i="60"/>
  <c r="CC50" i="60"/>
  <c r="BX50" i="60"/>
  <c r="CB50" i="60"/>
  <c r="CB53" i="60"/>
  <c r="CG50" i="60"/>
  <c r="CA50" i="60"/>
  <c r="CI50" i="60"/>
  <c r="BY50" i="60"/>
  <c r="CE50" i="60"/>
  <c r="CH50" i="60"/>
  <c r="CF50" i="60"/>
  <c r="BZ50" i="60"/>
  <c r="CI45" i="60"/>
  <c r="CI44" i="60"/>
  <c r="CF45" i="60"/>
  <c r="CF44" i="60"/>
  <c r="BZ44" i="60"/>
  <c r="BZ45" i="60"/>
  <c r="CG45" i="60"/>
  <c r="CG44" i="60"/>
  <c r="CA45" i="60"/>
  <c r="CA44" i="60"/>
  <c r="BY45" i="60"/>
  <c r="BY44" i="60"/>
  <c r="BX45" i="60"/>
  <c r="BX44" i="60"/>
  <c r="CD44" i="60"/>
  <c r="CD45" i="60"/>
  <c r="CB45" i="60"/>
  <c r="CB44" i="60"/>
  <c r="CE45" i="60"/>
  <c r="CE44" i="60"/>
  <c r="CC45" i="60"/>
  <c r="CC44" i="60"/>
  <c r="CH44" i="60"/>
  <c r="CH45" i="60"/>
  <c r="CC36" i="60"/>
  <c r="CB36" i="60"/>
  <c r="CG36" i="60"/>
  <c r="CA36" i="60"/>
  <c r="CI36" i="60"/>
  <c r="CE36" i="60"/>
  <c r="CF36" i="60"/>
  <c r="BZ36" i="60"/>
  <c r="CH36" i="60"/>
  <c r="BY36" i="60"/>
  <c r="BX36" i="60"/>
  <c r="CD36" i="60"/>
  <c r="CV5" i="47"/>
  <c r="CR5" i="47"/>
  <c r="CN5" i="47"/>
  <c r="CU6" i="13"/>
  <c r="CQ6" i="13"/>
  <c r="CM6" i="13"/>
  <c r="CW5" i="47"/>
  <c r="CS5" i="47"/>
  <c r="CO5" i="47"/>
  <c r="CV6" i="13"/>
  <c r="CR6" i="13"/>
  <c r="CN6" i="13"/>
  <c r="CP5" i="47"/>
  <c r="CS6" i="13"/>
  <c r="CK6" i="13"/>
  <c r="CT5" i="47"/>
  <c r="CL5" i="47"/>
  <c r="CO6" i="13"/>
  <c r="CT6" i="18"/>
  <c r="CP6" i="18"/>
  <c r="CL6" i="18"/>
  <c r="CT5" i="60"/>
  <c r="CT43" i="60" s="1"/>
  <c r="CP5" i="60"/>
  <c r="CL5" i="60"/>
  <c r="CQ5" i="47"/>
  <c r="CL6" i="13"/>
  <c r="CR6" i="18"/>
  <c r="CM6" i="18"/>
  <c r="CS5" i="60"/>
  <c r="CN5" i="60"/>
  <c r="CN43" i="60" s="1"/>
  <c r="CT6" i="29"/>
  <c r="CP6" i="29"/>
  <c r="CL6" i="29"/>
  <c r="CL6" i="16"/>
  <c r="CP6" i="16"/>
  <c r="CT6" i="16"/>
  <c r="CM5" i="47"/>
  <c r="CT6" i="13"/>
  <c r="CU6" i="18"/>
  <c r="CO6" i="18"/>
  <c r="CJ6" i="18"/>
  <c r="CQ5" i="60"/>
  <c r="CK5" i="60"/>
  <c r="CK11" i="60" s="1"/>
  <c r="CR6" i="29"/>
  <c r="CN6" i="29"/>
  <c r="CJ6" i="29"/>
  <c r="CN6" i="16"/>
  <c r="CR6" i="16"/>
  <c r="CV6" i="16"/>
  <c r="CU5" i="47"/>
  <c r="CP6" i="13"/>
  <c r="CS6" i="18"/>
  <c r="CN6" i="18"/>
  <c r="CU5" i="60"/>
  <c r="CO5" i="60"/>
  <c r="CJ5" i="60"/>
  <c r="CJ11" i="60" s="1"/>
  <c r="CQ6" i="29"/>
  <c r="CU6" i="16"/>
  <c r="CQ6" i="18"/>
  <c r="CR5" i="60"/>
  <c r="CU6" i="29"/>
  <c r="CM6" i="29"/>
  <c r="CO6" i="16"/>
  <c r="CK6" i="16"/>
  <c r="CO6" i="29"/>
  <c r="CM6" i="16"/>
  <c r="CK6" i="18"/>
  <c r="CM5" i="60"/>
  <c r="CS6" i="29"/>
  <c r="CK6" i="29"/>
  <c r="CQ6" i="16"/>
  <c r="CS6" i="16"/>
  <c r="CB21" i="16"/>
  <c r="CF21" i="16"/>
  <c r="CJ21" i="16"/>
  <c r="CC21" i="16"/>
  <c r="CH21" i="16"/>
  <c r="CE21" i="16"/>
  <c r="BZ21" i="16"/>
  <c r="CG21" i="16"/>
  <c r="CA21" i="16"/>
  <c r="CD21" i="16"/>
  <c r="CI21" i="16"/>
  <c r="BY21" i="16"/>
  <c r="CA13" i="16"/>
  <c r="CE13" i="16"/>
  <c r="CI13" i="16"/>
  <c r="BZ13" i="16"/>
  <c r="CF13" i="16"/>
  <c r="CD13" i="16"/>
  <c r="BY13" i="16"/>
  <c r="CG13" i="16"/>
  <c r="CB13" i="16"/>
  <c r="CC13" i="16"/>
  <c r="CH13" i="16"/>
  <c r="CJ13" i="16"/>
  <c r="CC14" i="16"/>
  <c r="CG14" i="16"/>
  <c r="BY14" i="16"/>
  <c r="BZ14" i="16"/>
  <c r="CE14" i="16"/>
  <c r="CJ14" i="16"/>
  <c r="CD14" i="16"/>
  <c r="CF14" i="16"/>
  <c r="CH14" i="16"/>
  <c r="CI14" i="16"/>
  <c r="CA14" i="16"/>
  <c r="CB14" i="16"/>
  <c r="CB17" i="16"/>
  <c r="CF17" i="16"/>
  <c r="CJ17" i="16"/>
  <c r="CD17" i="16"/>
  <c r="CI17" i="16"/>
  <c r="BZ17" i="16"/>
  <c r="CG17" i="16"/>
  <c r="CA17" i="16"/>
  <c r="CH17" i="16"/>
  <c r="BY17" i="16"/>
  <c r="CC17" i="16"/>
  <c r="CE17" i="16"/>
  <c r="CA16" i="16"/>
  <c r="CE16" i="16"/>
  <c r="CI16" i="16"/>
  <c r="CD16" i="16"/>
  <c r="CJ16" i="16"/>
  <c r="CC16" i="16"/>
  <c r="CF16" i="16"/>
  <c r="BZ16" i="16"/>
  <c r="BY16" i="16"/>
  <c r="CB16" i="16"/>
  <c r="CG16" i="16"/>
  <c r="CH16" i="16"/>
  <c r="CC18" i="16"/>
  <c r="CG18" i="16"/>
  <c r="BY18" i="16"/>
  <c r="CD18" i="16"/>
  <c r="CI18" i="16"/>
  <c r="CB18" i="16"/>
  <c r="CJ18" i="16"/>
  <c r="CE18" i="16"/>
  <c r="CF18" i="16"/>
  <c r="CH18" i="16"/>
  <c r="BZ18" i="16"/>
  <c r="CA18" i="16"/>
  <c r="CA20" i="16"/>
  <c r="CE20" i="16"/>
  <c r="CI20" i="16"/>
  <c r="CC20" i="16"/>
  <c r="CH20" i="16"/>
  <c r="CB20" i="16"/>
  <c r="CJ20" i="16"/>
  <c r="BY20" i="16"/>
  <c r="CD20" i="16"/>
  <c r="BZ20" i="16"/>
  <c r="CF20" i="16"/>
  <c r="CG20" i="16"/>
  <c r="BZ15" i="16"/>
  <c r="CD15" i="16"/>
  <c r="CH15" i="16"/>
  <c r="CE15" i="16"/>
  <c r="CJ15" i="16"/>
  <c r="CA15" i="16"/>
  <c r="CG15" i="16"/>
  <c r="CB15" i="16"/>
  <c r="CI15" i="16"/>
  <c r="BY15" i="16"/>
  <c r="CC15" i="16"/>
  <c r="CF15" i="16"/>
  <c r="BZ19" i="16"/>
  <c r="CD19" i="16"/>
  <c r="CH19" i="16"/>
  <c r="CC19" i="16"/>
  <c r="CI19" i="16"/>
  <c r="BY19" i="16"/>
  <c r="CF19" i="16"/>
  <c r="CA19" i="16"/>
  <c r="CG19" i="16"/>
  <c r="CJ19" i="16"/>
  <c r="CB19" i="16"/>
  <c r="CE19" i="16"/>
  <c r="L32" i="82"/>
  <c r="M7" i="82"/>
  <c r="L35" i="82"/>
  <c r="L33" i="82"/>
  <c r="L31" i="82"/>
  <c r="L37" i="82"/>
  <c r="L34" i="82"/>
  <c r="L36" i="82"/>
  <c r="L38" i="82"/>
  <c r="L39" i="82"/>
  <c r="CO26" i="60" l="1"/>
  <c r="CO25" i="60"/>
  <c r="CQ38" i="60"/>
  <c r="CQ26" i="60"/>
  <c r="CQ25" i="60"/>
  <c r="CL25" i="60"/>
  <c r="CL26" i="60"/>
  <c r="CM38" i="60"/>
  <c r="CM25" i="60"/>
  <c r="CM26" i="60"/>
  <c r="CR26" i="60"/>
  <c r="CR25" i="60"/>
  <c r="CJ25" i="60"/>
  <c r="CJ26" i="60"/>
  <c r="CN38" i="60"/>
  <c r="CN25" i="60"/>
  <c r="CN26" i="60"/>
  <c r="CP25" i="60"/>
  <c r="CP26" i="60"/>
  <c r="CK38" i="60"/>
  <c r="CK26" i="60"/>
  <c r="CK25" i="60"/>
  <c r="CS26" i="60"/>
  <c r="CS25" i="60"/>
  <c r="CT38" i="60"/>
  <c r="CT25" i="60"/>
  <c r="CT26" i="60"/>
  <c r="CU25" i="60"/>
  <c r="CU26" i="60"/>
  <c r="CJ38" i="60"/>
  <c r="CJ18" i="60"/>
  <c r="CP38" i="60"/>
  <c r="CL38" i="60"/>
  <c r="CR38" i="60"/>
  <c r="CS38" i="60"/>
  <c r="CO38" i="60"/>
  <c r="CU38" i="60"/>
  <c r="CU10" i="18"/>
  <c r="CU28" i="18"/>
  <c r="CT51" i="60"/>
  <c r="CT52" i="60"/>
  <c r="CT49" i="60"/>
  <c r="CQ49" i="60"/>
  <c r="CM10" i="18"/>
  <c r="CM28" i="18"/>
  <c r="CL10" i="18"/>
  <c r="CL28" i="18"/>
  <c r="CK10" i="18"/>
  <c r="CK28" i="18"/>
  <c r="CQ10" i="18"/>
  <c r="CQ28" i="18"/>
  <c r="CN10" i="18"/>
  <c r="CN28" i="18"/>
  <c r="CJ10" i="18"/>
  <c r="CJ28" i="18"/>
  <c r="CR10" i="18"/>
  <c r="CR28" i="18"/>
  <c r="CP10" i="18"/>
  <c r="CP28" i="18"/>
  <c r="CK49" i="60"/>
  <c r="CS10" i="18"/>
  <c r="CS28" i="18"/>
  <c r="CO10" i="18"/>
  <c r="CO28" i="18"/>
  <c r="CN52" i="60"/>
  <c r="CN49" i="60"/>
  <c r="CN51" i="60"/>
  <c r="CT10" i="18"/>
  <c r="CT28" i="18"/>
  <c r="H24" i="88"/>
  <c r="G39" i="88"/>
  <c r="H24" i="87"/>
  <c r="G39" i="87"/>
  <c r="H24" i="86"/>
  <c r="G39" i="86"/>
  <c r="CM50" i="60"/>
  <c r="CT53" i="60"/>
  <c r="CT50" i="60"/>
  <c r="CJ50" i="60"/>
  <c r="CN50" i="60"/>
  <c r="CN53" i="60"/>
  <c r="CK50" i="60"/>
  <c r="CU50" i="60"/>
  <c r="CQ50" i="60"/>
  <c r="CR50" i="60"/>
  <c r="CP50" i="60"/>
  <c r="CO50" i="60"/>
  <c r="CS50" i="60"/>
  <c r="CL50" i="60"/>
  <c r="CU45" i="60"/>
  <c r="CU44" i="60"/>
  <c r="CQ45" i="60"/>
  <c r="CQ44" i="60"/>
  <c r="CL44" i="60"/>
  <c r="CL45" i="60"/>
  <c r="CM45" i="60"/>
  <c r="CM44" i="60"/>
  <c r="CR45" i="60"/>
  <c r="CR44" i="60"/>
  <c r="CJ45" i="60"/>
  <c r="CJ44" i="60"/>
  <c r="CN45" i="60"/>
  <c r="CN44" i="60"/>
  <c r="CP44" i="60"/>
  <c r="CP45" i="60"/>
  <c r="CO45" i="60"/>
  <c r="CO44" i="60"/>
  <c r="CK45" i="60"/>
  <c r="CK44" i="60"/>
  <c r="CS45" i="60"/>
  <c r="CS44" i="60"/>
  <c r="CT44" i="60"/>
  <c r="CT45" i="60"/>
  <c r="CK36" i="60"/>
  <c r="CS36" i="60"/>
  <c r="CU36" i="60"/>
  <c r="CQ36" i="60"/>
  <c r="CO36" i="60"/>
  <c r="CL36" i="60"/>
  <c r="CT36" i="60"/>
  <c r="CM36" i="60"/>
  <c r="CR36" i="60"/>
  <c r="CJ36" i="60"/>
  <c r="CN36" i="60"/>
  <c r="CP36" i="60"/>
  <c r="DH5" i="47"/>
  <c r="DD5" i="47"/>
  <c r="CZ5" i="47"/>
  <c r="DG6" i="13"/>
  <c r="DC6" i="13"/>
  <c r="CY6" i="13"/>
  <c r="DF6" i="18"/>
  <c r="DI5" i="47"/>
  <c r="DE5" i="47"/>
  <c r="DA5" i="47"/>
  <c r="DH6" i="13"/>
  <c r="DD6" i="13"/>
  <c r="CZ6" i="13"/>
  <c r="DF5" i="47"/>
  <c r="CX5" i="47"/>
  <c r="DA6" i="13"/>
  <c r="DB5" i="47"/>
  <c r="DE6" i="13"/>
  <c r="CW6" i="13"/>
  <c r="DG6" i="18"/>
  <c r="DB6" i="18"/>
  <c r="CX6" i="18"/>
  <c r="DF5" i="60"/>
  <c r="DF43" i="60" s="1"/>
  <c r="DB5" i="60"/>
  <c r="CX5" i="60"/>
  <c r="DG5" i="47"/>
  <c r="DB6" i="13"/>
  <c r="DC6" i="18"/>
  <c r="CW6" i="18"/>
  <c r="DD5" i="60"/>
  <c r="CY5" i="60"/>
  <c r="DF6" i="29"/>
  <c r="DB6" i="29"/>
  <c r="CX6" i="29"/>
  <c r="CX6" i="16"/>
  <c r="DB6" i="16"/>
  <c r="DF6" i="16"/>
  <c r="DC5" i="47"/>
  <c r="CX6" i="13"/>
  <c r="CY5" i="47"/>
  <c r="DE6" i="18"/>
  <c r="CZ6" i="18"/>
  <c r="DG5" i="60"/>
  <c r="DA5" i="60"/>
  <c r="CV5" i="60"/>
  <c r="CV11" i="60" s="1"/>
  <c r="DD6" i="29"/>
  <c r="CZ6" i="29"/>
  <c r="CV6" i="29"/>
  <c r="CZ6" i="16"/>
  <c r="DD6" i="16"/>
  <c r="DH6" i="16"/>
  <c r="DF6" i="13"/>
  <c r="DD6" i="18"/>
  <c r="CY6" i="18"/>
  <c r="DE5" i="60"/>
  <c r="CZ5" i="60"/>
  <c r="CZ43" i="60" s="1"/>
  <c r="DA6" i="18"/>
  <c r="DC5" i="60"/>
  <c r="DG6" i="29"/>
  <c r="CY6" i="29"/>
  <c r="CW5" i="60"/>
  <c r="CW11" i="60" s="1"/>
  <c r="DE6" i="29"/>
  <c r="DC6" i="29"/>
  <c r="DE6" i="16"/>
  <c r="CV6" i="18"/>
  <c r="DA6" i="29"/>
  <c r="CY6" i="16"/>
  <c r="DG6" i="16"/>
  <c r="DA6" i="16"/>
  <c r="CW6" i="16"/>
  <c r="CW6" i="29"/>
  <c r="DC6" i="16"/>
  <c r="CO14" i="16"/>
  <c r="CS14" i="16"/>
  <c r="CL14" i="16"/>
  <c r="CP14" i="16"/>
  <c r="CT14" i="16"/>
  <c r="CN14" i="16"/>
  <c r="CV14" i="16"/>
  <c r="CK14" i="16"/>
  <c r="CR14" i="16"/>
  <c r="CM14" i="16"/>
  <c r="CQ14" i="16"/>
  <c r="CU14" i="16"/>
  <c r="CO18" i="16"/>
  <c r="CS18" i="16"/>
  <c r="CP18" i="16"/>
  <c r="CU18" i="16"/>
  <c r="CK18" i="16"/>
  <c r="CQ18" i="16"/>
  <c r="CM18" i="16"/>
  <c r="CV18" i="16"/>
  <c r="CN18" i="16"/>
  <c r="CR18" i="16"/>
  <c r="CT18" i="16"/>
  <c r="CL18" i="16"/>
  <c r="CN17" i="16"/>
  <c r="CR17" i="16"/>
  <c r="CV17" i="16"/>
  <c r="CP17" i="16"/>
  <c r="CU17" i="16"/>
  <c r="CM17" i="16"/>
  <c r="CT17" i="16"/>
  <c r="CO17" i="16"/>
  <c r="CQ17" i="16"/>
  <c r="CL17" i="16"/>
  <c r="CS17" i="16"/>
  <c r="CK17" i="16"/>
  <c r="CM20" i="16"/>
  <c r="CQ20" i="16"/>
  <c r="CU20" i="16"/>
  <c r="CO20" i="16"/>
  <c r="CT20" i="16"/>
  <c r="CP20" i="16"/>
  <c r="CS20" i="16"/>
  <c r="CK20" i="16"/>
  <c r="CL20" i="16"/>
  <c r="CV20" i="16"/>
  <c r="CN20" i="16"/>
  <c r="CR20" i="16"/>
  <c r="CM13" i="16"/>
  <c r="CQ13" i="16"/>
  <c r="CU13" i="16"/>
  <c r="CN13" i="16"/>
  <c r="CR13" i="16"/>
  <c r="CV13" i="16"/>
  <c r="CL13" i="16"/>
  <c r="CT13" i="16"/>
  <c r="CS13" i="16"/>
  <c r="CP13" i="16"/>
  <c r="CK13" i="16"/>
  <c r="CO13" i="16"/>
  <c r="CL15" i="16"/>
  <c r="CP15" i="16"/>
  <c r="CT15" i="16"/>
  <c r="CM15" i="16"/>
  <c r="CQ15" i="16"/>
  <c r="CU15" i="16"/>
  <c r="CS15" i="16"/>
  <c r="CR15" i="16"/>
  <c r="CN15" i="16"/>
  <c r="CO15" i="16"/>
  <c r="CV15" i="16"/>
  <c r="CK15" i="16"/>
  <c r="CM16" i="16"/>
  <c r="CQ16" i="16"/>
  <c r="CU16" i="16"/>
  <c r="CN16" i="16"/>
  <c r="CP16" i="16"/>
  <c r="CV16" i="16"/>
  <c r="CR16" i="16"/>
  <c r="CK16" i="16"/>
  <c r="CO16" i="16"/>
  <c r="CS16" i="16"/>
  <c r="CT16" i="16"/>
  <c r="CL16" i="16"/>
  <c r="CN21" i="16"/>
  <c r="CR21" i="16"/>
  <c r="CV21" i="16"/>
  <c r="CL21" i="16"/>
  <c r="CQ21" i="16"/>
  <c r="CK21" i="16"/>
  <c r="CP21" i="16"/>
  <c r="CS21" i="16"/>
  <c r="CT21" i="16"/>
  <c r="CU21" i="16"/>
  <c r="CM21" i="16"/>
  <c r="CO21" i="16"/>
  <c r="CL19" i="16"/>
  <c r="CP19" i="16"/>
  <c r="CT19" i="16"/>
  <c r="CO19" i="16"/>
  <c r="CU19" i="16"/>
  <c r="CM19" i="16"/>
  <c r="CS19" i="16"/>
  <c r="CV19" i="16"/>
  <c r="CN19" i="16"/>
  <c r="CK19" i="16"/>
  <c r="CQ19" i="16"/>
  <c r="CR19" i="16"/>
  <c r="M35" i="82"/>
  <c r="M33" i="82"/>
  <c r="M31" i="82"/>
  <c r="M37" i="82"/>
  <c r="M32" i="82"/>
  <c r="N7" i="82"/>
  <c r="M34" i="82"/>
  <c r="M36" i="82"/>
  <c r="M38" i="82"/>
  <c r="M39" i="82"/>
  <c r="CW38" i="60" l="1"/>
  <c r="CW26" i="60"/>
  <c r="CW25" i="60"/>
  <c r="DB25" i="60"/>
  <c r="DB26" i="60"/>
  <c r="CZ38" i="60"/>
  <c r="CZ25" i="60"/>
  <c r="CZ26" i="60"/>
  <c r="CV18" i="60"/>
  <c r="CV26" i="60"/>
  <c r="CV25" i="60"/>
  <c r="CY38" i="60"/>
  <c r="CY26" i="60"/>
  <c r="CY25" i="60"/>
  <c r="DF38" i="60"/>
  <c r="DF25" i="60"/>
  <c r="DF26" i="60"/>
  <c r="DE26" i="60"/>
  <c r="DE25" i="60"/>
  <c r="DA26" i="60"/>
  <c r="DA25" i="60"/>
  <c r="DD26" i="60"/>
  <c r="DD25" i="60"/>
  <c r="DC38" i="60"/>
  <c r="DC25" i="60"/>
  <c r="DC26" i="60"/>
  <c r="DG26" i="60"/>
  <c r="DG25" i="60"/>
  <c r="CX25" i="60"/>
  <c r="CX26" i="60"/>
  <c r="DE38" i="60"/>
  <c r="DD38" i="60"/>
  <c r="CV38" i="60"/>
  <c r="DA38" i="60"/>
  <c r="DG38" i="60"/>
  <c r="CX38" i="60"/>
  <c r="DB38" i="60"/>
  <c r="CY10" i="18"/>
  <c r="CY28" i="18"/>
  <c r="CV10" i="18"/>
  <c r="CV28" i="18"/>
  <c r="CW49" i="60"/>
  <c r="DA10" i="18"/>
  <c r="DA28" i="18"/>
  <c r="DD10" i="18"/>
  <c r="DD28" i="18"/>
  <c r="CZ10" i="18"/>
  <c r="CZ28" i="18"/>
  <c r="DC10" i="18"/>
  <c r="DC28" i="18"/>
  <c r="DG10" i="18"/>
  <c r="DG28" i="18"/>
  <c r="DB10" i="18"/>
  <c r="DB28" i="18"/>
  <c r="CZ51" i="60"/>
  <c r="CZ49" i="60"/>
  <c r="CZ52" i="60"/>
  <c r="DE10" i="18"/>
  <c r="DE28" i="18"/>
  <c r="DF52" i="60"/>
  <c r="DF51" i="60"/>
  <c r="DF49" i="60"/>
  <c r="DC49" i="60"/>
  <c r="CW10" i="18"/>
  <c r="CW28" i="18"/>
  <c r="DF10" i="18"/>
  <c r="DF28" i="18"/>
  <c r="CX10" i="18"/>
  <c r="CX28" i="18"/>
  <c r="H31" i="88"/>
  <c r="H34" i="88"/>
  <c r="H31" i="86"/>
  <c r="H34" i="86"/>
  <c r="H34" i="87"/>
  <c r="H31" i="87"/>
  <c r="CZ53" i="60"/>
  <c r="CZ50" i="60"/>
  <c r="DD50" i="60"/>
  <c r="DF53" i="60"/>
  <c r="DF50" i="60"/>
  <c r="DE50" i="60"/>
  <c r="DC50" i="60"/>
  <c r="DG50" i="60"/>
  <c r="CX50" i="60"/>
  <c r="CV50" i="60"/>
  <c r="CY50" i="60"/>
  <c r="DA50" i="60"/>
  <c r="CW50" i="60"/>
  <c r="DB50" i="60"/>
  <c r="CX44" i="60"/>
  <c r="CX45" i="60"/>
  <c r="CW45" i="60"/>
  <c r="CW44" i="60"/>
  <c r="DB44" i="60"/>
  <c r="DB45" i="60"/>
  <c r="CZ45" i="60"/>
  <c r="CZ44" i="60"/>
  <c r="CV45" i="60"/>
  <c r="CV44" i="60"/>
  <c r="CY45" i="60"/>
  <c r="CY44" i="60"/>
  <c r="DF44" i="60"/>
  <c r="DF45" i="60"/>
  <c r="DC45" i="60"/>
  <c r="DC44" i="60"/>
  <c r="DG45" i="60"/>
  <c r="DG44" i="60"/>
  <c r="DE45" i="60"/>
  <c r="DE44" i="60"/>
  <c r="DA45" i="60"/>
  <c r="DA44" i="60"/>
  <c r="DD45" i="60"/>
  <c r="DD44" i="60"/>
  <c r="DA36" i="60"/>
  <c r="DC36" i="60"/>
  <c r="DG36" i="60"/>
  <c r="CX36" i="60"/>
  <c r="DD36" i="60"/>
  <c r="CW36" i="60"/>
  <c r="DB36" i="60"/>
  <c r="DE36" i="60"/>
  <c r="CZ36" i="60"/>
  <c r="CV36" i="60"/>
  <c r="CY36" i="60"/>
  <c r="DF36" i="60"/>
  <c r="DT5" i="47"/>
  <c r="DP5" i="47"/>
  <c r="DL5" i="47"/>
  <c r="DS6" i="13"/>
  <c r="DO6" i="13"/>
  <c r="DK6" i="13"/>
  <c r="DR6" i="18"/>
  <c r="DN6" i="18"/>
  <c r="DJ6" i="18"/>
  <c r="DU5" i="47"/>
  <c r="DQ5" i="47"/>
  <c r="DM5" i="47"/>
  <c r="DT6" i="13"/>
  <c r="DP6" i="13"/>
  <c r="DL6" i="13"/>
  <c r="DN5" i="47"/>
  <c r="DQ6" i="13"/>
  <c r="DI6" i="13"/>
  <c r="DR5" i="47"/>
  <c r="DJ5" i="47"/>
  <c r="DM6" i="13"/>
  <c r="DQ6" i="18"/>
  <c r="DL6" i="18"/>
  <c r="DR5" i="60"/>
  <c r="DR43" i="60" s="1"/>
  <c r="DN5" i="60"/>
  <c r="DJ5" i="60"/>
  <c r="DR6" i="13"/>
  <c r="DP6" i="18"/>
  <c r="DI6" i="18"/>
  <c r="DO5" i="60"/>
  <c r="DI5" i="60"/>
  <c r="DI11" i="60" s="1"/>
  <c r="DR6" i="29"/>
  <c r="DN6" i="29"/>
  <c r="DJ6" i="29"/>
  <c r="DJ6" i="16"/>
  <c r="DN6" i="16"/>
  <c r="DR6" i="16"/>
  <c r="DS5" i="47"/>
  <c r="DN6" i="13"/>
  <c r="DO5" i="47"/>
  <c r="DJ6" i="13"/>
  <c r="DM6" i="18"/>
  <c r="DQ5" i="60"/>
  <c r="DL5" i="60"/>
  <c r="DL43" i="60" s="1"/>
  <c r="DP6" i="29"/>
  <c r="DL6" i="29"/>
  <c r="DH6" i="29"/>
  <c r="DL6" i="16"/>
  <c r="DP6" i="16"/>
  <c r="DT6" i="16"/>
  <c r="DK5" i="47"/>
  <c r="DS6" i="18"/>
  <c r="DK6" i="18"/>
  <c r="DP5" i="60"/>
  <c r="DK5" i="60"/>
  <c r="DO6" i="29"/>
  <c r="DS6" i="16"/>
  <c r="DO6" i="18"/>
  <c r="DM5" i="60"/>
  <c r="DS6" i="29"/>
  <c r="DK6" i="29"/>
  <c r="DM6" i="16"/>
  <c r="DI6" i="16"/>
  <c r="DS5" i="60"/>
  <c r="DM6" i="29"/>
  <c r="DK6" i="16"/>
  <c r="DH6" i="18"/>
  <c r="DH5" i="60"/>
  <c r="DH11" i="60" s="1"/>
  <c r="DQ6" i="29"/>
  <c r="DI6" i="29"/>
  <c r="DO6" i="16"/>
  <c r="DQ6" i="16"/>
  <c r="CY20" i="16"/>
  <c r="DC20" i="16"/>
  <c r="DG20" i="16"/>
  <c r="CZ20" i="16"/>
  <c r="DD20" i="16"/>
  <c r="DH20" i="16"/>
  <c r="CX20" i="16"/>
  <c r="DF20" i="16"/>
  <c r="DE20" i="16"/>
  <c r="CW20" i="16"/>
  <c r="DA20" i="16"/>
  <c r="DB20" i="16"/>
  <c r="CZ17" i="16"/>
  <c r="DD17" i="16"/>
  <c r="DH17" i="16"/>
  <c r="DA17" i="16"/>
  <c r="DE17" i="16"/>
  <c r="CW17" i="16"/>
  <c r="CY17" i="16"/>
  <c r="DG17" i="16"/>
  <c r="DF17" i="16"/>
  <c r="CX17" i="16"/>
  <c r="DB17" i="16"/>
  <c r="DC17" i="16"/>
  <c r="DA18" i="16"/>
  <c r="DE18" i="16"/>
  <c r="CW18" i="16"/>
  <c r="CX18" i="16"/>
  <c r="DB18" i="16"/>
  <c r="DF18" i="16"/>
  <c r="DD18" i="16"/>
  <c r="DG18" i="16"/>
  <c r="CZ18" i="16"/>
  <c r="DC18" i="16"/>
  <c r="CY18" i="16"/>
  <c r="DH18" i="16"/>
  <c r="CY16" i="16"/>
  <c r="DC16" i="16"/>
  <c r="DG16" i="16"/>
  <c r="CZ16" i="16"/>
  <c r="DD16" i="16"/>
  <c r="DH16" i="16"/>
  <c r="DB16" i="16"/>
  <c r="DF16" i="16"/>
  <c r="CX16" i="16"/>
  <c r="CW16" i="16"/>
  <c r="DA16" i="16"/>
  <c r="DE16" i="16"/>
  <c r="CY13" i="16"/>
  <c r="DC13" i="16"/>
  <c r="DG13" i="16"/>
  <c r="CZ13" i="16"/>
  <c r="DD13" i="16"/>
  <c r="DH13" i="16"/>
  <c r="CX13" i="16"/>
  <c r="DF13" i="16"/>
  <c r="DA13" i="16"/>
  <c r="DB13" i="16"/>
  <c r="CW13" i="16"/>
  <c r="DE13" i="16"/>
  <c r="DA14" i="16"/>
  <c r="DE14" i="16"/>
  <c r="CW14" i="16"/>
  <c r="CX14" i="16"/>
  <c r="DB14" i="16"/>
  <c r="DF14" i="16"/>
  <c r="CZ14" i="16"/>
  <c r="DH14" i="16"/>
  <c r="DG14" i="16"/>
  <c r="DC14" i="16"/>
  <c r="DD14" i="16"/>
  <c r="CY14" i="16"/>
  <c r="CX19" i="16"/>
  <c r="DB19" i="16"/>
  <c r="DF19" i="16"/>
  <c r="CY19" i="16"/>
  <c r="DC19" i="16"/>
  <c r="DG19" i="16"/>
  <c r="DA19" i="16"/>
  <c r="CW19" i="16"/>
  <c r="DE19" i="16"/>
  <c r="DD19" i="16"/>
  <c r="DH19" i="16"/>
  <c r="CZ19" i="16"/>
  <c r="CZ21" i="16"/>
  <c r="DD21" i="16"/>
  <c r="DH21" i="16"/>
  <c r="DA21" i="16"/>
  <c r="DE21" i="16"/>
  <c r="CW21" i="16"/>
  <c r="DC21" i="16"/>
  <c r="DF21" i="16"/>
  <c r="CX21" i="16"/>
  <c r="CY21" i="16"/>
  <c r="DB21" i="16"/>
  <c r="DG21" i="16"/>
  <c r="CX15" i="16"/>
  <c r="DB15" i="16"/>
  <c r="DF15" i="16"/>
  <c r="CY15" i="16"/>
  <c r="DC15" i="16"/>
  <c r="DG15" i="16"/>
  <c r="DE15" i="16"/>
  <c r="DH15" i="16"/>
  <c r="CW15" i="16"/>
  <c r="DD15" i="16"/>
  <c r="CZ15" i="16"/>
  <c r="DA15" i="16"/>
  <c r="N33" i="82"/>
  <c r="N31" i="82"/>
  <c r="N32" i="82"/>
  <c r="N35" i="82"/>
  <c r="N37" i="82"/>
  <c r="N34" i="82"/>
  <c r="N36" i="82"/>
  <c r="N39" i="82"/>
  <c r="N38" i="82"/>
  <c r="DM26" i="60" l="1"/>
  <c r="DM25" i="60"/>
  <c r="DL38" i="60"/>
  <c r="DL26" i="60"/>
  <c r="DL25" i="60"/>
  <c r="DP25" i="60"/>
  <c r="DP26" i="60"/>
  <c r="DQ26" i="60"/>
  <c r="DQ25" i="60"/>
  <c r="DN25" i="60"/>
  <c r="DN26" i="60"/>
  <c r="DK38" i="60"/>
  <c r="DK25" i="60"/>
  <c r="DK26" i="60"/>
  <c r="DJ25" i="60"/>
  <c r="DJ26" i="60"/>
  <c r="DI38" i="60"/>
  <c r="DI26" i="60"/>
  <c r="DI25" i="60"/>
  <c r="DR38" i="60"/>
  <c r="DR25" i="60"/>
  <c r="DR26" i="60"/>
  <c r="DH18" i="60"/>
  <c r="DH26" i="60"/>
  <c r="DH25" i="60"/>
  <c r="DS25" i="60"/>
  <c r="DS26" i="60"/>
  <c r="DO38" i="60"/>
  <c r="DO26" i="60"/>
  <c r="DO25" i="60"/>
  <c r="DH38" i="60"/>
  <c r="DM38" i="60"/>
  <c r="DP38" i="60"/>
  <c r="DQ38" i="60"/>
  <c r="DN38" i="60"/>
  <c r="DS38" i="60"/>
  <c r="DJ38" i="60"/>
  <c r="DH10" i="18"/>
  <c r="DH28" i="18"/>
  <c r="DL52" i="60"/>
  <c r="DL49" i="60"/>
  <c r="DL51" i="60"/>
  <c r="DI10" i="18"/>
  <c r="DI28" i="18"/>
  <c r="DQ10" i="18"/>
  <c r="DQ28" i="18"/>
  <c r="DN10" i="18"/>
  <c r="DN28" i="18"/>
  <c r="DP10" i="18"/>
  <c r="DP28" i="18"/>
  <c r="DR10" i="18"/>
  <c r="DR28" i="18"/>
  <c r="DS10" i="18"/>
  <c r="DS28" i="18"/>
  <c r="DO49" i="60"/>
  <c r="DL10" i="18"/>
  <c r="DL28" i="18"/>
  <c r="DJ10" i="18"/>
  <c r="DJ28" i="18"/>
  <c r="DO10" i="18"/>
  <c r="DO28" i="18"/>
  <c r="DK10" i="18"/>
  <c r="DK28" i="18"/>
  <c r="DM10" i="18"/>
  <c r="DM28" i="18"/>
  <c r="DI49" i="60"/>
  <c r="DR51" i="60"/>
  <c r="DR52" i="60"/>
  <c r="DR49" i="60"/>
  <c r="I24" i="86"/>
  <c r="H39" i="86"/>
  <c r="I24" i="88"/>
  <c r="H39" i="88"/>
  <c r="I24" i="87"/>
  <c r="H39" i="87"/>
  <c r="DI50" i="60"/>
  <c r="DH50" i="60"/>
  <c r="DM50" i="60"/>
  <c r="DK50" i="60"/>
  <c r="DL50" i="60"/>
  <c r="DL53" i="60"/>
  <c r="DJ50" i="60"/>
  <c r="DR53" i="60"/>
  <c r="DR50" i="60"/>
  <c r="DS50" i="60"/>
  <c r="DO50" i="60"/>
  <c r="DP50" i="60"/>
  <c r="DQ50" i="60"/>
  <c r="DN50" i="60"/>
  <c r="DK45" i="60"/>
  <c r="DK44" i="60"/>
  <c r="DP45" i="60"/>
  <c r="DP44" i="60"/>
  <c r="DQ45" i="60"/>
  <c r="DQ44" i="60"/>
  <c r="DN44" i="60"/>
  <c r="DN45" i="60"/>
  <c r="DM45" i="60"/>
  <c r="DM44" i="60"/>
  <c r="DL45" i="60"/>
  <c r="DL44" i="60"/>
  <c r="DI45" i="60"/>
  <c r="DI44" i="60"/>
  <c r="DR44" i="60"/>
  <c r="DR45" i="60"/>
  <c r="DJ44" i="60"/>
  <c r="DJ45" i="60"/>
  <c r="DH45" i="60"/>
  <c r="DH44" i="60"/>
  <c r="DS45" i="60"/>
  <c r="DS44" i="60"/>
  <c r="DO45" i="60"/>
  <c r="DO44" i="60"/>
  <c r="DS36" i="60"/>
  <c r="DM36" i="60"/>
  <c r="DK36" i="60"/>
  <c r="DL36" i="60"/>
  <c r="DJ36" i="60"/>
  <c r="DP36" i="60"/>
  <c r="DQ36" i="60"/>
  <c r="DN36" i="60"/>
  <c r="DH36" i="60"/>
  <c r="DO36" i="60"/>
  <c r="DI36" i="60"/>
  <c r="DR36" i="60"/>
  <c r="DJ15" i="16"/>
  <c r="DN15" i="16"/>
  <c r="DR15" i="16"/>
  <c r="DK15" i="16"/>
  <c r="DO15" i="16"/>
  <c r="DS15" i="16"/>
  <c r="DQ15" i="16"/>
  <c r="DL15" i="16"/>
  <c r="DI15" i="16"/>
  <c r="DM15" i="16"/>
  <c r="DP15" i="16"/>
  <c r="DT15" i="16"/>
  <c r="DL21" i="16"/>
  <c r="DP21" i="16"/>
  <c r="DT21" i="16"/>
  <c r="DM21" i="16"/>
  <c r="DQ21" i="16"/>
  <c r="DI21" i="16"/>
  <c r="DO21" i="16"/>
  <c r="DJ21" i="16"/>
  <c r="DS21" i="16"/>
  <c r="DN21" i="16"/>
  <c r="DR21" i="16"/>
  <c r="DK21" i="16"/>
  <c r="DM14" i="16"/>
  <c r="DQ14" i="16"/>
  <c r="DI14" i="16"/>
  <c r="DJ14" i="16"/>
  <c r="DN14" i="16"/>
  <c r="DR14" i="16"/>
  <c r="DL14" i="16"/>
  <c r="DT14" i="16"/>
  <c r="DK14" i="16"/>
  <c r="DS14" i="16"/>
  <c r="DO14" i="16"/>
  <c r="DP14" i="16"/>
  <c r="DK20" i="16"/>
  <c r="DO20" i="16"/>
  <c r="DS20" i="16"/>
  <c r="DL20" i="16"/>
  <c r="DP20" i="16"/>
  <c r="DT20" i="16"/>
  <c r="DJ20" i="16"/>
  <c r="DR20" i="16"/>
  <c r="DM20" i="16"/>
  <c r="DN20" i="16"/>
  <c r="DQ20" i="16"/>
  <c r="DI20" i="16"/>
  <c r="DJ19" i="16"/>
  <c r="DN19" i="16"/>
  <c r="DR19" i="16"/>
  <c r="DK19" i="16"/>
  <c r="DO19" i="16"/>
  <c r="DS19" i="16"/>
  <c r="DM19" i="16"/>
  <c r="DI19" i="16"/>
  <c r="DT19" i="16"/>
  <c r="DL19" i="16"/>
  <c r="DP19" i="16"/>
  <c r="DQ19" i="16"/>
  <c r="DL17" i="16"/>
  <c r="DP17" i="16"/>
  <c r="DT17" i="16"/>
  <c r="DM17" i="16"/>
  <c r="DQ17" i="16"/>
  <c r="DI17" i="16"/>
  <c r="DK17" i="16"/>
  <c r="DS17" i="16"/>
  <c r="DJ17" i="16"/>
  <c r="DO17" i="16"/>
  <c r="DR17" i="16"/>
  <c r="DN17" i="16"/>
  <c r="DM18" i="16"/>
  <c r="DQ18" i="16"/>
  <c r="DI18" i="16"/>
  <c r="DJ18" i="16"/>
  <c r="DN18" i="16"/>
  <c r="DR18" i="16"/>
  <c r="DP18" i="16"/>
  <c r="DK18" i="16"/>
  <c r="DT18" i="16"/>
  <c r="DS18" i="16"/>
  <c r="DL18" i="16"/>
  <c r="DO18" i="16"/>
  <c r="DK16" i="16"/>
  <c r="DO16" i="16"/>
  <c r="DS16" i="16"/>
  <c r="DL16" i="16"/>
  <c r="DP16" i="16"/>
  <c r="DT16" i="16"/>
  <c r="DN16" i="16"/>
  <c r="DJ16" i="16"/>
  <c r="DM16" i="16"/>
  <c r="DQ16" i="16"/>
  <c r="DR16" i="16"/>
  <c r="DI16" i="16"/>
  <c r="O31" i="82"/>
  <c r="P31" i="82" s="1"/>
  <c r="Q31" i="82" s="1"/>
  <c r="R31" i="82" s="1"/>
  <c r="S31" i="82" s="1"/>
  <c r="DK13" i="16"/>
  <c r="DO13" i="16"/>
  <c r="DS13" i="16"/>
  <c r="DL13" i="16"/>
  <c r="DP13" i="16"/>
  <c r="DT13" i="16"/>
  <c r="DI13" i="16"/>
  <c r="DJ13" i="16"/>
  <c r="DR13" i="16"/>
  <c r="DM13" i="16"/>
  <c r="DN13" i="16"/>
  <c r="DQ13" i="16"/>
  <c r="I31" i="88" l="1"/>
  <c r="I34" i="88"/>
  <c r="I31" i="86"/>
  <c r="I34" i="86"/>
  <c r="I34" i="87"/>
  <c r="I31" i="87"/>
  <c r="J24" i="88" l="1"/>
  <c r="I39" i="88"/>
  <c r="J24" i="87"/>
  <c r="I39" i="87"/>
  <c r="I39" i="86"/>
  <c r="J24" i="86"/>
  <c r="J34" i="86" l="1"/>
  <c r="J31" i="86"/>
  <c r="J34" i="88"/>
  <c r="J31" i="88"/>
  <c r="J31" i="87"/>
  <c r="J34" i="87"/>
  <c r="K24" i="87" l="1"/>
  <c r="J39" i="87"/>
  <c r="K24" i="86"/>
  <c r="J39" i="86"/>
  <c r="K24" i="88"/>
  <c r="J39" i="88"/>
  <c r="K34" i="86" l="1"/>
  <c r="K31" i="86"/>
  <c r="K31" i="87"/>
  <c r="K34" i="87"/>
  <c r="K34" i="88"/>
  <c r="K31" i="88"/>
  <c r="L24" i="87" l="1"/>
  <c r="K39" i="87"/>
  <c r="K39" i="88"/>
  <c r="L24" i="88"/>
  <c r="K39" i="86"/>
  <c r="L24" i="86"/>
  <c r="L31" i="88" l="1"/>
  <c r="L34" i="88"/>
  <c r="L31" i="87"/>
  <c r="L34" i="87"/>
  <c r="L31" i="86"/>
  <c r="L34" i="86"/>
  <c r="D49" i="74"/>
  <c r="N37" i="60" s="1"/>
  <c r="L4" i="80"/>
  <c r="O4" i="80" s="1"/>
  <c r="DT20" i="13"/>
  <c r="DS20" i="13"/>
  <c r="DR20" i="13"/>
  <c r="DQ20" i="13"/>
  <c r="DP20" i="13"/>
  <c r="DO20" i="13"/>
  <c r="DN20" i="13"/>
  <c r="DM20" i="13"/>
  <c r="DL20" i="13"/>
  <c r="DK20" i="13"/>
  <c r="DJ20" i="13"/>
  <c r="DH20" i="13"/>
  <c r="DG20" i="13"/>
  <c r="DF20" i="13"/>
  <c r="DE20" i="13"/>
  <c r="DD20" i="13"/>
  <c r="DC20" i="13"/>
  <c r="DB20" i="13"/>
  <c r="DA20" i="13"/>
  <c r="CZ20" i="13"/>
  <c r="CY20" i="13"/>
  <c r="CX20" i="13"/>
  <c r="CV20" i="13"/>
  <c r="CU20" i="13"/>
  <c r="CT20" i="13"/>
  <c r="CS20" i="13"/>
  <c r="CR20" i="13"/>
  <c r="CQ20" i="13"/>
  <c r="CP20" i="13"/>
  <c r="CO20" i="13"/>
  <c r="CN20" i="13"/>
  <c r="CM20" i="13"/>
  <c r="CL20" i="13"/>
  <c r="CJ20" i="13"/>
  <c r="CI20" i="13"/>
  <c r="CH20" i="13"/>
  <c r="CG20" i="13"/>
  <c r="CF20" i="13"/>
  <c r="CE20" i="13"/>
  <c r="CD20" i="13"/>
  <c r="CC20" i="13"/>
  <c r="CB20" i="13"/>
  <c r="CA20" i="13"/>
  <c r="BZ20" i="13"/>
  <c r="BX20" i="13"/>
  <c r="BW20" i="13"/>
  <c r="BV20" i="13"/>
  <c r="BU20" i="13"/>
  <c r="BT20" i="13"/>
  <c r="BS20" i="13"/>
  <c r="BR20" i="13"/>
  <c r="BQ20" i="13"/>
  <c r="BP20" i="13"/>
  <c r="BO20" i="13"/>
  <c r="BN20" i="13"/>
  <c r="BL20" i="13"/>
  <c r="BK20" i="13"/>
  <c r="BJ20" i="13"/>
  <c r="BI20" i="13"/>
  <c r="BH20" i="13"/>
  <c r="BG20" i="13"/>
  <c r="BF20" i="13"/>
  <c r="BE20" i="13"/>
  <c r="BD20" i="13"/>
  <c r="BC20" i="13"/>
  <c r="BB20" i="13"/>
  <c r="AZ20" i="13"/>
  <c r="AY20" i="13"/>
  <c r="AX20" i="13"/>
  <c r="AW20" i="13"/>
  <c r="AV20" i="13"/>
  <c r="AU20" i="13"/>
  <c r="AT20" i="13"/>
  <c r="AS20" i="13"/>
  <c r="AR20" i="13"/>
  <c r="AQ20" i="13"/>
  <c r="AP20" i="13"/>
  <c r="AN20" i="13"/>
  <c r="AM20" i="13"/>
  <c r="AL20" i="13"/>
  <c r="AK20" i="13"/>
  <c r="AJ20" i="13"/>
  <c r="AI20" i="13"/>
  <c r="AH20" i="13"/>
  <c r="AG20" i="13"/>
  <c r="DR6" i="24"/>
  <c r="DS36" i="1" s="1"/>
  <c r="DQ6" i="24"/>
  <c r="DR36" i="1" s="1"/>
  <c r="DP6" i="24"/>
  <c r="DQ36" i="1" s="1"/>
  <c r="DO6" i="24"/>
  <c r="DP36" i="1" s="1"/>
  <c r="DN6" i="24"/>
  <c r="DO36" i="1" s="1"/>
  <c r="DM6" i="24"/>
  <c r="DN36" i="1" s="1"/>
  <c r="DL6" i="24"/>
  <c r="DM36" i="1" s="1"/>
  <c r="DK6" i="24"/>
  <c r="DL36" i="1" s="1"/>
  <c r="DJ6" i="24"/>
  <c r="DK36" i="1" s="1"/>
  <c r="DI6" i="24"/>
  <c r="DJ36" i="1" s="1"/>
  <c r="DH6" i="24"/>
  <c r="DI36" i="1" s="1"/>
  <c r="DG6" i="24"/>
  <c r="DH36" i="1" s="1"/>
  <c r="DF6" i="24"/>
  <c r="DG36" i="1" s="1"/>
  <c r="DE6" i="24"/>
  <c r="DF36" i="1" s="1"/>
  <c r="DD6" i="24"/>
  <c r="DE36" i="1" s="1"/>
  <c r="DC6" i="24"/>
  <c r="DD36" i="1" s="1"/>
  <c r="DB6" i="24"/>
  <c r="DC36" i="1" s="1"/>
  <c r="DA6" i="24"/>
  <c r="DB36" i="1" s="1"/>
  <c r="CZ6" i="24"/>
  <c r="DA36" i="1" s="1"/>
  <c r="CY6" i="24"/>
  <c r="CZ36" i="1" s="1"/>
  <c r="CX6" i="24"/>
  <c r="CY36" i="1" s="1"/>
  <c r="CW6" i="24"/>
  <c r="CX36" i="1" s="1"/>
  <c r="CV6" i="24"/>
  <c r="CW36" i="1" s="1"/>
  <c r="CU6" i="24"/>
  <c r="CV36" i="1" s="1"/>
  <c r="CT6" i="24"/>
  <c r="CU36" i="1" s="1"/>
  <c r="CS6" i="24"/>
  <c r="CT36" i="1" s="1"/>
  <c r="CR6" i="24"/>
  <c r="CS36" i="1" s="1"/>
  <c r="CQ6" i="24"/>
  <c r="CR36" i="1" s="1"/>
  <c r="CP6" i="24"/>
  <c r="CQ36" i="1" s="1"/>
  <c r="CO6" i="24"/>
  <c r="CP36" i="1" s="1"/>
  <c r="CN6" i="24"/>
  <c r="CO36" i="1" s="1"/>
  <c r="CM6" i="24"/>
  <c r="CN36" i="1" s="1"/>
  <c r="CL6" i="24"/>
  <c r="CM36" i="1" s="1"/>
  <c r="CK6" i="24"/>
  <c r="CL36" i="1" s="1"/>
  <c r="CJ6" i="24"/>
  <c r="CK36" i="1" s="1"/>
  <c r="CI6" i="24"/>
  <c r="CJ36" i="1" s="1"/>
  <c r="CH6" i="24"/>
  <c r="CI36" i="1" s="1"/>
  <c r="CG6" i="24"/>
  <c r="CH36" i="1" s="1"/>
  <c r="CF6" i="24"/>
  <c r="CG36" i="1" s="1"/>
  <c r="CE6" i="24"/>
  <c r="CF36" i="1" s="1"/>
  <c r="CD6" i="24"/>
  <c r="CE36" i="1" s="1"/>
  <c r="CC6" i="24"/>
  <c r="CD36" i="1" s="1"/>
  <c r="CB6" i="24"/>
  <c r="CC36" i="1" s="1"/>
  <c r="CA6" i="24"/>
  <c r="CB36" i="1" s="1"/>
  <c r="BZ6" i="24"/>
  <c r="CA36" i="1" s="1"/>
  <c r="BY6" i="24"/>
  <c r="BZ36" i="1" s="1"/>
  <c r="BX6" i="24"/>
  <c r="BY36" i="1" s="1"/>
  <c r="BW6" i="24"/>
  <c r="BX36" i="1" s="1"/>
  <c r="BV6" i="24"/>
  <c r="BW36" i="1" s="1"/>
  <c r="BU6" i="24"/>
  <c r="BV36" i="1" s="1"/>
  <c r="BT6" i="24"/>
  <c r="BU36" i="1" s="1"/>
  <c r="BS6" i="24"/>
  <c r="BT36" i="1" s="1"/>
  <c r="BR6" i="24"/>
  <c r="BS36" i="1" s="1"/>
  <c r="BQ6" i="24"/>
  <c r="BR36" i="1" s="1"/>
  <c r="BP6" i="24"/>
  <c r="BQ36" i="1" s="1"/>
  <c r="BO6" i="24"/>
  <c r="BP36" i="1" s="1"/>
  <c r="BN6" i="24"/>
  <c r="BO36" i="1" s="1"/>
  <c r="BM6" i="24"/>
  <c r="BN36" i="1" s="1"/>
  <c r="BL6" i="24"/>
  <c r="BM36" i="1" s="1"/>
  <c r="BK6" i="24"/>
  <c r="BL36" i="1" s="1"/>
  <c r="BJ6" i="24"/>
  <c r="BK36" i="1" s="1"/>
  <c r="BI6" i="24"/>
  <c r="BJ36" i="1" s="1"/>
  <c r="BH6" i="24"/>
  <c r="BI36" i="1" s="1"/>
  <c r="BG6" i="24"/>
  <c r="BH36" i="1" s="1"/>
  <c r="BF6" i="24"/>
  <c r="BG36" i="1" s="1"/>
  <c r="BE6" i="24"/>
  <c r="BF36" i="1" s="1"/>
  <c r="BD6" i="24"/>
  <c r="BE36" i="1" s="1"/>
  <c r="BC6" i="24"/>
  <c r="BD36" i="1" s="1"/>
  <c r="BB6" i="24"/>
  <c r="BC36" i="1" s="1"/>
  <c r="BA6" i="24"/>
  <c r="BB36" i="1" s="1"/>
  <c r="AZ6" i="24"/>
  <c r="BA36" i="1" s="1"/>
  <c r="AY6" i="24"/>
  <c r="AZ36" i="1" s="1"/>
  <c r="AX6" i="24"/>
  <c r="AY36" i="1" s="1"/>
  <c r="AW6" i="24"/>
  <c r="AX36" i="1" s="1"/>
  <c r="AV6" i="24"/>
  <c r="AW36" i="1" s="1"/>
  <c r="AU6" i="24"/>
  <c r="AV36" i="1" s="1"/>
  <c r="AT6" i="24"/>
  <c r="AU36" i="1" s="1"/>
  <c r="AS6" i="24"/>
  <c r="AT36" i="1" s="1"/>
  <c r="AR6" i="24"/>
  <c r="AS36" i="1" s="1"/>
  <c r="AQ6" i="24"/>
  <c r="AR36" i="1" s="1"/>
  <c r="AP6" i="24"/>
  <c r="AQ36" i="1" s="1"/>
  <c r="AO6" i="24"/>
  <c r="AP36" i="1" s="1"/>
  <c r="AN6" i="24"/>
  <c r="AO36" i="1" s="1"/>
  <c r="AM6" i="24"/>
  <c r="AN36" i="1" s="1"/>
  <c r="AL6" i="24"/>
  <c r="AM36" i="1" s="1"/>
  <c r="AK6" i="24"/>
  <c r="AL36" i="1" s="1"/>
  <c r="AJ6" i="24"/>
  <c r="AK36" i="1" s="1"/>
  <c r="AI6" i="24"/>
  <c r="AJ36" i="1" s="1"/>
  <c r="AH6" i="24"/>
  <c r="AI36" i="1" s="1"/>
  <c r="AG6" i="24"/>
  <c r="AH36" i="1" s="1"/>
  <c r="AF6" i="24"/>
  <c r="AG36" i="1" s="1"/>
  <c r="AE6" i="24"/>
  <c r="AF36" i="1" s="1"/>
  <c r="AD6" i="24"/>
  <c r="AE36" i="1" s="1"/>
  <c r="AC6" i="24"/>
  <c r="AD36" i="1" s="1"/>
  <c r="AB6" i="24"/>
  <c r="AC36" i="1" s="1"/>
  <c r="AA6" i="24"/>
  <c r="AB36" i="1" s="1"/>
  <c r="Z6" i="24"/>
  <c r="AA36" i="1" s="1"/>
  <c r="Y6" i="24"/>
  <c r="Z36" i="1" s="1"/>
  <c r="X6" i="24"/>
  <c r="Y36" i="1" s="1"/>
  <c r="W6" i="24"/>
  <c r="X36" i="1" s="1"/>
  <c r="V6" i="24"/>
  <c r="W36" i="1" s="1"/>
  <c r="U6" i="24"/>
  <c r="V36" i="1" s="1"/>
  <c r="T6" i="24"/>
  <c r="U36" i="1" s="1"/>
  <c r="S6" i="24"/>
  <c r="T36" i="1" s="1"/>
  <c r="R6" i="24"/>
  <c r="S36" i="1" s="1"/>
  <c r="Q6" i="24"/>
  <c r="R36" i="1" s="1"/>
  <c r="P6" i="24"/>
  <c r="Q36" i="1" s="1"/>
  <c r="O6" i="24"/>
  <c r="P36" i="1" s="1"/>
  <c r="N6" i="24"/>
  <c r="O36" i="1" s="1"/>
  <c r="M6" i="24"/>
  <c r="N36" i="1" s="1"/>
  <c r="L6" i="24"/>
  <c r="M36" i="1" s="1"/>
  <c r="K6" i="24"/>
  <c r="L36" i="1" s="1"/>
  <c r="J6" i="24"/>
  <c r="K36" i="1" s="1"/>
  <c r="I6" i="24"/>
  <c r="J36" i="1" s="1"/>
  <c r="H6" i="24"/>
  <c r="I36" i="1" s="1"/>
  <c r="G6" i="24"/>
  <c r="H36" i="1" s="1"/>
  <c r="F6" i="24"/>
  <c r="G36" i="1" s="1"/>
  <c r="E6" i="24"/>
  <c r="F36" i="1" s="1"/>
  <c r="D6" i="24"/>
  <c r="E36" i="1" s="1"/>
  <c r="C6" i="24"/>
  <c r="D36" i="1" s="1"/>
  <c r="F35" i="70"/>
  <c r="DR8" i="24"/>
  <c r="DS37" i="1" s="1"/>
  <c r="DQ8" i="24"/>
  <c r="DP8" i="24"/>
  <c r="DO8" i="24"/>
  <c r="DN8" i="24"/>
  <c r="DO37" i="1" s="1"/>
  <c r="DM8" i="24"/>
  <c r="DL8" i="24"/>
  <c r="DK8" i="24"/>
  <c r="DJ8" i="24"/>
  <c r="DK37" i="1" s="1"/>
  <c r="DI8" i="24"/>
  <c r="DH8" i="24"/>
  <c r="DG8" i="24"/>
  <c r="DF8" i="24"/>
  <c r="DG37" i="1" s="1"/>
  <c r="DE8" i="24"/>
  <c r="DD8" i="24"/>
  <c r="DC8" i="24"/>
  <c r="DB8" i="24"/>
  <c r="DC37" i="1" s="1"/>
  <c r="DA8" i="24"/>
  <c r="CZ8" i="24"/>
  <c r="CY8" i="24"/>
  <c r="CX8" i="24"/>
  <c r="CW8" i="24"/>
  <c r="CV8" i="24"/>
  <c r="CU8" i="24"/>
  <c r="CT8" i="24"/>
  <c r="CU37" i="1" s="1"/>
  <c r="CS8" i="24"/>
  <c r="CR8" i="24"/>
  <c r="CQ8" i="24"/>
  <c r="CP8" i="24"/>
  <c r="CQ37" i="1" s="1"/>
  <c r="CO8" i="24"/>
  <c r="CN8" i="24"/>
  <c r="CM8" i="24"/>
  <c r="CL8" i="24"/>
  <c r="CM37" i="1" s="1"/>
  <c r="CK8" i="24"/>
  <c r="CJ8" i="24"/>
  <c r="CI8" i="24"/>
  <c r="CH8" i="24"/>
  <c r="CI37" i="1" s="1"/>
  <c r="CG8" i="24"/>
  <c r="CF8" i="24"/>
  <c r="CE8" i="24"/>
  <c r="CD8" i="24"/>
  <c r="CE37" i="1" s="1"/>
  <c r="CC8" i="24"/>
  <c r="CB8" i="24"/>
  <c r="CA8" i="24"/>
  <c r="BZ8" i="24"/>
  <c r="CA37" i="1" s="1"/>
  <c r="BY8" i="24"/>
  <c r="BX8" i="24"/>
  <c r="BW8" i="24"/>
  <c r="N8" i="24"/>
  <c r="O37" i="1" s="1"/>
  <c r="M8" i="24"/>
  <c r="L8" i="24"/>
  <c r="M37" i="1" s="1"/>
  <c r="K8" i="24"/>
  <c r="J8" i="24"/>
  <c r="K37" i="1" s="1"/>
  <c r="I8" i="24"/>
  <c r="J37" i="1" s="1"/>
  <c r="H8" i="24"/>
  <c r="I37" i="1" s="1"/>
  <c r="G8" i="24"/>
  <c r="F8" i="24"/>
  <c r="G37" i="1" s="1"/>
  <c r="E8" i="24"/>
  <c r="D8" i="24"/>
  <c r="E37" i="1" s="1"/>
  <c r="DR7" i="24"/>
  <c r="DQ7" i="24"/>
  <c r="DR17" i="1" s="1"/>
  <c r="DP7" i="24"/>
  <c r="DQ17" i="1" s="1"/>
  <c r="DO7" i="24"/>
  <c r="DP39" i="1" s="1"/>
  <c r="DN7" i="24"/>
  <c r="DM7" i="24"/>
  <c r="DN17" i="1" s="1"/>
  <c r="DL7" i="24"/>
  <c r="DK7" i="24"/>
  <c r="DJ7" i="24"/>
  <c r="DI7" i="24"/>
  <c r="DJ17" i="1" s="1"/>
  <c r="DH7" i="24"/>
  <c r="DI17" i="1" s="1"/>
  <c r="DG7" i="24"/>
  <c r="DH39" i="1" s="1"/>
  <c r="DF7" i="24"/>
  <c r="DE7" i="24"/>
  <c r="DF17" i="1" s="1"/>
  <c r="DD7" i="24"/>
  <c r="DE39" i="1" s="1"/>
  <c r="DC7" i="24"/>
  <c r="DB7" i="24"/>
  <c r="DA7" i="24"/>
  <c r="DB17" i="1" s="1"/>
  <c r="CZ7" i="24"/>
  <c r="DA17" i="1" s="1"/>
  <c r="CY7" i="24"/>
  <c r="CZ39" i="1" s="1"/>
  <c r="CX7" i="24"/>
  <c r="CW7" i="24"/>
  <c r="CX17" i="1" s="1"/>
  <c r="CV7" i="24"/>
  <c r="CU7" i="24"/>
  <c r="CT7" i="24"/>
  <c r="CS7" i="24"/>
  <c r="CT39" i="1" s="1"/>
  <c r="CR7" i="24"/>
  <c r="CQ7" i="24"/>
  <c r="CP7" i="24"/>
  <c r="CO7" i="24"/>
  <c r="CP39" i="1" s="1"/>
  <c r="CN7" i="24"/>
  <c r="CM7" i="24"/>
  <c r="CL7" i="24"/>
  <c r="CK7" i="24"/>
  <c r="CL39" i="1" s="1"/>
  <c r="CJ7" i="24"/>
  <c r="CI7" i="24"/>
  <c r="CH7" i="24"/>
  <c r="CG7" i="24"/>
  <c r="CH17" i="1" s="1"/>
  <c r="CF7" i="24"/>
  <c r="CE7" i="24"/>
  <c r="CD7" i="24"/>
  <c r="CC7" i="24"/>
  <c r="CD39" i="1" s="1"/>
  <c r="CB7" i="24"/>
  <c r="CA7" i="24"/>
  <c r="BZ7" i="24"/>
  <c r="BY7" i="24"/>
  <c r="BZ39" i="1" s="1"/>
  <c r="BX7" i="24"/>
  <c r="BW7" i="24"/>
  <c r="C8" i="24"/>
  <c r="R40" i="1"/>
  <c r="Q40" i="1"/>
  <c r="P40" i="1"/>
  <c r="R32" i="1"/>
  <c r="Q32" i="1"/>
  <c r="P32" i="1"/>
  <c r="R27" i="1"/>
  <c r="Q27" i="1"/>
  <c r="P27" i="1"/>
  <c r="R16" i="1"/>
  <c r="Q16" i="1"/>
  <c r="P16" i="1"/>
  <c r="R9" i="1"/>
  <c r="Q9" i="1"/>
  <c r="P9" i="1"/>
  <c r="D44" i="1"/>
  <c r="M40" i="1"/>
  <c r="L40" i="1"/>
  <c r="K40" i="1"/>
  <c r="J40" i="1"/>
  <c r="I40" i="1"/>
  <c r="H40" i="1"/>
  <c r="G40" i="1"/>
  <c r="F40" i="1"/>
  <c r="E40" i="1"/>
  <c r="D40" i="1"/>
  <c r="M32" i="1"/>
  <c r="L32" i="1"/>
  <c r="K32" i="1"/>
  <c r="J32" i="1"/>
  <c r="I32" i="1"/>
  <c r="H32" i="1"/>
  <c r="G32" i="1"/>
  <c r="F32" i="1"/>
  <c r="E32" i="1"/>
  <c r="D32" i="1"/>
  <c r="M27" i="1"/>
  <c r="L27" i="1"/>
  <c r="K27" i="1"/>
  <c r="J27" i="1"/>
  <c r="I27" i="1"/>
  <c r="H27" i="1"/>
  <c r="G27" i="1"/>
  <c r="F27" i="1"/>
  <c r="E27" i="1"/>
  <c r="D27" i="1"/>
  <c r="M16" i="1"/>
  <c r="L16" i="1"/>
  <c r="K16" i="1"/>
  <c r="J16" i="1"/>
  <c r="I16" i="1"/>
  <c r="H16" i="1"/>
  <c r="G16" i="1"/>
  <c r="F16" i="1"/>
  <c r="E16" i="1"/>
  <c r="D16" i="1"/>
  <c r="M12" i="1"/>
  <c r="L12" i="1"/>
  <c r="K12" i="1"/>
  <c r="J12" i="1"/>
  <c r="I12" i="1"/>
  <c r="H12" i="1"/>
  <c r="G12" i="1"/>
  <c r="F12" i="1"/>
  <c r="E12" i="1"/>
  <c r="D12" i="1"/>
  <c r="M11" i="1"/>
  <c r="L11" i="1"/>
  <c r="K11" i="1"/>
  <c r="J11" i="1"/>
  <c r="I11" i="1"/>
  <c r="H11" i="1"/>
  <c r="G11" i="1"/>
  <c r="F11" i="1"/>
  <c r="E11" i="1"/>
  <c r="D11" i="1"/>
  <c r="M10" i="1"/>
  <c r="L10" i="1"/>
  <c r="K10" i="1"/>
  <c r="J10" i="1"/>
  <c r="I10" i="1"/>
  <c r="H10" i="1"/>
  <c r="G10" i="1"/>
  <c r="F10" i="1"/>
  <c r="E10" i="1"/>
  <c r="D10" i="1"/>
  <c r="M9" i="1"/>
  <c r="L9" i="1"/>
  <c r="K9" i="1"/>
  <c r="J9" i="1"/>
  <c r="I9" i="1"/>
  <c r="H9" i="1"/>
  <c r="G9" i="1"/>
  <c r="F9" i="1"/>
  <c r="E9" i="1"/>
  <c r="D9" i="1"/>
  <c r="J7" i="44"/>
  <c r="I7" i="44"/>
  <c r="H7" i="44"/>
  <c r="G7" i="44"/>
  <c r="F7" i="44"/>
  <c r="L42" i="72"/>
  <c r="L6" i="44" s="1"/>
  <c r="J6" i="44"/>
  <c r="I6" i="44"/>
  <c r="H6" i="44"/>
  <c r="G6" i="44"/>
  <c r="F6" i="44"/>
  <c r="J5" i="44"/>
  <c r="I5" i="44"/>
  <c r="H5" i="44"/>
  <c r="G5" i="44"/>
  <c r="F5" i="44"/>
  <c r="E7" i="44"/>
  <c r="E6" i="44"/>
  <c r="E5" i="44"/>
  <c r="X44" i="74"/>
  <c r="W44" i="74"/>
  <c r="V44" i="74"/>
  <c r="U44" i="74"/>
  <c r="T44" i="74"/>
  <c r="S44" i="74"/>
  <c r="R44" i="74"/>
  <c r="Q44" i="74"/>
  <c r="P44" i="74"/>
  <c r="O44" i="74"/>
  <c r="N44" i="74"/>
  <c r="M44" i="74"/>
  <c r="L44" i="74"/>
  <c r="K44" i="74"/>
  <c r="J44" i="74"/>
  <c r="I44" i="74"/>
  <c r="H44" i="74"/>
  <c r="G44" i="74"/>
  <c r="F44" i="74"/>
  <c r="E44" i="74"/>
  <c r="D43" i="74"/>
  <c r="E43" i="74" s="1"/>
  <c r="F43" i="74" s="1"/>
  <c r="G43" i="74" s="1"/>
  <c r="H43" i="74" s="1"/>
  <c r="I43" i="74" s="1"/>
  <c r="J43" i="74" s="1"/>
  <c r="K43" i="74" s="1"/>
  <c r="L43" i="74" s="1"/>
  <c r="M43" i="74" s="1"/>
  <c r="N43" i="74" s="1"/>
  <c r="O43" i="74" s="1"/>
  <c r="P43" i="74" s="1"/>
  <c r="Q43" i="74" s="1"/>
  <c r="R43" i="74" s="1"/>
  <c r="S43" i="74" s="1"/>
  <c r="T43" i="74" s="1"/>
  <c r="U43" i="74" s="1"/>
  <c r="V43" i="74" s="1"/>
  <c r="W43" i="74" s="1"/>
  <c r="X43" i="74" s="1"/>
  <c r="X42" i="74"/>
  <c r="W42" i="74"/>
  <c r="V42" i="74"/>
  <c r="U42" i="74"/>
  <c r="T42" i="74"/>
  <c r="S42" i="74"/>
  <c r="R42" i="74"/>
  <c r="Q42" i="74"/>
  <c r="P42" i="74"/>
  <c r="O42" i="74"/>
  <c r="N42" i="74"/>
  <c r="M42" i="74"/>
  <c r="L42" i="74"/>
  <c r="K42" i="74"/>
  <c r="J42" i="74"/>
  <c r="I42" i="74"/>
  <c r="H42" i="74"/>
  <c r="G42" i="74"/>
  <c r="F42" i="74"/>
  <c r="E42" i="74"/>
  <c r="D42" i="74"/>
  <c r="D44" i="74" s="1"/>
  <c r="X33" i="74"/>
  <c r="W33" i="74"/>
  <c r="V33" i="74"/>
  <c r="U33" i="74"/>
  <c r="T33" i="74"/>
  <c r="S33" i="74"/>
  <c r="R33" i="74"/>
  <c r="Q33" i="74"/>
  <c r="P33" i="74"/>
  <c r="O33" i="74"/>
  <c r="N33" i="74"/>
  <c r="M33" i="74"/>
  <c r="L33" i="74"/>
  <c r="K33" i="74"/>
  <c r="J33" i="74"/>
  <c r="I33" i="74"/>
  <c r="H33" i="74"/>
  <c r="G33" i="74"/>
  <c r="F33" i="74"/>
  <c r="E33" i="74"/>
  <c r="E35" i="74" s="1"/>
  <c r="D33" i="74"/>
  <c r="X28" i="74"/>
  <c r="W28" i="74"/>
  <c r="V28" i="74"/>
  <c r="U28" i="74"/>
  <c r="T28" i="74"/>
  <c r="S28" i="74"/>
  <c r="R28" i="74"/>
  <c r="Q28" i="74"/>
  <c r="P28" i="74"/>
  <c r="O28" i="74"/>
  <c r="N28" i="74"/>
  <c r="M28" i="74"/>
  <c r="L28" i="74"/>
  <c r="K28" i="74"/>
  <c r="J28" i="74"/>
  <c r="I28" i="74"/>
  <c r="H28" i="74"/>
  <c r="G28" i="74"/>
  <c r="F28" i="74"/>
  <c r="E28" i="74"/>
  <c r="D28" i="74"/>
  <c r="D27" i="74"/>
  <c r="E27" i="74" s="1"/>
  <c r="F27" i="74" s="1"/>
  <c r="G27" i="74" s="1"/>
  <c r="H27" i="74" s="1"/>
  <c r="I27" i="74" s="1"/>
  <c r="J27" i="74" s="1"/>
  <c r="K27" i="74" s="1"/>
  <c r="L27" i="74" s="1"/>
  <c r="M27" i="74" s="1"/>
  <c r="N27" i="74" s="1"/>
  <c r="O27" i="74" s="1"/>
  <c r="P27" i="74" s="1"/>
  <c r="Q27" i="74" s="1"/>
  <c r="R27" i="74" s="1"/>
  <c r="S27" i="74" s="1"/>
  <c r="T27" i="74" s="1"/>
  <c r="U27" i="74" s="1"/>
  <c r="V27" i="74" s="1"/>
  <c r="W27" i="74" s="1"/>
  <c r="X27" i="74" s="1"/>
  <c r="E20" i="74"/>
  <c r="F20" i="74" s="1"/>
  <c r="G20" i="74" s="1"/>
  <c r="H20" i="74" s="1"/>
  <c r="I20" i="74" s="1"/>
  <c r="J20" i="74" s="1"/>
  <c r="K20" i="74" s="1"/>
  <c r="L20" i="74" s="1"/>
  <c r="M20" i="74" s="1"/>
  <c r="N20" i="74" s="1"/>
  <c r="O20" i="74" s="1"/>
  <c r="P20" i="74" s="1"/>
  <c r="Q20" i="74" s="1"/>
  <c r="R20" i="74" s="1"/>
  <c r="S20" i="74" s="1"/>
  <c r="T20" i="74" s="1"/>
  <c r="U20" i="74" s="1"/>
  <c r="V20" i="74" s="1"/>
  <c r="W20" i="74" s="1"/>
  <c r="X20" i="74" s="1"/>
  <c r="Y20" i="74" s="1"/>
  <c r="Z20" i="74" s="1"/>
  <c r="AA20" i="74" s="1"/>
  <c r="AB20" i="74" s="1"/>
  <c r="AC20" i="74" s="1"/>
  <c r="D16" i="74"/>
  <c r="P60" i="72"/>
  <c r="P7" i="44" s="1"/>
  <c r="O60" i="72"/>
  <c r="O7" i="44" s="1"/>
  <c r="N60" i="72"/>
  <c r="N7" i="44" s="1"/>
  <c r="M60" i="72"/>
  <c r="M7" i="44" s="1"/>
  <c r="L60" i="72"/>
  <c r="L7" i="44" s="1"/>
  <c r="K60" i="72"/>
  <c r="K7" i="44" s="1"/>
  <c r="N42" i="72"/>
  <c r="N6" i="44" s="1"/>
  <c r="M42" i="72"/>
  <c r="M6" i="44" s="1"/>
  <c r="K42" i="72"/>
  <c r="K6" i="44" s="1"/>
  <c r="N23" i="72"/>
  <c r="N5" i="44" s="1"/>
  <c r="M23" i="72"/>
  <c r="M5" i="44" s="1"/>
  <c r="L23" i="72"/>
  <c r="L5" i="44" s="1"/>
  <c r="K23" i="72"/>
  <c r="K5" i="44" s="1"/>
  <c r="S5" i="13"/>
  <c r="F14" i="62"/>
  <c r="F16" i="62"/>
  <c r="O14" i="24"/>
  <c r="O16" i="24"/>
  <c r="B15" i="24"/>
  <c r="P15" i="24" s="1"/>
  <c r="F18" i="65"/>
  <c r="F20" i="65" s="1"/>
  <c r="E20" i="65"/>
  <c r="D20" i="65"/>
  <c r="F12" i="65"/>
  <c r="F8" i="65"/>
  <c r="F24" i="65"/>
  <c r="F23" i="65"/>
  <c r="W53" i="22"/>
  <c r="V53" i="22"/>
  <c r="W52" i="22"/>
  <c r="V52" i="22"/>
  <c r="W51" i="22"/>
  <c r="V51" i="22"/>
  <c r="W50" i="22"/>
  <c r="V50" i="22"/>
  <c r="W49" i="22"/>
  <c r="V49" i="22"/>
  <c r="W48" i="22"/>
  <c r="V48" i="22"/>
  <c r="W47" i="22"/>
  <c r="V47" i="22"/>
  <c r="W46" i="22"/>
  <c r="V46" i="22"/>
  <c r="W45" i="22"/>
  <c r="V45" i="22"/>
  <c r="W44" i="22"/>
  <c r="V44" i="22"/>
  <c r="W43" i="22"/>
  <c r="G35" i="70"/>
  <c r="N37" i="1"/>
  <c r="L37" i="1"/>
  <c r="H37" i="1"/>
  <c r="F37" i="1"/>
  <c r="D37" i="1"/>
  <c r="DS39" i="1"/>
  <c r="DO39" i="1"/>
  <c r="DM17" i="1"/>
  <c r="DK39" i="1"/>
  <c r="DG39" i="1"/>
  <c r="DE17" i="1"/>
  <c r="DC39" i="1"/>
  <c r="CY39" i="1"/>
  <c r="CW17" i="1"/>
  <c r="BV14" i="24"/>
  <c r="BU14" i="24"/>
  <c r="BT14" i="24"/>
  <c r="BS14" i="24"/>
  <c r="BR14" i="24"/>
  <c r="BQ14" i="24"/>
  <c r="BP14" i="24"/>
  <c r="BO14" i="24"/>
  <c r="BN14" i="24"/>
  <c r="BM14" i="24"/>
  <c r="BL14" i="24"/>
  <c r="BK14" i="24"/>
  <c r="BJ14" i="24"/>
  <c r="BI14" i="24"/>
  <c r="BH14" i="24"/>
  <c r="BG14" i="24"/>
  <c r="BF14" i="24"/>
  <c r="BE14" i="24"/>
  <c r="BD14" i="24"/>
  <c r="BC14" i="24"/>
  <c r="BB14" i="24"/>
  <c r="BA14" i="24"/>
  <c r="AZ14" i="24"/>
  <c r="AY14" i="24"/>
  <c r="AX14" i="24"/>
  <c r="AW14" i="24"/>
  <c r="AV14" i="24"/>
  <c r="AU14" i="24"/>
  <c r="AT14" i="24"/>
  <c r="AS14" i="24"/>
  <c r="AR14" i="24"/>
  <c r="AQ14" i="24"/>
  <c r="AP14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Q13" i="24"/>
  <c r="R13" i="24" s="1"/>
  <c r="S13" i="24" s="1"/>
  <c r="T13" i="24" s="1"/>
  <c r="U13" i="24" s="1"/>
  <c r="V13" i="24" s="1"/>
  <c r="W13" i="24" s="1"/>
  <c r="X13" i="24" s="1"/>
  <c r="Y13" i="24" s="1"/>
  <c r="Z13" i="24" s="1"/>
  <c r="AA13" i="24" s="1"/>
  <c r="AB13" i="24" s="1"/>
  <c r="AC13" i="24" s="1"/>
  <c r="AD13" i="24" s="1"/>
  <c r="AE13" i="24" s="1"/>
  <c r="AF13" i="24" s="1"/>
  <c r="AG13" i="24" s="1"/>
  <c r="AH13" i="24" s="1"/>
  <c r="AI13" i="24" s="1"/>
  <c r="AJ13" i="24" s="1"/>
  <c r="AK13" i="24" s="1"/>
  <c r="AL13" i="24" s="1"/>
  <c r="AM13" i="24" s="1"/>
  <c r="AN13" i="24" s="1"/>
  <c r="AO13" i="24" s="1"/>
  <c r="AP13" i="24" s="1"/>
  <c r="AQ13" i="24" s="1"/>
  <c r="AR13" i="24" s="1"/>
  <c r="AS13" i="24" s="1"/>
  <c r="AT13" i="24" s="1"/>
  <c r="AU13" i="24" s="1"/>
  <c r="AV13" i="24" s="1"/>
  <c r="AW13" i="24" s="1"/>
  <c r="AX13" i="24" s="1"/>
  <c r="AY13" i="24" s="1"/>
  <c r="AZ13" i="24" s="1"/>
  <c r="BA13" i="24" s="1"/>
  <c r="BB13" i="24" s="1"/>
  <c r="BC13" i="24" s="1"/>
  <c r="BD13" i="24" s="1"/>
  <c r="BE13" i="24" s="1"/>
  <c r="BF13" i="24" s="1"/>
  <c r="BG13" i="24" s="1"/>
  <c r="BH13" i="24" s="1"/>
  <c r="BI13" i="24" s="1"/>
  <c r="BJ13" i="24" s="1"/>
  <c r="BK13" i="24" s="1"/>
  <c r="BL13" i="24" s="1"/>
  <c r="BM13" i="24" s="1"/>
  <c r="BN13" i="24" s="1"/>
  <c r="BO13" i="24" s="1"/>
  <c r="BP13" i="24" s="1"/>
  <c r="BQ13" i="24" s="1"/>
  <c r="BR13" i="24" s="1"/>
  <c r="BS13" i="24" s="1"/>
  <c r="BT13" i="24" s="1"/>
  <c r="BU13" i="24" s="1"/>
  <c r="BV13" i="24" s="1"/>
  <c r="CY17" i="1"/>
  <c r="DC17" i="1"/>
  <c r="DG17" i="1"/>
  <c r="DK17" i="1"/>
  <c r="DO17" i="1"/>
  <c r="DS17" i="1"/>
  <c r="CW39" i="1"/>
  <c r="DA39" i="1"/>
  <c r="DI39" i="1"/>
  <c r="DM39" i="1"/>
  <c r="DQ39" i="1"/>
  <c r="CZ17" i="1"/>
  <c r="DH17" i="1"/>
  <c r="DP17" i="1"/>
  <c r="D39" i="20"/>
  <c r="O40" i="1"/>
  <c r="N40" i="1"/>
  <c r="O32" i="1"/>
  <c r="N32" i="1"/>
  <c r="O19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L14" i="20" s="1"/>
  <c r="CV16" i="1"/>
  <c r="CU16" i="1"/>
  <c r="CT16" i="1"/>
  <c r="CS16" i="1"/>
  <c r="CR16" i="1"/>
  <c r="CQ16" i="1"/>
  <c r="CP16" i="1"/>
  <c r="CO16" i="1"/>
  <c r="CN16" i="1"/>
  <c r="CM16" i="1"/>
  <c r="CL16" i="1"/>
  <c r="CK16" i="1"/>
  <c r="K14" i="20" s="1"/>
  <c r="CJ16" i="1"/>
  <c r="CI16" i="1"/>
  <c r="CH16" i="1"/>
  <c r="CG16" i="1"/>
  <c r="CF16" i="1"/>
  <c r="CE16" i="1"/>
  <c r="CD16" i="1"/>
  <c r="CC16" i="1"/>
  <c r="CB16" i="1"/>
  <c r="CA16" i="1"/>
  <c r="BZ16" i="1"/>
  <c r="BY16" i="1"/>
  <c r="J14" i="20" s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H14" i="20" s="1"/>
  <c r="AZ16" i="1"/>
  <c r="AY16" i="1"/>
  <c r="AX16" i="1"/>
  <c r="AW16" i="1"/>
  <c r="AV16" i="1"/>
  <c r="AU16" i="1"/>
  <c r="AT16" i="1"/>
  <c r="AS16" i="1"/>
  <c r="AR16" i="1"/>
  <c r="AQ16" i="1"/>
  <c r="AP16" i="1"/>
  <c r="AO16" i="1"/>
  <c r="G14" i="20" s="1"/>
  <c r="AN16" i="1"/>
  <c r="AM16" i="1"/>
  <c r="AL16" i="1"/>
  <c r="AK16" i="1"/>
  <c r="AJ16" i="1"/>
  <c r="AI16" i="1"/>
  <c r="AH16" i="1"/>
  <c r="AG16" i="1"/>
  <c r="AF16" i="1"/>
  <c r="AE16" i="1"/>
  <c r="AD16" i="1"/>
  <c r="AC16" i="1"/>
  <c r="F14" i="20" s="1"/>
  <c r="AB16" i="1"/>
  <c r="AA16" i="1"/>
  <c r="Z16" i="1"/>
  <c r="Y16" i="1"/>
  <c r="X16" i="1"/>
  <c r="W16" i="1"/>
  <c r="V16" i="1"/>
  <c r="U16" i="1"/>
  <c r="E14" i="20" s="1"/>
  <c r="T16" i="1"/>
  <c r="S16" i="1"/>
  <c r="O16" i="1"/>
  <c r="N16" i="1"/>
  <c r="D17" i="20"/>
  <c r="D28" i="20" s="1"/>
  <c r="M11" i="69"/>
  <c r="N11" i="69" s="1"/>
  <c r="M14" i="69"/>
  <c r="N14" i="69" s="1"/>
  <c r="M13" i="69"/>
  <c r="N13" i="69" s="1"/>
  <c r="M12" i="69"/>
  <c r="N12" i="69" s="1"/>
  <c r="D5" i="69"/>
  <c r="K6" i="69"/>
  <c r="M6" i="69" s="1"/>
  <c r="N6" i="69" s="1"/>
  <c r="K5" i="69"/>
  <c r="M5" i="69" s="1"/>
  <c r="N5" i="69" s="1"/>
  <c r="O5" i="69" s="1"/>
  <c r="AO19" i="13"/>
  <c r="CW19" i="13"/>
  <c r="BM19" i="13"/>
  <c r="DI19" i="13"/>
  <c r="AC19" i="13"/>
  <c r="BA19" i="13"/>
  <c r="CK19" i="13"/>
  <c r="BY19" i="13"/>
  <c r="I59" i="47"/>
  <c r="J59" i="47" s="1"/>
  <c r="E18" i="47" s="1"/>
  <c r="I58" i="47"/>
  <c r="J58" i="47" s="1"/>
  <c r="I57" i="47"/>
  <c r="J57" i="47" s="1"/>
  <c r="I56" i="47"/>
  <c r="J56" i="47" s="1"/>
  <c r="E27" i="47" s="1"/>
  <c r="I55" i="47"/>
  <c r="J55" i="47" s="1"/>
  <c r="E41" i="47" s="1"/>
  <c r="V41" i="47" s="1"/>
  <c r="I54" i="47"/>
  <c r="J54" i="47" s="1"/>
  <c r="E40" i="47" s="1"/>
  <c r="I53" i="47"/>
  <c r="J53" i="47" s="1"/>
  <c r="I52" i="47"/>
  <c r="J52" i="47" s="1"/>
  <c r="I51" i="47"/>
  <c r="J51" i="47" s="1"/>
  <c r="E8" i="47" s="1"/>
  <c r="Q4" i="47"/>
  <c r="P4" i="47"/>
  <c r="O4" i="47"/>
  <c r="N4" i="47"/>
  <c r="M4" i="47"/>
  <c r="L4" i="47"/>
  <c r="K4" i="47"/>
  <c r="J4" i="47"/>
  <c r="I4" i="47"/>
  <c r="H4" i="47"/>
  <c r="G4" i="47"/>
  <c r="F4" i="47"/>
  <c r="AB9" i="1"/>
  <c r="AA9" i="1"/>
  <c r="Z9" i="1"/>
  <c r="Y9" i="1"/>
  <c r="X9" i="1"/>
  <c r="W9" i="1"/>
  <c r="V9" i="1"/>
  <c r="U9" i="1"/>
  <c r="T9" i="1"/>
  <c r="S9" i="1"/>
  <c r="O9" i="1"/>
  <c r="N9" i="1"/>
  <c r="N27" i="1"/>
  <c r="E5" i="13"/>
  <c r="H4" i="60"/>
  <c r="E4" i="60"/>
  <c r="W5" i="16"/>
  <c r="U52" i="47"/>
  <c r="V52" i="47" s="1"/>
  <c r="E15" i="65"/>
  <c r="D15" i="65"/>
  <c r="D27" i="65" s="1"/>
  <c r="F13" i="65"/>
  <c r="F10" i="65"/>
  <c r="W69" i="22"/>
  <c r="V69" i="22"/>
  <c r="W68" i="22"/>
  <c r="V68" i="22"/>
  <c r="W67" i="22"/>
  <c r="V67" i="22"/>
  <c r="W66" i="22"/>
  <c r="V66" i="22"/>
  <c r="W65" i="22"/>
  <c r="V65" i="22"/>
  <c r="W64" i="22"/>
  <c r="V64" i="22"/>
  <c r="W63" i="22"/>
  <c r="V63" i="22"/>
  <c r="W62" i="22"/>
  <c r="V62" i="22"/>
  <c r="W61" i="22"/>
  <c r="V61" i="22"/>
  <c r="W60" i="22"/>
  <c r="V60" i="22"/>
  <c r="W59" i="22"/>
  <c r="V59" i="22"/>
  <c r="W58" i="22"/>
  <c r="V58" i="22"/>
  <c r="W57" i="22"/>
  <c r="V57" i="22"/>
  <c r="W56" i="22"/>
  <c r="V56" i="22"/>
  <c r="W55" i="22"/>
  <c r="V55" i="22"/>
  <c r="W54" i="22"/>
  <c r="V54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W76" i="22"/>
  <c r="V76" i="22"/>
  <c r="W75" i="22"/>
  <c r="V75" i="22"/>
  <c r="W74" i="22"/>
  <c r="V74" i="22"/>
  <c r="W73" i="22"/>
  <c r="V73" i="22"/>
  <c r="W72" i="22"/>
  <c r="V72" i="22"/>
  <c r="W71" i="22"/>
  <c r="V71" i="22"/>
  <c r="W70" i="22"/>
  <c r="V70" i="22"/>
  <c r="W35" i="22"/>
  <c r="W34" i="22"/>
  <c r="W36" i="22"/>
  <c r="W29" i="22"/>
  <c r="V29" i="22"/>
  <c r="W30" i="22"/>
  <c r="W31" i="22"/>
  <c r="W32" i="22"/>
  <c r="W42" i="22"/>
  <c r="W41" i="22"/>
  <c r="W40" i="22"/>
  <c r="W39" i="22"/>
  <c r="W38" i="22"/>
  <c r="W37" i="22"/>
  <c r="W33" i="22"/>
  <c r="U53" i="47"/>
  <c r="V53" i="47" s="1"/>
  <c r="U54" i="47"/>
  <c r="V54" i="47" s="1"/>
  <c r="U58" i="47"/>
  <c r="V58" i="47" s="1"/>
  <c r="U57" i="47"/>
  <c r="V57" i="47" s="1"/>
  <c r="U56" i="47"/>
  <c r="V56" i="47" s="1"/>
  <c r="U55" i="47"/>
  <c r="V55" i="47" s="1"/>
  <c r="U51" i="47"/>
  <c r="V51" i="47" s="1"/>
  <c r="U59" i="47"/>
  <c r="V59" i="47" s="1"/>
  <c r="C63" i="47"/>
  <c r="C67" i="47"/>
  <c r="C65" i="47"/>
  <c r="W28" i="22"/>
  <c r="V28" i="22"/>
  <c r="AC4" i="47"/>
  <c r="AB4" i="47"/>
  <c r="AA4" i="47"/>
  <c r="Z4" i="47"/>
  <c r="Y4" i="47"/>
  <c r="X4" i="47"/>
  <c r="W4" i="47"/>
  <c r="V4" i="47"/>
  <c r="U4" i="47"/>
  <c r="T4" i="47"/>
  <c r="S4" i="47"/>
  <c r="R4" i="47"/>
  <c r="V21" i="22"/>
  <c r="V22" i="22"/>
  <c r="V23" i="22"/>
  <c r="V24" i="22"/>
  <c r="V26" i="22"/>
  <c r="V27" i="22"/>
  <c r="AA10" i="58"/>
  <c r="AA40" i="1"/>
  <c r="S40" i="1"/>
  <c r="T40" i="1"/>
  <c r="U40" i="1"/>
  <c r="V40" i="1"/>
  <c r="W40" i="1"/>
  <c r="X40" i="1"/>
  <c r="Y40" i="1"/>
  <c r="Z40" i="1"/>
  <c r="DR27" i="1"/>
  <c r="DQ27" i="1"/>
  <c r="DP27" i="1"/>
  <c r="DO27" i="1"/>
  <c r="DN27" i="1"/>
  <c r="DL27" i="1"/>
  <c r="DK27" i="1"/>
  <c r="DJ27" i="1"/>
  <c r="DI27" i="1"/>
  <c r="DH27" i="1"/>
  <c r="DF27" i="1"/>
  <c r="DE27" i="1"/>
  <c r="DD27" i="1"/>
  <c r="DC27" i="1"/>
  <c r="DB27" i="1"/>
  <c r="CZ27" i="1"/>
  <c r="CY27" i="1"/>
  <c r="CX27" i="1"/>
  <c r="CW27" i="1"/>
  <c r="CV27" i="1"/>
  <c r="CT27" i="1"/>
  <c r="CS27" i="1"/>
  <c r="CR27" i="1"/>
  <c r="CQ27" i="1"/>
  <c r="CP27" i="1"/>
  <c r="CN27" i="1"/>
  <c r="CM27" i="1"/>
  <c r="CL27" i="1"/>
  <c r="CK27" i="1"/>
  <c r="CJ27" i="1"/>
  <c r="CH27" i="1"/>
  <c r="CG27" i="1"/>
  <c r="CF27" i="1"/>
  <c r="CE27" i="1"/>
  <c r="CD27" i="1"/>
  <c r="CB27" i="1"/>
  <c r="CA27" i="1"/>
  <c r="BZ27" i="1"/>
  <c r="BY27" i="1"/>
  <c r="BX27" i="1"/>
  <c r="BV27" i="1"/>
  <c r="BU27" i="1"/>
  <c r="BT27" i="1"/>
  <c r="BS27" i="1"/>
  <c r="BR27" i="1"/>
  <c r="BP27" i="1"/>
  <c r="BO27" i="1"/>
  <c r="BN27" i="1"/>
  <c r="BM27" i="1"/>
  <c r="BL27" i="1"/>
  <c r="BJ27" i="1"/>
  <c r="BI27" i="1"/>
  <c r="BH27" i="1"/>
  <c r="BG27" i="1"/>
  <c r="BF27" i="1"/>
  <c r="BD27" i="1"/>
  <c r="BC27" i="1"/>
  <c r="BB27" i="1"/>
  <c r="BA27" i="1"/>
  <c r="AZ27" i="1"/>
  <c r="AX27" i="1"/>
  <c r="AW27" i="1"/>
  <c r="AV27" i="1"/>
  <c r="AU27" i="1"/>
  <c r="AT27" i="1"/>
  <c r="AR27" i="1"/>
  <c r="AQ27" i="1"/>
  <c r="AP27" i="1"/>
  <c r="AO27" i="1"/>
  <c r="AN27" i="1"/>
  <c r="AL27" i="1"/>
  <c r="AK27" i="1"/>
  <c r="AJ27" i="1"/>
  <c r="AI27" i="1"/>
  <c r="AH27" i="1"/>
  <c r="AF27" i="1"/>
  <c r="AE27" i="1"/>
  <c r="AD27" i="1"/>
  <c r="AC27" i="1"/>
  <c r="AB27" i="1"/>
  <c r="Z27" i="1"/>
  <c r="Y27" i="1"/>
  <c r="X27" i="1"/>
  <c r="W27" i="1"/>
  <c r="V27" i="1"/>
  <c r="T27" i="1"/>
  <c r="S27" i="1"/>
  <c r="E39" i="20"/>
  <c r="S32" i="1"/>
  <c r="T32" i="1"/>
  <c r="U32" i="1"/>
  <c r="V32" i="1"/>
  <c r="W32" i="1"/>
  <c r="X32" i="1"/>
  <c r="Y32" i="1"/>
  <c r="Z32" i="1"/>
  <c r="AA32" i="1"/>
  <c r="F39" i="20"/>
  <c r="AB32" i="1"/>
  <c r="AC32" i="1"/>
  <c r="AD32" i="1"/>
  <c r="AE32" i="1"/>
  <c r="AF32" i="1"/>
  <c r="AG32" i="1"/>
  <c r="AH32" i="1"/>
  <c r="AI32" i="1"/>
  <c r="AJ32" i="1"/>
  <c r="AK32" i="1"/>
  <c r="AL32" i="1"/>
  <c r="AM32" i="1"/>
  <c r="G39" i="20"/>
  <c r="AN32" i="1"/>
  <c r="AO32" i="1"/>
  <c r="AP32" i="1"/>
  <c r="AQ32" i="1"/>
  <c r="AR32" i="1"/>
  <c r="AS32" i="1"/>
  <c r="AT32" i="1"/>
  <c r="AU32" i="1"/>
  <c r="AV32" i="1"/>
  <c r="AW32" i="1"/>
  <c r="AX32" i="1"/>
  <c r="AY32" i="1"/>
  <c r="H39" i="20"/>
  <c r="AZ32" i="1"/>
  <c r="BA32" i="1"/>
  <c r="BB32" i="1"/>
  <c r="BC32" i="1"/>
  <c r="BD32" i="1"/>
  <c r="BE32" i="1"/>
  <c r="BF32" i="1"/>
  <c r="BG32" i="1"/>
  <c r="BH32" i="1"/>
  <c r="BI32" i="1"/>
  <c r="BJ32" i="1"/>
  <c r="BK32" i="1"/>
  <c r="I39" i="20"/>
  <c r="BL32" i="1"/>
  <c r="BM32" i="1"/>
  <c r="BN32" i="1"/>
  <c r="BO32" i="1"/>
  <c r="BP32" i="1"/>
  <c r="BQ32" i="1"/>
  <c r="BR32" i="1"/>
  <c r="BS32" i="1"/>
  <c r="BT32" i="1"/>
  <c r="BU32" i="1"/>
  <c r="BV32" i="1"/>
  <c r="BW32" i="1"/>
  <c r="J39" i="20"/>
  <c r="BX32" i="1"/>
  <c r="BY32" i="1"/>
  <c r="BZ32" i="1"/>
  <c r="CA32" i="1"/>
  <c r="CB32" i="1"/>
  <c r="CC32" i="1"/>
  <c r="CD32" i="1"/>
  <c r="CE32" i="1"/>
  <c r="CF32" i="1"/>
  <c r="CG32" i="1"/>
  <c r="CH32" i="1"/>
  <c r="CI32" i="1"/>
  <c r="K39" i="20"/>
  <c r="CJ32" i="1"/>
  <c r="CK32" i="1"/>
  <c r="CL32" i="1"/>
  <c r="CM32" i="1"/>
  <c r="CN32" i="1"/>
  <c r="CO32" i="1"/>
  <c r="CP32" i="1"/>
  <c r="CQ32" i="1"/>
  <c r="CR32" i="1"/>
  <c r="CS32" i="1"/>
  <c r="CT32" i="1"/>
  <c r="CU32" i="1"/>
  <c r="L39" i="20"/>
  <c r="CV32" i="1"/>
  <c r="CW32" i="1"/>
  <c r="CX32" i="1"/>
  <c r="CY32" i="1"/>
  <c r="CZ32" i="1"/>
  <c r="DA32" i="1"/>
  <c r="DB32" i="1"/>
  <c r="DC32" i="1"/>
  <c r="DD32" i="1"/>
  <c r="DE32" i="1"/>
  <c r="DF32" i="1"/>
  <c r="DG32" i="1"/>
  <c r="M39" i="20"/>
  <c r="DH32" i="1"/>
  <c r="DI32" i="1"/>
  <c r="DJ32" i="1"/>
  <c r="DK32" i="1"/>
  <c r="DL32" i="1"/>
  <c r="DM32" i="1"/>
  <c r="DN32" i="1"/>
  <c r="DO32" i="1"/>
  <c r="DP32" i="1"/>
  <c r="DQ32" i="1"/>
  <c r="DR32" i="1"/>
  <c r="DS32" i="1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G19" i="22"/>
  <c r="G49" i="22" s="1"/>
  <c r="W27" i="22"/>
  <c r="D25" i="23"/>
  <c r="L37" i="23"/>
  <c r="K37" i="23"/>
  <c r="J37" i="23"/>
  <c r="I37" i="23"/>
  <c r="H37" i="23"/>
  <c r="G37" i="23"/>
  <c r="F37" i="23"/>
  <c r="E37" i="23"/>
  <c r="D37" i="23"/>
  <c r="L33" i="23"/>
  <c r="L36" i="23" s="1"/>
  <c r="K33" i="23"/>
  <c r="K36" i="23" s="1"/>
  <c r="J33" i="23"/>
  <c r="J36" i="23" s="1"/>
  <c r="I33" i="23"/>
  <c r="I36" i="23" s="1"/>
  <c r="H33" i="23"/>
  <c r="H36" i="23" s="1"/>
  <c r="G33" i="23"/>
  <c r="G36" i="23" s="1"/>
  <c r="F33" i="23"/>
  <c r="F36" i="23" s="1"/>
  <c r="E33" i="23"/>
  <c r="E36" i="23" s="1"/>
  <c r="D33" i="23"/>
  <c r="D36" i="23" s="1"/>
  <c r="O12" i="22"/>
  <c r="H12" i="22"/>
  <c r="V30" i="22"/>
  <c r="G33" i="22"/>
  <c r="E15" i="47"/>
  <c r="E21" i="47"/>
  <c r="E6" i="62"/>
  <c r="E9" i="47"/>
  <c r="W9" i="47" s="1"/>
  <c r="J47" i="47"/>
  <c r="Z8" i="47"/>
  <c r="O47" i="47"/>
  <c r="M47" i="47"/>
  <c r="N47" i="47"/>
  <c r="H47" i="47"/>
  <c r="I47" i="47"/>
  <c r="G47" i="47"/>
  <c r="L47" i="47"/>
  <c r="F47" i="47"/>
  <c r="K47" i="47"/>
  <c r="I14" i="20"/>
  <c r="CV37" i="1"/>
  <c r="CW37" i="1"/>
  <c r="CX37" i="1"/>
  <c r="CY37" i="1"/>
  <c r="CZ37" i="1"/>
  <c r="DA37" i="1"/>
  <c r="DB37" i="1"/>
  <c r="DD37" i="1"/>
  <c r="DE37" i="1"/>
  <c r="DF37" i="1"/>
  <c r="DH37" i="1"/>
  <c r="DI37" i="1"/>
  <c r="DJ37" i="1"/>
  <c r="DL37" i="1"/>
  <c r="DM37" i="1"/>
  <c r="DN37" i="1"/>
  <c r="DP37" i="1"/>
  <c r="DQ37" i="1"/>
  <c r="DR37" i="1"/>
  <c r="M14" i="20"/>
  <c r="O27" i="1"/>
  <c r="BX37" i="1"/>
  <c r="BX39" i="1"/>
  <c r="BX17" i="1"/>
  <c r="BY37" i="1"/>
  <c r="BY39" i="1"/>
  <c r="BY17" i="1"/>
  <c r="BZ37" i="1"/>
  <c r="CA39" i="1"/>
  <c r="CA17" i="1"/>
  <c r="CB37" i="1"/>
  <c r="CB39" i="1"/>
  <c r="CB17" i="1"/>
  <c r="CC37" i="1"/>
  <c r="CC39" i="1"/>
  <c r="CC17" i="1"/>
  <c r="CD37" i="1"/>
  <c r="CE39" i="1"/>
  <c r="CE17" i="1"/>
  <c r="CF37" i="1"/>
  <c r="CF39" i="1"/>
  <c r="CF17" i="1"/>
  <c r="CG37" i="1"/>
  <c r="CG39" i="1"/>
  <c r="CG17" i="1"/>
  <c r="CH39" i="1"/>
  <c r="CH37" i="1"/>
  <c r="CI17" i="1"/>
  <c r="CI39" i="1"/>
  <c r="CJ37" i="1"/>
  <c r="CJ39" i="1"/>
  <c r="CJ17" i="1"/>
  <c r="CK37" i="1"/>
  <c r="CK39" i="1"/>
  <c r="CK17" i="1"/>
  <c r="CL37" i="1"/>
  <c r="CM17" i="1"/>
  <c r="CM39" i="1"/>
  <c r="CN37" i="1"/>
  <c r="CN39" i="1"/>
  <c r="CN17" i="1"/>
  <c r="CO37" i="1"/>
  <c r="CO39" i="1"/>
  <c r="CO17" i="1"/>
  <c r="CP37" i="1"/>
  <c r="CQ39" i="1"/>
  <c r="CQ17" i="1"/>
  <c r="CR37" i="1"/>
  <c r="CR39" i="1"/>
  <c r="CR17" i="1"/>
  <c r="CS37" i="1"/>
  <c r="CS39" i="1"/>
  <c r="CS17" i="1"/>
  <c r="CT37" i="1"/>
  <c r="CU39" i="1"/>
  <c r="CU17" i="1"/>
  <c r="N10" i="1"/>
  <c r="O10" i="1"/>
  <c r="E20" i="47" l="1"/>
  <c r="E14" i="47"/>
  <c r="D41" i="20"/>
  <c r="I37" i="20"/>
  <c r="L37" i="20"/>
  <c r="M37" i="20"/>
  <c r="U9" i="47"/>
  <c r="E32" i="47"/>
  <c r="AC32" i="47" s="1"/>
  <c r="D14" i="20"/>
  <c r="DR39" i="1"/>
  <c r="CT17" i="1"/>
  <c r="K38" i="20"/>
  <c r="CD17" i="1"/>
  <c r="BZ17" i="1"/>
  <c r="J15" i="20" s="1"/>
  <c r="E24" i="47"/>
  <c r="DJ39" i="1"/>
  <c r="CP17" i="1"/>
  <c r="CL17" i="1"/>
  <c r="K15" i="20" s="1"/>
  <c r="E23" i="47"/>
  <c r="E27" i="65"/>
  <c r="DB39" i="1"/>
  <c r="L38" i="20"/>
  <c r="Y21" i="47"/>
  <c r="S21" i="47"/>
  <c r="AA21" i="47"/>
  <c r="Z21" i="47"/>
  <c r="T21" i="47"/>
  <c r="W21" i="47"/>
  <c r="V21" i="47"/>
  <c r="X21" i="47"/>
  <c r="AB21" i="47"/>
  <c r="U21" i="47"/>
  <c r="AC21" i="47"/>
  <c r="U8" i="47"/>
  <c r="P8" i="47"/>
  <c r="Q8" i="47"/>
  <c r="K40" i="20"/>
  <c r="J40" i="20"/>
  <c r="M38" i="20"/>
  <c r="Q27" i="47"/>
  <c r="P27" i="47"/>
  <c r="Y23" i="47"/>
  <c r="S23" i="47"/>
  <c r="U23" i="47"/>
  <c r="AA23" i="47"/>
  <c r="Z23" i="47"/>
  <c r="T23" i="47"/>
  <c r="W23" i="47"/>
  <c r="V23" i="47"/>
  <c r="AC23" i="47"/>
  <c r="X23" i="47"/>
  <c r="AB23" i="47"/>
  <c r="F37" i="20"/>
  <c r="G37" i="20"/>
  <c r="J37" i="20"/>
  <c r="J38" i="20"/>
  <c r="Y9" i="47"/>
  <c r="Q9" i="47"/>
  <c r="P9" i="47"/>
  <c r="AI15" i="47"/>
  <c r="AM15" i="47"/>
  <c r="AK15" i="47"/>
  <c r="AL15" i="47"/>
  <c r="AO15" i="47"/>
  <c r="AJ15" i="47"/>
  <c r="AN15" i="47"/>
  <c r="AP15" i="47"/>
  <c r="S20" i="47"/>
  <c r="U20" i="47"/>
  <c r="AA20" i="47"/>
  <c r="Z20" i="47"/>
  <c r="T20" i="47"/>
  <c r="W20" i="47"/>
  <c r="V20" i="47"/>
  <c r="AC20" i="47"/>
  <c r="X20" i="47"/>
  <c r="AB20" i="47"/>
  <c r="Y20" i="47"/>
  <c r="AK14" i="47"/>
  <c r="AL14" i="47"/>
  <c r="AO14" i="47"/>
  <c r="AJ14" i="47"/>
  <c r="AI14" i="47"/>
  <c r="AN14" i="47"/>
  <c r="AM14" i="47"/>
  <c r="AP14" i="47"/>
  <c r="V25" i="22"/>
  <c r="R5" i="69"/>
  <c r="V36" i="22"/>
  <c r="G42" i="22"/>
  <c r="G45" i="22"/>
  <c r="M24" i="86"/>
  <c r="L39" i="86"/>
  <c r="M24" i="87"/>
  <c r="L39" i="87"/>
  <c r="L39" i="88"/>
  <c r="M24" i="88"/>
  <c r="G39" i="22"/>
  <c r="H19" i="22"/>
  <c r="V42" i="22"/>
  <c r="G46" i="22"/>
  <c r="G43" i="22"/>
  <c r="G51" i="22"/>
  <c r="G53" i="22"/>
  <c r="V31" i="22"/>
  <c r="G32" i="22"/>
  <c r="G38" i="22"/>
  <c r="V32" i="22"/>
  <c r="B32" i="22" s="1"/>
  <c r="G47" i="22"/>
  <c r="V39" i="22"/>
  <c r="V43" i="22"/>
  <c r="G57" i="22"/>
  <c r="G60" i="22"/>
  <c r="G58" i="22"/>
  <c r="G37" i="22"/>
  <c r="G35" i="22"/>
  <c r="V35" i="22"/>
  <c r="G48" i="22"/>
  <c r="G34" i="22"/>
  <c r="V37" i="22"/>
  <c r="G54" i="22"/>
  <c r="G55" i="22"/>
  <c r="G44" i="22"/>
  <c r="G29" i="22"/>
  <c r="G31" i="22"/>
  <c r="V33" i="22"/>
  <c r="G59" i="22"/>
  <c r="V41" i="22"/>
  <c r="G50" i="22"/>
  <c r="G36" i="22"/>
  <c r="V34" i="22"/>
  <c r="G52" i="22"/>
  <c r="G41" i="22"/>
  <c r="G30" i="22"/>
  <c r="G56" i="22"/>
  <c r="G40" i="22"/>
  <c r="V38" i="22"/>
  <c r="V40" i="22"/>
  <c r="E37" i="20"/>
  <c r="P16" i="24"/>
  <c r="P7" i="24" s="1"/>
  <c r="V27" i="47"/>
  <c r="X27" i="47"/>
  <c r="W27" i="47"/>
  <c r="H37" i="20"/>
  <c r="E33" i="47"/>
  <c r="E44" i="47"/>
  <c r="O7" i="24"/>
  <c r="O17" i="24"/>
  <c r="D37" i="20"/>
  <c r="K37" i="20"/>
  <c r="E41" i="20"/>
  <c r="CV17" i="1"/>
  <c r="CV39" i="1"/>
  <c r="DD39" i="1"/>
  <c r="DD17" i="1"/>
  <c r="DL17" i="1"/>
  <c r="M15" i="20" s="1"/>
  <c r="DL39" i="1"/>
  <c r="D38" i="20"/>
  <c r="DN39" i="1"/>
  <c r="CX39" i="1"/>
  <c r="P17" i="24"/>
  <c r="P8" i="24" s="1"/>
  <c r="Q37" i="1" s="1"/>
  <c r="Q4" i="80"/>
  <c r="F15" i="65"/>
  <c r="AH40" i="47"/>
  <c r="AL40" i="47"/>
  <c r="AP40" i="47"/>
  <c r="AT40" i="47"/>
  <c r="AX40" i="47"/>
  <c r="BB40" i="47"/>
  <c r="BF40" i="47"/>
  <c r="BJ40" i="47"/>
  <c r="BN40" i="47"/>
  <c r="BR40" i="47"/>
  <c r="BV40" i="47"/>
  <c r="BZ40" i="47"/>
  <c r="CD40" i="47"/>
  <c r="CH40" i="47"/>
  <c r="CL40" i="47"/>
  <c r="CP40" i="47"/>
  <c r="CT40" i="47"/>
  <c r="CX40" i="47"/>
  <c r="DB40" i="47"/>
  <c r="DF40" i="47"/>
  <c r="DJ40" i="47"/>
  <c r="DN40" i="47"/>
  <c r="DR40" i="47"/>
  <c r="AE40" i="47"/>
  <c r="AI40" i="47"/>
  <c r="AM40" i="47"/>
  <c r="AQ40" i="47"/>
  <c r="AU40" i="47"/>
  <c r="AY40" i="47"/>
  <c r="BC40" i="47"/>
  <c r="BG40" i="47"/>
  <c r="BK40" i="47"/>
  <c r="BO40" i="47"/>
  <c r="BS40" i="47"/>
  <c r="BW40" i="47"/>
  <c r="CA40" i="47"/>
  <c r="CE40" i="47"/>
  <c r="CI40" i="47"/>
  <c r="CM40" i="47"/>
  <c r="CQ40" i="47"/>
  <c r="CU40" i="47"/>
  <c r="CY40" i="47"/>
  <c r="DC40" i="47"/>
  <c r="DG40" i="47"/>
  <c r="DK40" i="47"/>
  <c r="DO40" i="47"/>
  <c r="DS40" i="47"/>
  <c r="AF40" i="47"/>
  <c r="AJ40" i="47"/>
  <c r="AN40" i="47"/>
  <c r="AR40" i="47"/>
  <c r="AV40" i="47"/>
  <c r="AZ40" i="47"/>
  <c r="BD40" i="47"/>
  <c r="BH40" i="47"/>
  <c r="BL40" i="47"/>
  <c r="BP40" i="47"/>
  <c r="BT40" i="47"/>
  <c r="BX40" i="47"/>
  <c r="CB40" i="47"/>
  <c r="CF40" i="47"/>
  <c r="CJ40" i="47"/>
  <c r="CN40" i="47"/>
  <c r="CR40" i="47"/>
  <c r="CV40" i="47"/>
  <c r="CZ40" i="47"/>
  <c r="DD40" i="47"/>
  <c r="DH40" i="47"/>
  <c r="DL40" i="47"/>
  <c r="DP40" i="47"/>
  <c r="DT40" i="47"/>
  <c r="AG40" i="47"/>
  <c r="AK40" i="47"/>
  <c r="AO40" i="47"/>
  <c r="AS40" i="47"/>
  <c r="AW40" i="47"/>
  <c r="BA40" i="47"/>
  <c r="BE40" i="47"/>
  <c r="BI40" i="47"/>
  <c r="BM40" i="47"/>
  <c r="BQ40" i="47"/>
  <c r="BU40" i="47"/>
  <c r="BY40" i="47"/>
  <c r="CC40" i="47"/>
  <c r="CG40" i="47"/>
  <c r="CK40" i="47"/>
  <c r="CO40" i="47"/>
  <c r="CS40" i="47"/>
  <c r="CW40" i="47"/>
  <c r="DA40" i="47"/>
  <c r="DE40" i="47"/>
  <c r="DI40" i="47"/>
  <c r="DM40" i="47"/>
  <c r="DQ40" i="47"/>
  <c r="DU40" i="47"/>
  <c r="DF39" i="1"/>
  <c r="C11" i="24"/>
  <c r="E16" i="74"/>
  <c r="O11" i="69"/>
  <c r="R11" i="69" s="1"/>
  <c r="F27" i="65"/>
  <c r="F30" i="65" s="1"/>
  <c r="C53" i="20" s="1"/>
  <c r="AB33" i="47"/>
  <c r="AF33" i="47"/>
  <c r="AJ33" i="47"/>
  <c r="AC33" i="47"/>
  <c r="AG33" i="47"/>
  <c r="AK33" i="47"/>
  <c r="AE33" i="47"/>
  <c r="AM33" i="47"/>
  <c r="AQ33" i="47"/>
  <c r="AU33" i="47"/>
  <c r="AY33" i="47"/>
  <c r="BC33" i="47"/>
  <c r="BG33" i="47"/>
  <c r="BK33" i="47"/>
  <c r="BO33" i="47"/>
  <c r="BS33" i="47"/>
  <c r="BW33" i="47"/>
  <c r="CA33" i="47"/>
  <c r="CE33" i="47"/>
  <c r="CI33" i="47"/>
  <c r="CM33" i="47"/>
  <c r="CQ33" i="47"/>
  <c r="CU33" i="47"/>
  <c r="CY33" i="47"/>
  <c r="DC33" i="47"/>
  <c r="DG33" i="47"/>
  <c r="DK33" i="47"/>
  <c r="DO33" i="47"/>
  <c r="DS33" i="47"/>
  <c r="AD33" i="47"/>
  <c r="AL33" i="47"/>
  <c r="AP33" i="47"/>
  <c r="AT33" i="47"/>
  <c r="AH33" i="47"/>
  <c r="AN33" i="47"/>
  <c r="AR33" i="47"/>
  <c r="AV33" i="47"/>
  <c r="AZ33" i="47"/>
  <c r="BD33" i="47"/>
  <c r="BH33" i="47"/>
  <c r="BL33" i="47"/>
  <c r="BP33" i="47"/>
  <c r="BT33" i="47"/>
  <c r="BX33" i="47"/>
  <c r="CB33" i="47"/>
  <c r="CF33" i="47"/>
  <c r="CJ33" i="47"/>
  <c r="CN33" i="47"/>
  <c r="CR33" i="47"/>
  <c r="CV33" i="47"/>
  <c r="CZ33" i="47"/>
  <c r="DD33" i="47"/>
  <c r="DH33" i="47"/>
  <c r="DL33" i="47"/>
  <c r="DP33" i="47"/>
  <c r="DT33" i="47"/>
  <c r="AA33" i="47"/>
  <c r="AI33" i="47"/>
  <c r="AO33" i="47"/>
  <c r="AS33" i="47"/>
  <c r="AW33" i="47"/>
  <c r="BA33" i="47"/>
  <c r="BE33" i="47"/>
  <c r="BI33" i="47"/>
  <c r="BM33" i="47"/>
  <c r="BQ33" i="47"/>
  <c r="BU33" i="47"/>
  <c r="BY33" i="47"/>
  <c r="CC33" i="47"/>
  <c r="CG33" i="47"/>
  <c r="CK33" i="47"/>
  <c r="CO33" i="47"/>
  <c r="CS33" i="47"/>
  <c r="CW33" i="47"/>
  <c r="DA33" i="47"/>
  <c r="DE33" i="47"/>
  <c r="DI33" i="47"/>
  <c r="DM33" i="47"/>
  <c r="DQ33" i="47"/>
  <c r="DU33" i="47"/>
  <c r="AX33" i="47"/>
  <c r="BN33" i="47"/>
  <c r="CD33" i="47"/>
  <c r="CT33" i="47"/>
  <c r="DJ33" i="47"/>
  <c r="BF33" i="47"/>
  <c r="DB33" i="47"/>
  <c r="BZ33" i="47"/>
  <c r="DF33" i="47"/>
  <c r="BB33" i="47"/>
  <c r="BR33" i="47"/>
  <c r="CH33" i="47"/>
  <c r="CX33" i="47"/>
  <c r="DN33" i="47"/>
  <c r="BV33" i="47"/>
  <c r="CL33" i="47"/>
  <c r="DR33" i="47"/>
  <c r="BJ33" i="47"/>
  <c r="CP33" i="47"/>
  <c r="AC8" i="47"/>
  <c r="R27" i="47"/>
  <c r="R8" i="47"/>
  <c r="E37" i="47"/>
  <c r="E42" i="47"/>
  <c r="S8" i="47"/>
  <c r="U27" i="47"/>
  <c r="E36" i="47"/>
  <c r="E31" i="47"/>
  <c r="Y8" i="47"/>
  <c r="AO32" i="47"/>
  <c r="BE32" i="47"/>
  <c r="BU32" i="47"/>
  <c r="CK32" i="47"/>
  <c r="DA32" i="47"/>
  <c r="DQ32" i="47"/>
  <c r="AL32" i="47"/>
  <c r="BB32" i="47"/>
  <c r="BR32" i="47"/>
  <c r="CH32" i="47"/>
  <c r="CX32" i="47"/>
  <c r="DN32" i="47"/>
  <c r="AR32" i="47"/>
  <c r="BX32" i="47"/>
  <c r="DD32" i="47"/>
  <c r="AI32" i="47"/>
  <c r="BO32" i="47"/>
  <c r="CU32" i="47"/>
  <c r="AE32" i="47"/>
  <c r="BK32" i="47"/>
  <c r="CQ32" i="47"/>
  <c r="AF32" i="47"/>
  <c r="BL32" i="47"/>
  <c r="CR32" i="47"/>
  <c r="T27" i="47"/>
  <c r="AC27" i="47"/>
  <c r="S27" i="47"/>
  <c r="H57" i="47"/>
  <c r="T53" i="47"/>
  <c r="V9" i="47"/>
  <c r="R42" i="47"/>
  <c r="T52" i="47"/>
  <c r="T54" i="47"/>
  <c r="AB9" i="47"/>
  <c r="S42" i="47"/>
  <c r="O12" i="69"/>
  <c r="R12" i="69" s="1"/>
  <c r="Q12" i="69"/>
  <c r="O6" i="69"/>
  <c r="R6" i="69" s="1"/>
  <c r="Q6" i="69"/>
  <c r="O14" i="69"/>
  <c r="R14" i="69" s="1"/>
  <c r="Q13" i="69"/>
  <c r="O13" i="69"/>
  <c r="R13" i="69" s="1"/>
  <c r="Q11" i="69"/>
  <c r="AC41" i="47"/>
  <c r="AA42" i="47"/>
  <c r="T55" i="47"/>
  <c r="V44" i="47"/>
  <c r="T56" i="47"/>
  <c r="H53" i="47"/>
  <c r="D8" i="20"/>
  <c r="H26" i="1"/>
  <c r="H28" i="1" s="1"/>
  <c r="L26" i="1"/>
  <c r="L28" i="1" s="1"/>
  <c r="Q14" i="69"/>
  <c r="Q5" i="69"/>
  <c r="P5" i="69"/>
  <c r="R44" i="47"/>
  <c r="AA44" i="47"/>
  <c r="R9" i="47"/>
  <c r="X9" i="47"/>
  <c r="AC9" i="47"/>
  <c r="S9" i="47"/>
  <c r="Z9" i="47"/>
  <c r="T9" i="47"/>
  <c r="AA9" i="47"/>
  <c r="Y27" i="47"/>
  <c r="AA27" i="47"/>
  <c r="Z27" i="47"/>
  <c r="AB27" i="47"/>
  <c r="E22" i="47"/>
  <c r="E35" i="47"/>
  <c r="E17" i="47"/>
  <c r="E25" i="47"/>
  <c r="E29" i="47"/>
  <c r="Y42" i="47"/>
  <c r="X42" i="47"/>
  <c r="X8" i="47"/>
  <c r="V8" i="47"/>
  <c r="T8" i="47"/>
  <c r="W8" i="47"/>
  <c r="AB8" i="47"/>
  <c r="AA8" i="47"/>
  <c r="E39" i="47"/>
  <c r="E12" i="47"/>
  <c r="T44" i="47"/>
  <c r="W44" i="47"/>
  <c r="Z44" i="47"/>
  <c r="Y44" i="47"/>
  <c r="AB44" i="47"/>
  <c r="U44" i="47"/>
  <c r="X44" i="47"/>
  <c r="AC44" i="47"/>
  <c r="H56" i="47"/>
  <c r="H52" i="47"/>
  <c r="H58" i="47"/>
  <c r="H54" i="47"/>
  <c r="T59" i="47"/>
  <c r="T58" i="47"/>
  <c r="T57" i="47"/>
  <c r="H59" i="47"/>
  <c r="H55" i="47"/>
  <c r="H51" i="47"/>
  <c r="T51" i="47"/>
  <c r="Z41" i="47"/>
  <c r="S41" i="47"/>
  <c r="AB41" i="47"/>
  <c r="R41" i="47"/>
  <c r="Y41" i="47"/>
  <c r="T41" i="47"/>
  <c r="AA41" i="47"/>
  <c r="W41" i="47"/>
  <c r="U41" i="47"/>
  <c r="E16" i="47"/>
  <c r="E28" i="47"/>
  <c r="E13" i="47"/>
  <c r="E43" i="47"/>
  <c r="X41" i="47"/>
  <c r="S5" i="18"/>
  <c r="Y5" i="18"/>
  <c r="R5" i="13"/>
  <c r="L5" i="29"/>
  <c r="R5" i="16"/>
  <c r="V5" i="29"/>
  <c r="J33" i="20"/>
  <c r="C7" i="23"/>
  <c r="D7" i="20"/>
  <c r="D26" i="20"/>
  <c r="D33" i="20"/>
  <c r="E7" i="20"/>
  <c r="E33" i="20"/>
  <c r="M33" i="20"/>
  <c r="L33" i="20"/>
  <c r="K33" i="20"/>
  <c r="I33" i="20"/>
  <c r="H33" i="20"/>
  <c r="G33" i="20"/>
  <c r="F33" i="20"/>
  <c r="D13" i="1"/>
  <c r="G26" i="1"/>
  <c r="G28" i="1" s="1"/>
  <c r="F26" i="1"/>
  <c r="F28" i="1" s="1"/>
  <c r="J7" i="77"/>
  <c r="F13" i="1"/>
  <c r="J26" i="1"/>
  <c r="J28" i="1" s="1"/>
  <c r="H13" i="1"/>
  <c r="L13" i="1"/>
  <c r="E13" i="1"/>
  <c r="I26" i="1"/>
  <c r="I28" i="1" s="1"/>
  <c r="M13" i="1"/>
  <c r="G13" i="1"/>
  <c r="D26" i="1"/>
  <c r="D28" i="1" s="1"/>
  <c r="K26" i="1"/>
  <c r="K28" i="1" s="1"/>
  <c r="K13" i="1"/>
  <c r="J13" i="1"/>
  <c r="D18" i="74"/>
  <c r="D35" i="74" s="1"/>
  <c r="D19" i="74"/>
  <c r="D58" i="74"/>
  <c r="D52" i="74" s="1"/>
  <c r="B38" i="22"/>
  <c r="B39" i="22"/>
  <c r="B29" i="22"/>
  <c r="B50" i="22"/>
  <c r="B57" i="22"/>
  <c r="E4" i="18"/>
  <c r="L5" i="13"/>
  <c r="G5" i="29"/>
  <c r="Q5" i="16"/>
  <c r="T5" i="16"/>
  <c r="Z5" i="29"/>
  <c r="J5" i="16"/>
  <c r="F5" i="29"/>
  <c r="P5" i="29"/>
  <c r="X5" i="29"/>
  <c r="V5" i="13"/>
  <c r="W5" i="13"/>
  <c r="H5" i="18"/>
  <c r="E26" i="1"/>
  <c r="M26" i="1"/>
  <c r="M28" i="1" s="1"/>
  <c r="I13" i="1"/>
  <c r="M5" i="16"/>
  <c r="G5" i="16"/>
  <c r="I5" i="29"/>
  <c r="N5" i="16"/>
  <c r="L5" i="16"/>
  <c r="AA12" i="58"/>
  <c r="AB9" i="58" s="1"/>
  <c r="AB10" i="58" s="1"/>
  <c r="AC40" i="1" s="1"/>
  <c r="AB40" i="1"/>
  <c r="W8" i="18"/>
  <c r="X22" i="18"/>
  <c r="T23" i="18"/>
  <c r="S8" i="18"/>
  <c r="V8" i="18"/>
  <c r="P8" i="18"/>
  <c r="U8" i="18"/>
  <c r="AM23" i="47"/>
  <c r="R8" i="18"/>
  <c r="AN23" i="47"/>
  <c r="Z8" i="18"/>
  <c r="AA8" i="18"/>
  <c r="AE44" i="47"/>
  <c r="Y8" i="18"/>
  <c r="AJ23" i="47"/>
  <c r="Q8" i="18"/>
  <c r="N4" i="13"/>
  <c r="X4" i="13"/>
  <c r="P4" i="13"/>
  <c r="O4" i="60"/>
  <c r="J4" i="29"/>
  <c r="E4" i="29"/>
  <c r="M4" i="18"/>
  <c r="D4" i="29"/>
  <c r="D4" i="60"/>
  <c r="J4" i="16"/>
  <c r="N4" i="18"/>
  <c r="L4" i="60"/>
  <c r="M4" i="13"/>
  <c r="F4" i="29"/>
  <c r="N4" i="60"/>
  <c r="I4" i="18"/>
  <c r="K4" i="16"/>
  <c r="E4" i="16"/>
  <c r="F4" i="16"/>
  <c r="J4" i="18"/>
  <c r="I4" i="13"/>
  <c r="D4" i="18"/>
  <c r="P4" i="16"/>
  <c r="N4" i="29"/>
  <c r="K4" i="18"/>
  <c r="L4" i="18"/>
  <c r="G4" i="29"/>
  <c r="E4" i="13"/>
  <c r="G4" i="60"/>
  <c r="L4" i="29"/>
  <c r="M4" i="29"/>
  <c r="K4" i="13"/>
  <c r="AD27" i="47"/>
  <c r="AD9" i="47"/>
  <c r="AD23" i="47"/>
  <c r="AI20" i="47"/>
  <c r="AI39" i="47"/>
  <c r="AI44" i="47"/>
  <c r="AI9" i="47"/>
  <c r="AN39" i="47"/>
  <c r="AN27" i="47"/>
  <c r="AN8" i="47"/>
  <c r="AN42" i="47"/>
  <c r="AN20" i="47"/>
  <c r="AH44" i="47"/>
  <c r="AG21" i="47"/>
  <c r="P5" i="13"/>
  <c r="G5" i="13"/>
  <c r="M5" i="13"/>
  <c r="N5" i="29"/>
  <c r="F5" i="13"/>
  <c r="P5" i="16"/>
  <c r="I5" i="18"/>
  <c r="D5" i="29"/>
  <c r="L5" i="18"/>
  <c r="H5" i="29"/>
  <c r="K5" i="29"/>
  <c r="O5" i="18"/>
  <c r="E5" i="16"/>
  <c r="F5" i="18"/>
  <c r="M5" i="29"/>
  <c r="O5" i="29"/>
  <c r="M5" i="18"/>
  <c r="O5" i="16"/>
  <c r="D5" i="18"/>
  <c r="K5" i="18"/>
  <c r="N5" i="18"/>
  <c r="H5" i="13"/>
  <c r="J5" i="29"/>
  <c r="E5" i="29"/>
  <c r="H5" i="16"/>
  <c r="K5" i="16"/>
  <c r="I5" i="16"/>
  <c r="F5" i="16"/>
  <c r="J5" i="18"/>
  <c r="O5" i="13"/>
  <c r="I5" i="13"/>
  <c r="G5" i="18"/>
  <c r="K5" i="13"/>
  <c r="J5" i="13"/>
  <c r="E5" i="18"/>
  <c r="N5" i="13"/>
  <c r="D5" i="16"/>
  <c r="AA5" i="16"/>
  <c r="Q5" i="29"/>
  <c r="X5" i="13"/>
  <c r="Z5" i="13"/>
  <c r="Y5" i="29"/>
  <c r="W5" i="29"/>
  <c r="AA5" i="18"/>
  <c r="S5" i="16"/>
  <c r="T5" i="18"/>
  <c r="Z5" i="16"/>
  <c r="U5" i="18"/>
  <c r="U5" i="16"/>
  <c r="AB5" i="13"/>
  <c r="AA5" i="13"/>
  <c r="R5" i="29"/>
  <c r="U5" i="29"/>
  <c r="X5" i="16"/>
  <c r="Q5" i="13"/>
  <c r="Z5" i="18"/>
  <c r="Y5" i="16"/>
  <c r="S5" i="29"/>
  <c r="Q5" i="18"/>
  <c r="P5" i="18"/>
  <c r="U5" i="13"/>
  <c r="AB5" i="16"/>
  <c r="T5" i="29"/>
  <c r="R5" i="18"/>
  <c r="AA5" i="29"/>
  <c r="Y5" i="13"/>
  <c r="T5" i="13"/>
  <c r="W5" i="18"/>
  <c r="V5" i="18"/>
  <c r="V5" i="16"/>
  <c r="X5" i="18"/>
  <c r="AA4" i="60"/>
  <c r="U4" i="60"/>
  <c r="W4" i="29"/>
  <c r="AA4" i="18"/>
  <c r="Y4" i="13"/>
  <c r="V4" i="60"/>
  <c r="X4" i="18"/>
  <c r="T4" i="60"/>
  <c r="R4" i="60"/>
  <c r="AB4" i="16"/>
  <c r="X4" i="29"/>
  <c r="S4" i="29"/>
  <c r="T4" i="13"/>
  <c r="S4" i="13"/>
  <c r="W4" i="18"/>
  <c r="Z4" i="18"/>
  <c r="P4" i="18"/>
  <c r="AO4" i="47"/>
  <c r="F17" i="62"/>
  <c r="F19" i="62" s="1"/>
  <c r="L4" i="13"/>
  <c r="O4" i="13"/>
  <c r="K4" i="60"/>
  <c r="F4" i="60"/>
  <c r="J4" i="13"/>
  <c r="I4" i="29"/>
  <c r="O4" i="29"/>
  <c r="H4" i="16"/>
  <c r="D4" i="16"/>
  <c r="O4" i="16"/>
  <c r="H4" i="18"/>
  <c r="M4" i="16"/>
  <c r="K4" i="29"/>
  <c r="O4" i="18"/>
  <c r="I4" i="16"/>
  <c r="H4" i="13"/>
  <c r="G4" i="13"/>
  <c r="M4" i="60"/>
  <c r="J4" i="60"/>
  <c r="F4" i="13"/>
  <c r="L4" i="16"/>
  <c r="I4" i="60"/>
  <c r="G4" i="16"/>
  <c r="H4" i="29"/>
  <c r="N4" i="16"/>
  <c r="G4" i="18"/>
  <c r="F4" i="18"/>
  <c r="M4" i="80"/>
  <c r="P4" i="80" s="1"/>
  <c r="R4" i="80" s="1"/>
  <c r="CK20" i="13"/>
  <c r="C19" i="13"/>
  <c r="BY20" i="13"/>
  <c r="BA20" i="13"/>
  <c r="AO20" i="13"/>
  <c r="BM20" i="13"/>
  <c r="CW20" i="13"/>
  <c r="DI20" i="13"/>
  <c r="D62" i="74"/>
  <c r="D24" i="74"/>
  <c r="M29" i="74" s="1"/>
  <c r="BY54" i="72"/>
  <c r="CW56" i="72"/>
  <c r="DI57" i="72"/>
  <c r="BA52" i="72"/>
  <c r="Q60" i="72"/>
  <c r="CK55" i="72"/>
  <c r="BM53" i="72"/>
  <c r="B41" i="22" l="1"/>
  <c r="B53" i="22"/>
  <c r="DP32" i="47"/>
  <c r="CJ32" i="47"/>
  <c r="BD32" i="47"/>
  <c r="DO32" i="47"/>
  <c r="CI32" i="47"/>
  <c r="BC32" i="47"/>
  <c r="DS32" i="47"/>
  <c r="CM32" i="47"/>
  <c r="BG32" i="47"/>
  <c r="AA32" i="47"/>
  <c r="CV32" i="47"/>
  <c r="BP32" i="47"/>
  <c r="AJ32" i="47"/>
  <c r="DJ32" i="47"/>
  <c r="CT32" i="47"/>
  <c r="CD32" i="47"/>
  <c r="BN32" i="47"/>
  <c r="AX32" i="47"/>
  <c r="AH32" i="47"/>
  <c r="DM32" i="47"/>
  <c r="CW32" i="47"/>
  <c r="CG32" i="47"/>
  <c r="BQ32" i="47"/>
  <c r="BA32" i="47"/>
  <c r="AK32" i="47"/>
  <c r="DH32" i="47"/>
  <c r="CB32" i="47"/>
  <c r="AV32" i="47"/>
  <c r="DG32" i="47"/>
  <c r="CA32" i="47"/>
  <c r="AU32" i="47"/>
  <c r="DK32" i="47"/>
  <c r="CE32" i="47"/>
  <c r="AY32" i="47"/>
  <c r="DT32" i="47"/>
  <c r="CN32" i="47"/>
  <c r="BH32" i="47"/>
  <c r="AB32" i="47"/>
  <c r="DF32" i="47"/>
  <c r="CP32" i="47"/>
  <c r="BZ32" i="47"/>
  <c r="BJ32" i="47"/>
  <c r="AT32" i="47"/>
  <c r="AD32" i="47"/>
  <c r="DI32" i="47"/>
  <c r="CS32" i="47"/>
  <c r="CC32" i="47"/>
  <c r="BM32" i="47"/>
  <c r="AW32" i="47"/>
  <c r="AG32" i="47"/>
  <c r="B49" i="22"/>
  <c r="B34" i="22"/>
  <c r="S5" i="69"/>
  <c r="CZ32" i="47"/>
  <c r="BT32" i="47"/>
  <c r="AN32" i="47"/>
  <c r="CY32" i="47"/>
  <c r="BS32" i="47"/>
  <c r="AM32" i="47"/>
  <c r="DC32" i="47"/>
  <c r="BW32" i="47"/>
  <c r="AQ32" i="47"/>
  <c r="DL32" i="47"/>
  <c r="CF32" i="47"/>
  <c r="AZ32" i="47"/>
  <c r="DR32" i="47"/>
  <c r="DB32" i="47"/>
  <c r="CL32" i="47"/>
  <c r="BV32" i="47"/>
  <c r="BF32" i="47"/>
  <c r="AP32" i="47"/>
  <c r="DU32" i="47"/>
  <c r="DE32" i="47"/>
  <c r="CO32" i="47"/>
  <c r="BY32" i="47"/>
  <c r="BI32" i="47"/>
  <c r="AS32" i="47"/>
  <c r="P43" i="47"/>
  <c r="Q43" i="47"/>
  <c r="AK12" i="47"/>
  <c r="AL12" i="47"/>
  <c r="AO12" i="47"/>
  <c r="AJ12" i="47"/>
  <c r="AI12" i="47"/>
  <c r="AN12" i="47"/>
  <c r="AM12" i="47"/>
  <c r="AP12" i="47"/>
  <c r="S44" i="47"/>
  <c r="Q44" i="47"/>
  <c r="P44" i="47"/>
  <c r="AM13" i="47"/>
  <c r="AK13" i="47"/>
  <c r="AL13" i="47"/>
  <c r="AO13" i="47"/>
  <c r="AJ13" i="47"/>
  <c r="AN13" i="47"/>
  <c r="AI13" i="47"/>
  <c r="AP13" i="47"/>
  <c r="D59" i="74"/>
  <c r="D60" i="74" s="1"/>
  <c r="U22" i="47"/>
  <c r="AC22" i="47"/>
  <c r="S22" i="47"/>
  <c r="AA22" i="47"/>
  <c r="Z22" i="47"/>
  <c r="T22" i="47"/>
  <c r="W22" i="47"/>
  <c r="V22" i="47"/>
  <c r="X22" i="47"/>
  <c r="AB22" i="47"/>
  <c r="Y22" i="47"/>
  <c r="AC42" i="47"/>
  <c r="P42" i="47"/>
  <c r="Q42" i="47"/>
  <c r="O25" i="18" s="1"/>
  <c r="O12" i="1" s="1"/>
  <c r="P18" i="24"/>
  <c r="Q15" i="24" s="1"/>
  <c r="P6" i="69"/>
  <c r="S11" i="69"/>
  <c r="B30" i="22"/>
  <c r="H30" i="22" s="1"/>
  <c r="B36" i="22"/>
  <c r="B48" i="22"/>
  <c r="B59" i="22"/>
  <c r="B40" i="22"/>
  <c r="B35" i="22"/>
  <c r="B27" i="22"/>
  <c r="H27" i="22" s="1"/>
  <c r="B58" i="22"/>
  <c r="B46" i="22"/>
  <c r="B52" i="22"/>
  <c r="B44" i="22"/>
  <c r="B45" i="22"/>
  <c r="B54" i="22"/>
  <c r="B60" i="22"/>
  <c r="B22" i="22"/>
  <c r="F22" i="22" s="1"/>
  <c r="B24" i="22"/>
  <c r="F24" i="22" s="1"/>
  <c r="B31" i="22"/>
  <c r="H31" i="22" s="1"/>
  <c r="B43" i="22"/>
  <c r="B37" i="22"/>
  <c r="B33" i="22"/>
  <c r="B55" i="22"/>
  <c r="B28" i="22"/>
  <c r="G28" i="22" s="1"/>
  <c r="B42" i="22"/>
  <c r="B56" i="22"/>
  <c r="B47" i="22"/>
  <c r="B51" i="22"/>
  <c r="M31" i="88"/>
  <c r="M34" i="88"/>
  <c r="M31" i="86"/>
  <c r="M34" i="86"/>
  <c r="M31" i="87"/>
  <c r="M34" i="87"/>
  <c r="P39" i="1"/>
  <c r="P17" i="1"/>
  <c r="Q39" i="1"/>
  <c r="Q41" i="1" s="1"/>
  <c r="Q17" i="1"/>
  <c r="Q16" i="24"/>
  <c r="U42" i="47"/>
  <c r="V42" i="47"/>
  <c r="F16" i="74"/>
  <c r="E19" i="74"/>
  <c r="M40" i="20"/>
  <c r="L40" i="20"/>
  <c r="H45" i="22"/>
  <c r="H38" i="22"/>
  <c r="H48" i="22"/>
  <c r="I19" i="22"/>
  <c r="H58" i="22"/>
  <c r="H52" i="22"/>
  <c r="H39" i="22"/>
  <c r="H37" i="22"/>
  <c r="H47" i="22"/>
  <c r="H33" i="22"/>
  <c r="H59" i="22"/>
  <c r="H40" i="22"/>
  <c r="H55" i="22"/>
  <c r="H35" i="22"/>
  <c r="H49" i="22"/>
  <c r="H51" i="22"/>
  <c r="H44" i="22"/>
  <c r="H53" i="22"/>
  <c r="H54" i="22"/>
  <c r="H50" i="22"/>
  <c r="H56" i="22"/>
  <c r="H57" i="22"/>
  <c r="H42" i="22"/>
  <c r="H36" i="22"/>
  <c r="H43" i="22"/>
  <c r="H34" i="22"/>
  <c r="H41" i="22"/>
  <c r="H60" i="22"/>
  <c r="H46" i="22"/>
  <c r="T42" i="47"/>
  <c r="AB42" i="47"/>
  <c r="C16" i="24"/>
  <c r="C7" i="24" s="1"/>
  <c r="L15" i="20"/>
  <c r="O18" i="24"/>
  <c r="O8" i="24"/>
  <c r="P37" i="1" s="1"/>
  <c r="P11" i="69"/>
  <c r="R15" i="69"/>
  <c r="AD31" i="47"/>
  <c r="AB42" i="60" s="1"/>
  <c r="AH31" i="47"/>
  <c r="AF42" i="60" s="1"/>
  <c r="AL31" i="47"/>
  <c r="AJ42" i="60" s="1"/>
  <c r="AP31" i="47"/>
  <c r="AN42" i="60" s="1"/>
  <c r="AT31" i="47"/>
  <c r="AR42" i="60" s="1"/>
  <c r="AX31" i="47"/>
  <c r="AV42" i="60" s="1"/>
  <c r="BB31" i="47"/>
  <c r="AZ42" i="60" s="1"/>
  <c r="BF31" i="47"/>
  <c r="BJ31" i="47"/>
  <c r="BN31" i="47"/>
  <c r="BL42" i="60" s="1"/>
  <c r="BR31" i="47"/>
  <c r="BP42" i="60" s="1"/>
  <c r="BV31" i="47"/>
  <c r="BZ31" i="47"/>
  <c r="BX42" i="60" s="1"/>
  <c r="CD31" i="47"/>
  <c r="CB42" i="60" s="1"/>
  <c r="CH31" i="47"/>
  <c r="CF42" i="60" s="1"/>
  <c r="CL31" i="47"/>
  <c r="CJ42" i="60" s="1"/>
  <c r="CP31" i="47"/>
  <c r="CN42" i="60" s="1"/>
  <c r="CT31" i="47"/>
  <c r="CR42" i="60" s="1"/>
  <c r="CX31" i="47"/>
  <c r="CV42" i="60" s="1"/>
  <c r="DB31" i="47"/>
  <c r="CZ42" i="60" s="1"/>
  <c r="DF31" i="47"/>
  <c r="DD42" i="60" s="1"/>
  <c r="DJ31" i="47"/>
  <c r="DH42" i="60" s="1"/>
  <c r="DN31" i="47"/>
  <c r="DL42" i="60" s="1"/>
  <c r="DR31" i="47"/>
  <c r="AA31" i="47"/>
  <c r="AE31" i="47"/>
  <c r="AC42" i="60" s="1"/>
  <c r="AI31" i="47"/>
  <c r="AG42" i="60" s="1"/>
  <c r="AM31" i="47"/>
  <c r="AK42" i="60" s="1"/>
  <c r="AQ31" i="47"/>
  <c r="AU31" i="47"/>
  <c r="AS42" i="60" s="1"/>
  <c r="AY31" i="47"/>
  <c r="BC31" i="47"/>
  <c r="BG31" i="47"/>
  <c r="BE42" i="60" s="1"/>
  <c r="BK31" i="47"/>
  <c r="BI42" i="60" s="1"/>
  <c r="BO31" i="47"/>
  <c r="BM42" i="60" s="1"/>
  <c r="BS31" i="47"/>
  <c r="BW31" i="47"/>
  <c r="BU42" i="60" s="1"/>
  <c r="CA31" i="47"/>
  <c r="BY42" i="60" s="1"/>
  <c r="CE31" i="47"/>
  <c r="CC42" i="60" s="1"/>
  <c r="CI31" i="47"/>
  <c r="CG42" i="60" s="1"/>
  <c r="CM31" i="47"/>
  <c r="CK42" i="60" s="1"/>
  <c r="CQ31" i="47"/>
  <c r="CO42" i="60" s="1"/>
  <c r="CU31" i="47"/>
  <c r="CS42" i="60" s="1"/>
  <c r="CY31" i="47"/>
  <c r="CW42" i="60" s="1"/>
  <c r="DC31" i="47"/>
  <c r="DA42" i="60" s="1"/>
  <c r="DG31" i="47"/>
  <c r="DE42" i="60" s="1"/>
  <c r="DK31" i="47"/>
  <c r="DI42" i="60" s="1"/>
  <c r="DO31" i="47"/>
  <c r="DM42" i="60" s="1"/>
  <c r="DS31" i="47"/>
  <c r="DQ42" i="60" s="1"/>
  <c r="AG31" i="47"/>
  <c r="AE42" i="60" s="1"/>
  <c r="AO31" i="47"/>
  <c r="AM42" i="60" s="1"/>
  <c r="AW31" i="47"/>
  <c r="AU42" i="60" s="1"/>
  <c r="BE31" i="47"/>
  <c r="BC42" i="60" s="1"/>
  <c r="BM31" i="47"/>
  <c r="BK42" i="60" s="1"/>
  <c r="BU31" i="47"/>
  <c r="BS42" i="60" s="1"/>
  <c r="CC31" i="47"/>
  <c r="CA42" i="60" s="1"/>
  <c r="CK31" i="47"/>
  <c r="CI42" i="60" s="1"/>
  <c r="CS31" i="47"/>
  <c r="CQ42" i="60" s="1"/>
  <c r="DA31" i="47"/>
  <c r="CY42" i="60" s="1"/>
  <c r="DI31" i="47"/>
  <c r="DG42" i="60" s="1"/>
  <c r="DQ31" i="47"/>
  <c r="DO42" i="60" s="1"/>
  <c r="AF31" i="47"/>
  <c r="AD42" i="60" s="1"/>
  <c r="AN31" i="47"/>
  <c r="AL42" i="60" s="1"/>
  <c r="AV31" i="47"/>
  <c r="AT42" i="60" s="1"/>
  <c r="BD31" i="47"/>
  <c r="BB42" i="60" s="1"/>
  <c r="BL31" i="47"/>
  <c r="BJ42" i="60" s="1"/>
  <c r="BT31" i="47"/>
  <c r="BR42" i="60" s="1"/>
  <c r="CB31" i="47"/>
  <c r="BZ42" i="60" s="1"/>
  <c r="CJ31" i="47"/>
  <c r="CR31" i="47"/>
  <c r="CP42" i="60" s="1"/>
  <c r="CZ31" i="47"/>
  <c r="DH31" i="47"/>
  <c r="DP31" i="47"/>
  <c r="DN42" i="60" s="1"/>
  <c r="AB31" i="47"/>
  <c r="Z42" i="60" s="1"/>
  <c r="AJ31" i="47"/>
  <c r="AH42" i="60" s="1"/>
  <c r="AR31" i="47"/>
  <c r="AP42" i="60" s="1"/>
  <c r="AZ31" i="47"/>
  <c r="AX42" i="60" s="1"/>
  <c r="BH31" i="47"/>
  <c r="BF42" i="60" s="1"/>
  <c r="BP31" i="47"/>
  <c r="BN42" i="60" s="1"/>
  <c r="BX31" i="47"/>
  <c r="BV42" i="60" s="1"/>
  <c r="CF31" i="47"/>
  <c r="CD42" i="60" s="1"/>
  <c r="CN31" i="47"/>
  <c r="CL42" i="60" s="1"/>
  <c r="CV31" i="47"/>
  <c r="CT42" i="60" s="1"/>
  <c r="DD31" i="47"/>
  <c r="DB42" i="60" s="1"/>
  <c r="DL31" i="47"/>
  <c r="DJ42" i="60" s="1"/>
  <c r="DT31" i="47"/>
  <c r="DR42" i="60" s="1"/>
  <c r="AC31" i="47"/>
  <c r="AA42" i="60" s="1"/>
  <c r="AK31" i="47"/>
  <c r="AI42" i="60" s="1"/>
  <c r="AS31" i="47"/>
  <c r="AQ42" i="60" s="1"/>
  <c r="BA31" i="47"/>
  <c r="AY42" i="60" s="1"/>
  <c r="BI31" i="47"/>
  <c r="BG42" i="60" s="1"/>
  <c r="BQ31" i="47"/>
  <c r="BO42" i="60" s="1"/>
  <c r="BY31" i="47"/>
  <c r="BW42" i="60" s="1"/>
  <c r="CG31" i="47"/>
  <c r="CE42" i="60" s="1"/>
  <c r="CO31" i="47"/>
  <c r="CW31" i="47"/>
  <c r="CU42" i="60" s="1"/>
  <c r="DE31" i="47"/>
  <c r="DC42" i="60" s="1"/>
  <c r="DM31" i="47"/>
  <c r="DK42" i="60" s="1"/>
  <c r="DU31" i="47"/>
  <c r="DS42" i="60" s="1"/>
  <c r="W42" i="47"/>
  <c r="Z42" i="47"/>
  <c r="P12" i="69"/>
  <c r="S12" i="69"/>
  <c r="S6" i="69"/>
  <c r="Q7" i="69"/>
  <c r="P14" i="69"/>
  <c r="S13" i="69"/>
  <c r="P13" i="69"/>
  <c r="Q7" i="44"/>
  <c r="S14" i="69"/>
  <c r="Q15" i="69"/>
  <c r="AI43" i="47"/>
  <c r="AD22" i="47"/>
  <c r="U43" i="47"/>
  <c r="Y43" i="47"/>
  <c r="AA43" i="47"/>
  <c r="R43" i="47"/>
  <c r="AC43" i="47"/>
  <c r="Z43" i="47"/>
  <c r="AB43" i="47"/>
  <c r="V43" i="47"/>
  <c r="W43" i="47"/>
  <c r="S43" i="47"/>
  <c r="X43" i="47"/>
  <c r="T43" i="47"/>
  <c r="Z39" i="47"/>
  <c r="V39" i="47"/>
  <c r="AC39" i="47"/>
  <c r="Y39" i="47"/>
  <c r="S39" i="47"/>
  <c r="W39" i="47"/>
  <c r="U39" i="47"/>
  <c r="T39" i="47"/>
  <c r="X39" i="47"/>
  <c r="AA39" i="47"/>
  <c r="AB39" i="47"/>
  <c r="R39" i="47"/>
  <c r="AI22" i="47"/>
  <c r="AF39" i="47"/>
  <c r="AD39" i="47"/>
  <c r="AD44" i="47"/>
  <c r="AD41" i="47"/>
  <c r="AD43" i="47"/>
  <c r="AD20" i="47"/>
  <c r="AD8" i="47"/>
  <c r="AF20" i="47"/>
  <c r="AJ20" i="47"/>
  <c r="AJ41" i="47"/>
  <c r="AM21" i="47"/>
  <c r="AM27" i="47"/>
  <c r="AM41" i="47"/>
  <c r="AG4" i="47"/>
  <c r="Y4" i="18"/>
  <c r="Q4" i="29"/>
  <c r="T4" i="18"/>
  <c r="W4" i="16"/>
  <c r="V4" i="29"/>
  <c r="Q4" i="18"/>
  <c r="S4" i="16"/>
  <c r="Y4" i="29"/>
  <c r="P4" i="60"/>
  <c r="AJ27" i="47"/>
  <c r="AE42" i="47"/>
  <c r="AM44" i="47"/>
  <c r="AK4" i="47"/>
  <c r="U4" i="16"/>
  <c r="R4" i="29"/>
  <c r="U4" i="18"/>
  <c r="S4" i="18"/>
  <c r="W4" i="60"/>
  <c r="V4" i="16"/>
  <c r="Y4" i="60"/>
  <c r="Z4" i="13"/>
  <c r="AJ9" i="47"/>
  <c r="AM22" i="47"/>
  <c r="AD42" i="47"/>
  <c r="H32" i="22"/>
  <c r="J8" i="77"/>
  <c r="U24" i="18"/>
  <c r="P20" i="18"/>
  <c r="U19" i="18"/>
  <c r="W32" i="18"/>
  <c r="U14" i="18"/>
  <c r="U18" i="18"/>
  <c r="U15" i="18"/>
  <c r="U32" i="18"/>
  <c r="U29" i="18"/>
  <c r="U21" i="18"/>
  <c r="U31" i="18"/>
  <c r="U27" i="18"/>
  <c r="U26" i="18"/>
  <c r="P13" i="18"/>
  <c r="P21" i="18"/>
  <c r="T10" i="18"/>
  <c r="T8" i="18"/>
  <c r="T24" i="18"/>
  <c r="P30" i="18"/>
  <c r="P17" i="18"/>
  <c r="P27" i="18"/>
  <c r="P15" i="18"/>
  <c r="P19" i="18"/>
  <c r="P12" i="18"/>
  <c r="X8" i="18"/>
  <c r="I34" i="22"/>
  <c r="H29" i="22"/>
  <c r="AF43" i="47"/>
  <c r="AM43" i="47"/>
  <c r="AH9" i="47"/>
  <c r="P23" i="18"/>
  <c r="P16" i="18"/>
  <c r="P32" i="18"/>
  <c r="P18" i="18"/>
  <c r="P11" i="18"/>
  <c r="P29" i="18"/>
  <c r="AN21" i="47"/>
  <c r="AN44" i="47"/>
  <c r="AN43" i="47"/>
  <c r="AI27" i="47"/>
  <c r="AI42" i="47"/>
  <c r="AI23" i="47"/>
  <c r="AJ22" i="47"/>
  <c r="AM8" i="47"/>
  <c r="AM42" i="47"/>
  <c r="AH39" i="47"/>
  <c r="P24" i="18"/>
  <c r="P22" i="18"/>
  <c r="P31" i="18"/>
  <c r="AN9" i="47"/>
  <c r="AN22" i="47"/>
  <c r="AN41" i="47"/>
  <c r="AI21" i="47"/>
  <c r="AI41" i="47"/>
  <c r="E28" i="1"/>
  <c r="W27" i="18"/>
  <c r="W16" i="18"/>
  <c r="W31" i="18"/>
  <c r="W10" i="18"/>
  <c r="W12" i="18"/>
  <c r="W21" i="18"/>
  <c r="W15" i="18"/>
  <c r="W18" i="18"/>
  <c r="W22" i="18"/>
  <c r="W11" i="18"/>
  <c r="W24" i="18"/>
  <c r="W23" i="18"/>
  <c r="W26" i="18"/>
  <c r="W14" i="18"/>
  <c r="W30" i="18"/>
  <c r="W20" i="18"/>
  <c r="W29" i="18"/>
  <c r="T16" i="18"/>
  <c r="W13" i="18"/>
  <c r="AE9" i="47"/>
  <c r="AG23" i="47"/>
  <c r="AG41" i="47"/>
  <c r="AG43" i="47"/>
  <c r="AG42" i="47"/>
  <c r="AG8" i="47"/>
  <c r="AG44" i="47"/>
  <c r="AG27" i="47"/>
  <c r="AG39" i="47"/>
  <c r="AG20" i="47"/>
  <c r="AG9" i="47"/>
  <c r="AG22" i="47"/>
  <c r="Y21" i="18"/>
  <c r="Y16" i="18"/>
  <c r="Y27" i="18"/>
  <c r="Y18" i="18"/>
  <c r="Y23" i="18"/>
  <c r="Y32" i="18"/>
  <c r="Y12" i="18"/>
  <c r="Y30" i="18"/>
  <c r="Y22" i="18"/>
  <c r="Y14" i="18"/>
  <c r="Y13" i="18"/>
  <c r="Y19" i="18"/>
  <c r="Y11" i="18"/>
  <c r="Y24" i="18"/>
  <c r="Y17" i="18"/>
  <c r="Y20" i="18"/>
  <c r="Y10" i="18"/>
  <c r="Y31" i="18"/>
  <c r="Y15" i="18"/>
  <c r="Y26" i="18"/>
  <c r="Y29" i="18"/>
  <c r="AE20" i="47"/>
  <c r="AE39" i="47"/>
  <c r="AE27" i="47"/>
  <c r="AE8" i="47"/>
  <c r="AE21" i="47"/>
  <c r="AE41" i="47"/>
  <c r="AE22" i="47"/>
  <c r="AE43" i="47"/>
  <c r="Z32" i="18"/>
  <c r="Z22" i="18"/>
  <c r="Z31" i="18"/>
  <c r="Z29" i="18"/>
  <c r="Z18" i="18"/>
  <c r="Z13" i="18"/>
  <c r="Z27" i="18"/>
  <c r="Z20" i="18"/>
  <c r="Z19" i="18"/>
  <c r="Z21" i="18"/>
  <c r="Z14" i="18"/>
  <c r="Z12" i="18"/>
  <c r="Z10" i="18"/>
  <c r="Z11" i="18"/>
  <c r="Z15" i="18"/>
  <c r="Z16" i="18"/>
  <c r="Z30" i="18"/>
  <c r="Z23" i="18"/>
  <c r="Z24" i="18"/>
  <c r="Z26" i="18"/>
  <c r="R12" i="18"/>
  <c r="R16" i="18"/>
  <c r="R22" i="18"/>
  <c r="R31" i="18"/>
  <c r="R26" i="18"/>
  <c r="R18" i="18"/>
  <c r="R23" i="18"/>
  <c r="R27" i="18"/>
  <c r="R19" i="18"/>
  <c r="R15" i="18"/>
  <c r="R29" i="18"/>
  <c r="R30" i="18"/>
  <c r="R10" i="18"/>
  <c r="R14" i="18"/>
  <c r="R21" i="18"/>
  <c r="R9" i="18"/>
  <c r="R13" i="18"/>
  <c r="R11" i="18"/>
  <c r="R20" i="18"/>
  <c r="R24" i="18"/>
  <c r="R32" i="18"/>
  <c r="AO41" i="47"/>
  <c r="AO43" i="47"/>
  <c r="AO20" i="47"/>
  <c r="AO22" i="47"/>
  <c r="AO44" i="47"/>
  <c r="AO21" i="47"/>
  <c r="AO9" i="47"/>
  <c r="AO39" i="47"/>
  <c r="AO42" i="47"/>
  <c r="AO8" i="47"/>
  <c r="AO23" i="47"/>
  <c r="AO27" i="47"/>
  <c r="T20" i="18"/>
  <c r="T29" i="18"/>
  <c r="T11" i="18"/>
  <c r="T18" i="18"/>
  <c r="T31" i="18"/>
  <c r="T21" i="18"/>
  <c r="T32" i="18"/>
  <c r="T13" i="18"/>
  <c r="T26" i="18"/>
  <c r="T19" i="18"/>
  <c r="T30" i="18"/>
  <c r="T12" i="18"/>
  <c r="T27" i="18"/>
  <c r="T14" i="18"/>
  <c r="T15" i="18"/>
  <c r="AB12" i="58"/>
  <c r="AC9" i="58" s="1"/>
  <c r="AC10" i="58" s="1"/>
  <c r="AD40" i="1" s="1"/>
  <c r="W19" i="18"/>
  <c r="AE23" i="47"/>
  <c r="T22" i="18"/>
  <c r="AA16" i="18"/>
  <c r="AA27" i="18"/>
  <c r="AA31" i="18"/>
  <c r="AA22" i="18"/>
  <c r="AA10" i="18"/>
  <c r="AA21" i="18"/>
  <c r="AA23" i="18"/>
  <c r="AA11" i="18"/>
  <c r="AA15" i="18"/>
  <c r="AA29" i="18"/>
  <c r="AA13" i="18"/>
  <c r="AA19" i="18"/>
  <c r="AA12" i="18"/>
  <c r="AA18" i="18"/>
  <c r="AA24" i="18"/>
  <c r="AA30" i="18"/>
  <c r="AA20" i="18"/>
  <c r="AA26" i="18"/>
  <c r="AA32" i="18"/>
  <c r="AA14" i="18"/>
  <c r="AI8" i="47"/>
  <c r="AH43" i="47"/>
  <c r="AH42" i="47"/>
  <c r="AH23" i="47"/>
  <c r="AH27" i="47"/>
  <c r="AH21" i="47"/>
  <c r="AH41" i="47"/>
  <c r="AH20" i="47"/>
  <c r="AH8" i="47"/>
  <c r="AH22" i="47"/>
  <c r="AL43" i="47"/>
  <c r="AL41" i="47"/>
  <c r="AL42" i="47"/>
  <c r="AL22" i="47"/>
  <c r="AL20" i="47"/>
  <c r="AL44" i="47"/>
  <c r="AL27" i="47"/>
  <c r="AL8" i="47"/>
  <c r="AL23" i="47"/>
  <c r="AL39" i="47"/>
  <c r="AL9" i="47"/>
  <c r="AL21" i="47"/>
  <c r="X31" i="18"/>
  <c r="X32" i="18"/>
  <c r="X27" i="18"/>
  <c r="X18" i="18"/>
  <c r="X29" i="18"/>
  <c r="X26" i="18"/>
  <c r="X23" i="18"/>
  <c r="X19" i="18"/>
  <c r="X16" i="18"/>
  <c r="X20" i="18"/>
  <c r="X24" i="18"/>
  <c r="X13" i="18"/>
  <c r="X30" i="18"/>
  <c r="X12" i="18"/>
  <c r="X11" i="18"/>
  <c r="X10" i="18"/>
  <c r="X21" i="18"/>
  <c r="X14" i="18"/>
  <c r="X15" i="18"/>
  <c r="AJ21" i="13"/>
  <c r="AJ23" i="13" s="1"/>
  <c r="AI31" i="1" s="1"/>
  <c r="AI33" i="1" s="1"/>
  <c r="AH21" i="13"/>
  <c r="AH23" i="13" s="1"/>
  <c r="AG31" i="1" s="1"/>
  <c r="AG33" i="1" s="1"/>
  <c r="AE8" i="18"/>
  <c r="AK21" i="13"/>
  <c r="AK23" i="13" s="1"/>
  <c r="AJ31" i="1" s="1"/>
  <c r="AJ33" i="1" s="1"/>
  <c r="AK8" i="18"/>
  <c r="AF21" i="13"/>
  <c r="AM21" i="13"/>
  <c r="AM23" i="13" s="1"/>
  <c r="AL31" i="1" s="1"/>
  <c r="AL33" i="1" s="1"/>
  <c r="AD21" i="13"/>
  <c r="AL8" i="18"/>
  <c r="AG8" i="18"/>
  <c r="AJ8" i="18"/>
  <c r="AN21" i="13"/>
  <c r="AN23" i="13" s="1"/>
  <c r="AM31" i="1" s="1"/>
  <c r="AM33" i="1" s="1"/>
  <c r="AE21" i="13"/>
  <c r="AF8" i="18"/>
  <c r="AL21" i="13"/>
  <c r="AL23" i="13" s="1"/>
  <c r="AK31" i="1" s="1"/>
  <c r="AK33" i="1" s="1"/>
  <c r="AM8" i="18"/>
  <c r="AD8" i="18"/>
  <c r="AC8" i="18"/>
  <c r="AC21" i="13"/>
  <c r="AI8" i="18"/>
  <c r="AB8" i="18"/>
  <c r="AG21" i="13"/>
  <c r="AG23" i="13" s="1"/>
  <c r="AF31" i="1" s="1"/>
  <c r="AF33" i="1" s="1"/>
  <c r="AH8" i="18"/>
  <c r="AI21" i="13"/>
  <c r="AI23" i="13" s="1"/>
  <c r="AH31" i="1" s="1"/>
  <c r="AH33" i="1" s="1"/>
  <c r="AJ43" i="47"/>
  <c r="AJ42" i="47"/>
  <c r="AJ39" i="47"/>
  <c r="AJ21" i="47"/>
  <c r="AJ8" i="47"/>
  <c r="AJ44" i="47"/>
  <c r="AM39" i="47"/>
  <c r="AM20" i="47"/>
  <c r="AM9" i="47"/>
  <c r="P26" i="18"/>
  <c r="P10" i="18"/>
  <c r="P14" i="18"/>
  <c r="S16" i="18"/>
  <c r="S22" i="18"/>
  <c r="S29" i="18"/>
  <c r="S11" i="18"/>
  <c r="S20" i="18"/>
  <c r="S24" i="18"/>
  <c r="S18" i="18"/>
  <c r="S19" i="18"/>
  <c r="S14" i="18"/>
  <c r="S12" i="18"/>
  <c r="S13" i="18"/>
  <c r="S32" i="18"/>
  <c r="S31" i="18"/>
  <c r="S10" i="18"/>
  <c r="S21" i="18"/>
  <c r="S23" i="18"/>
  <c r="S17" i="18"/>
  <c r="S30" i="18"/>
  <c r="S27" i="18"/>
  <c r="S15" i="18"/>
  <c r="S26" i="18"/>
  <c r="AF42" i="47"/>
  <c r="AF41" i="47"/>
  <c r="AF21" i="47"/>
  <c r="AF27" i="47"/>
  <c r="AF22" i="47"/>
  <c r="AF44" i="47"/>
  <c r="AF23" i="47"/>
  <c r="AF8" i="47"/>
  <c r="AF9" i="47"/>
  <c r="Q27" i="18"/>
  <c r="Q30" i="18"/>
  <c r="Q20" i="18"/>
  <c r="Q29" i="18"/>
  <c r="Q14" i="18"/>
  <c r="Q12" i="18"/>
  <c r="Q22" i="18"/>
  <c r="Q13" i="18"/>
  <c r="Q19" i="18"/>
  <c r="Q32" i="18"/>
  <c r="Q21" i="18"/>
  <c r="Q23" i="18"/>
  <c r="Q16" i="18"/>
  <c r="Q15" i="18"/>
  <c r="Q26" i="18"/>
  <c r="Q31" i="18"/>
  <c r="Q10" i="18"/>
  <c r="Q18" i="18"/>
  <c r="Q24" i="18"/>
  <c r="Q11" i="18"/>
  <c r="AD21" i="47"/>
  <c r="U16" i="18"/>
  <c r="U23" i="18"/>
  <c r="U20" i="18"/>
  <c r="U13" i="18"/>
  <c r="U30" i="18"/>
  <c r="U12" i="18"/>
  <c r="U22" i="18"/>
  <c r="U10" i="18"/>
  <c r="U11" i="18"/>
  <c r="V10" i="18"/>
  <c r="V27" i="18"/>
  <c r="V14" i="18"/>
  <c r="V19" i="18"/>
  <c r="V20" i="18"/>
  <c r="V26" i="18"/>
  <c r="V22" i="18"/>
  <c r="V12" i="18"/>
  <c r="V24" i="18"/>
  <c r="V31" i="18"/>
  <c r="V18" i="18"/>
  <c r="V29" i="18"/>
  <c r="V15" i="18"/>
  <c r="V21" i="18"/>
  <c r="V13" i="18"/>
  <c r="V17" i="18"/>
  <c r="V11" i="18"/>
  <c r="V32" i="18"/>
  <c r="V23" i="18"/>
  <c r="V30" i="18"/>
  <c r="V16" i="18"/>
  <c r="AK41" i="47"/>
  <c r="AK20" i="47"/>
  <c r="AK42" i="47"/>
  <c r="AK23" i="47"/>
  <c r="AK39" i="47"/>
  <c r="AK44" i="47"/>
  <c r="AK22" i="47"/>
  <c r="AK21" i="47"/>
  <c r="AK27" i="47"/>
  <c r="AK8" i="47"/>
  <c r="AK9" i="47"/>
  <c r="AK43" i="47"/>
  <c r="X4" i="60"/>
  <c r="U4" i="13"/>
  <c r="U4" i="29"/>
  <c r="Q4" i="13"/>
  <c r="R4" i="18"/>
  <c r="R4" i="16"/>
  <c r="AM4" i="47"/>
  <c r="AH4" i="47"/>
  <c r="AA4" i="13"/>
  <c r="Z4" i="29"/>
  <c r="V4" i="13"/>
  <c r="T4" i="29"/>
  <c r="P4" i="29"/>
  <c r="Q4" i="60"/>
  <c r="AL4" i="47"/>
  <c r="AF4" i="47"/>
  <c r="AB4" i="13"/>
  <c r="Z4" i="60"/>
  <c r="V4" i="18"/>
  <c r="Q4" i="16"/>
  <c r="AJ4" i="47"/>
  <c r="W4" i="13"/>
  <c r="X4" i="16"/>
  <c r="AA4" i="29"/>
  <c r="AI4" i="47"/>
  <c r="S4" i="60"/>
  <c r="T4" i="16"/>
  <c r="Z4" i="16"/>
  <c r="AE4" i="47"/>
  <c r="R4" i="13"/>
  <c r="AA4" i="16"/>
  <c r="Y4" i="16"/>
  <c r="AN4" i="47"/>
  <c r="AD4" i="47"/>
  <c r="I9" i="62"/>
  <c r="AF5" i="13"/>
  <c r="AM5" i="13"/>
  <c r="AD5" i="29"/>
  <c r="AG5" i="29"/>
  <c r="AM5" i="29"/>
  <c r="AF5" i="16"/>
  <c r="AG5" i="13"/>
  <c r="AI5" i="16"/>
  <c r="AD5" i="18"/>
  <c r="AD5" i="13"/>
  <c r="AH5" i="16"/>
  <c r="AC5" i="18"/>
  <c r="AC5" i="16"/>
  <c r="AN5" i="13"/>
  <c r="AL5" i="29"/>
  <c r="AK5" i="29"/>
  <c r="AE5" i="29"/>
  <c r="AI5" i="18"/>
  <c r="AM5" i="16"/>
  <c r="AG5" i="16"/>
  <c r="AI5" i="29"/>
  <c r="AG5" i="18"/>
  <c r="AJ5" i="18"/>
  <c r="AH5" i="29"/>
  <c r="AL5" i="13"/>
  <c r="AM5" i="18"/>
  <c r="AE5" i="16"/>
  <c r="AB5" i="18"/>
  <c r="AK5" i="18"/>
  <c r="AJ5" i="13"/>
  <c r="AK5" i="13"/>
  <c r="AJ5" i="16"/>
  <c r="AL5" i="18"/>
  <c r="AL5" i="16"/>
  <c r="AK5" i="16"/>
  <c r="AI5" i="13"/>
  <c r="AH5" i="13"/>
  <c r="AE5" i="18"/>
  <c r="AF5" i="18"/>
  <c r="AF5" i="29"/>
  <c r="AC5" i="29"/>
  <c r="AB5" i="29"/>
  <c r="AH5" i="18"/>
  <c r="AE5" i="13"/>
  <c r="AN5" i="16"/>
  <c r="AD5" i="16"/>
  <c r="AJ5" i="29"/>
  <c r="AC5" i="13"/>
  <c r="R29" i="74"/>
  <c r="V29" i="74"/>
  <c r="W29" i="74"/>
  <c r="D34" i="74"/>
  <c r="D31" i="74"/>
  <c r="D39" i="74" s="1"/>
  <c r="D29" i="74"/>
  <c r="F29" i="74"/>
  <c r="I29" i="74"/>
  <c r="X29" i="74"/>
  <c r="N29" i="74"/>
  <c r="U29" i="74"/>
  <c r="H29" i="74"/>
  <c r="E29" i="74"/>
  <c r="L29" i="74"/>
  <c r="Q29" i="74"/>
  <c r="J29" i="74"/>
  <c r="S29" i="74"/>
  <c r="K29" i="74"/>
  <c r="T29" i="74"/>
  <c r="O29" i="74"/>
  <c r="P29" i="74"/>
  <c r="G29" i="74"/>
  <c r="CH42" i="60" l="1"/>
  <c r="AO42" i="60"/>
  <c r="BH42" i="60"/>
  <c r="BQ42" i="60"/>
  <c r="BA42" i="60"/>
  <c r="DP42" i="60"/>
  <c r="BD42" i="60"/>
  <c r="DF42" i="60"/>
  <c r="CM42" i="60"/>
  <c r="CX42" i="60"/>
  <c r="AW42" i="60"/>
  <c r="BT42" i="60"/>
  <c r="N25" i="18"/>
  <c r="N12" i="1" s="1"/>
  <c r="D10" i="20" s="1"/>
  <c r="C18" i="24"/>
  <c r="D11" i="24" s="1"/>
  <c r="I36" i="22"/>
  <c r="J9" i="77"/>
  <c r="G27" i="22"/>
  <c r="H28" i="22"/>
  <c r="I35" i="22"/>
  <c r="H22" i="22"/>
  <c r="G22" i="22"/>
  <c r="I28" i="22"/>
  <c r="G24" i="22"/>
  <c r="I32" i="22"/>
  <c r="I30" i="22"/>
  <c r="I22" i="22"/>
  <c r="H24" i="22"/>
  <c r="I27" i="22"/>
  <c r="I29" i="22"/>
  <c r="N24" i="88"/>
  <c r="M39" i="88"/>
  <c r="N24" i="87"/>
  <c r="M39" i="87"/>
  <c r="N24" i="86"/>
  <c r="M39" i="86"/>
  <c r="D16" i="24"/>
  <c r="D7" i="24" s="1"/>
  <c r="Q7" i="24"/>
  <c r="Q17" i="24"/>
  <c r="P41" i="1"/>
  <c r="S15" i="69"/>
  <c r="I51" i="22"/>
  <c r="I48" i="22"/>
  <c r="I43" i="22"/>
  <c r="I55" i="22"/>
  <c r="I59" i="22"/>
  <c r="I38" i="22"/>
  <c r="J19" i="22"/>
  <c r="I41" i="22"/>
  <c r="I39" i="22"/>
  <c r="I37" i="22"/>
  <c r="I54" i="22"/>
  <c r="I49" i="22"/>
  <c r="I46" i="22"/>
  <c r="I40" i="22"/>
  <c r="I50" i="22"/>
  <c r="I53" i="22"/>
  <c r="I52" i="22"/>
  <c r="I44" i="22"/>
  <c r="I45" i="22"/>
  <c r="I60" i="22"/>
  <c r="I47" i="22"/>
  <c r="I58" i="22"/>
  <c r="I42" i="22"/>
  <c r="I57" i="22"/>
  <c r="I56" i="22"/>
  <c r="I33" i="22"/>
  <c r="I31" i="22"/>
  <c r="G16" i="74"/>
  <c r="D39" i="1"/>
  <c r="D17" i="1"/>
  <c r="I24" i="22"/>
  <c r="U25" i="18"/>
  <c r="U12" i="1" s="1"/>
  <c r="V25" i="18"/>
  <c r="V12" i="1" s="1"/>
  <c r="X25" i="18"/>
  <c r="X12" i="1" s="1"/>
  <c r="W25" i="18"/>
  <c r="W12" i="1" s="1"/>
  <c r="S25" i="18"/>
  <c r="S12" i="1" s="1"/>
  <c r="AA25" i="18"/>
  <c r="AA12" i="1" s="1"/>
  <c r="AL25" i="18"/>
  <c r="R25" i="18"/>
  <c r="R12" i="1" s="1"/>
  <c r="Y25" i="18"/>
  <c r="Y12" i="1" s="1"/>
  <c r="Z25" i="18"/>
  <c r="Z12" i="1" s="1"/>
  <c r="Q25" i="18"/>
  <c r="Q12" i="1" s="1"/>
  <c r="R7" i="69"/>
  <c r="S7" i="69"/>
  <c r="Q27" i="60" s="1"/>
  <c r="P25" i="18"/>
  <c r="P12" i="1" s="1"/>
  <c r="T25" i="18"/>
  <c r="T12" i="1" s="1"/>
  <c r="AB25" i="18"/>
  <c r="AE25" i="18"/>
  <c r="AF25" i="18"/>
  <c r="AK25" i="18"/>
  <c r="E24" i="74"/>
  <c r="E31" i="74" s="1"/>
  <c r="AC12" i="58"/>
  <c r="AD9" i="58" s="1"/>
  <c r="AD10" i="58" s="1"/>
  <c r="AE40" i="1" s="1"/>
  <c r="AC25" i="18"/>
  <c r="AD39" i="60"/>
  <c r="AK22" i="18"/>
  <c r="AK27" i="18"/>
  <c r="AK14" i="18"/>
  <c r="AK29" i="18"/>
  <c r="AK26" i="18"/>
  <c r="AK23" i="18"/>
  <c r="AK31" i="18"/>
  <c r="AK11" i="18"/>
  <c r="AK13" i="18"/>
  <c r="AK20" i="18"/>
  <c r="AK17" i="18"/>
  <c r="AK18" i="18"/>
  <c r="AK15" i="18"/>
  <c r="AK24" i="18"/>
  <c r="AK32" i="18"/>
  <c r="AK19" i="18"/>
  <c r="AK30" i="18"/>
  <c r="AK16" i="18"/>
  <c r="AK21" i="18"/>
  <c r="AK12" i="18"/>
  <c r="AK10" i="18"/>
  <c r="AG25" i="18"/>
  <c r="AD25" i="18"/>
  <c r="AH25" i="18"/>
  <c r="AW27" i="47"/>
  <c r="AW44" i="47"/>
  <c r="AW9" i="47"/>
  <c r="AW23" i="47"/>
  <c r="AW14" i="47"/>
  <c r="AW42" i="47"/>
  <c r="AW22" i="47"/>
  <c r="AW20" i="47"/>
  <c r="AW15" i="47"/>
  <c r="AW43" i="47"/>
  <c r="AW41" i="47"/>
  <c r="AW8" i="47"/>
  <c r="AW39" i="47"/>
  <c r="AW12" i="47"/>
  <c r="AW13" i="47"/>
  <c r="AW21" i="47"/>
  <c r="BA8" i="47"/>
  <c r="BA14" i="47"/>
  <c r="BA21" i="47"/>
  <c r="BA23" i="47"/>
  <c r="BA13" i="47"/>
  <c r="BA41" i="47"/>
  <c r="BA9" i="47"/>
  <c r="BA39" i="47"/>
  <c r="BA43" i="47"/>
  <c r="BA20" i="47"/>
  <c r="BA15" i="47"/>
  <c r="BA12" i="47"/>
  <c r="BA27" i="47"/>
  <c r="BA44" i="47"/>
  <c r="BA42" i="47"/>
  <c r="BA22" i="47"/>
  <c r="AC39" i="60"/>
  <c r="AL27" i="18"/>
  <c r="AL22" i="18"/>
  <c r="AL21" i="18"/>
  <c r="AL12" i="18"/>
  <c r="AL29" i="18"/>
  <c r="AL15" i="18"/>
  <c r="AL16" i="18"/>
  <c r="AL24" i="18"/>
  <c r="AL13" i="18"/>
  <c r="AL10" i="18"/>
  <c r="AL23" i="18"/>
  <c r="AL14" i="18"/>
  <c r="AL31" i="18"/>
  <c r="AL30" i="18"/>
  <c r="AL19" i="18"/>
  <c r="AL20" i="18"/>
  <c r="AL32" i="18"/>
  <c r="AL11" i="18"/>
  <c r="AL26" i="18"/>
  <c r="AL18" i="18"/>
  <c r="AE31" i="18"/>
  <c r="AE16" i="18"/>
  <c r="AE29" i="18"/>
  <c r="AE17" i="18"/>
  <c r="AE21" i="18"/>
  <c r="AE19" i="18"/>
  <c r="AE23" i="18"/>
  <c r="AE27" i="18"/>
  <c r="AE32" i="18"/>
  <c r="AE10" i="18"/>
  <c r="AE15" i="18"/>
  <c r="AE14" i="18"/>
  <c r="AE20" i="18"/>
  <c r="AE24" i="18"/>
  <c r="AE18" i="18"/>
  <c r="AE22" i="18"/>
  <c r="AE30" i="18"/>
  <c r="AE26" i="18"/>
  <c r="AE12" i="18"/>
  <c r="AE13" i="18"/>
  <c r="AE11" i="18"/>
  <c r="AM25" i="18"/>
  <c r="AH27" i="18"/>
  <c r="AH11" i="18"/>
  <c r="AH24" i="18"/>
  <c r="AH21" i="18"/>
  <c r="AH15" i="18"/>
  <c r="AH14" i="18"/>
  <c r="AH23" i="18"/>
  <c r="AH30" i="18"/>
  <c r="AH16" i="18"/>
  <c r="AH18" i="18"/>
  <c r="AH29" i="18"/>
  <c r="AH19" i="18"/>
  <c r="AH32" i="18"/>
  <c r="AH22" i="18"/>
  <c r="AH20" i="18"/>
  <c r="AH26" i="18"/>
  <c r="AH10" i="18"/>
  <c r="AH13" i="18"/>
  <c r="AH12" i="18"/>
  <c r="AH31" i="18"/>
  <c r="AH17" i="18"/>
  <c r="AP21" i="47"/>
  <c r="AP43" i="47"/>
  <c r="AP23" i="47"/>
  <c r="AP20" i="47"/>
  <c r="AP8" i="47"/>
  <c r="AP22" i="47"/>
  <c r="AP44" i="47"/>
  <c r="AP27" i="47"/>
  <c r="AP39" i="47"/>
  <c r="AP9" i="47"/>
  <c r="AP41" i="47"/>
  <c r="AP42" i="47"/>
  <c r="AM27" i="18"/>
  <c r="AM32" i="18"/>
  <c r="AM18" i="18"/>
  <c r="AM10" i="18"/>
  <c r="AM21" i="18"/>
  <c r="AM13" i="18"/>
  <c r="AM24" i="18"/>
  <c r="AM23" i="18"/>
  <c r="AM15" i="18"/>
  <c r="AM11" i="18"/>
  <c r="AM20" i="18"/>
  <c r="AM31" i="18"/>
  <c r="AM29" i="18"/>
  <c r="AM14" i="18"/>
  <c r="AM19" i="18"/>
  <c r="AM16" i="18"/>
  <c r="AM22" i="18"/>
  <c r="AM12" i="18"/>
  <c r="AM30" i="18"/>
  <c r="AM26" i="18"/>
  <c r="AJ27" i="18"/>
  <c r="AJ26" i="18"/>
  <c r="AJ20" i="18"/>
  <c r="AJ11" i="18"/>
  <c r="AJ14" i="18"/>
  <c r="AJ32" i="18"/>
  <c r="AJ10" i="18"/>
  <c r="AJ24" i="18"/>
  <c r="AJ30" i="18"/>
  <c r="AJ12" i="18"/>
  <c r="AJ19" i="18"/>
  <c r="AJ22" i="18"/>
  <c r="AJ18" i="18"/>
  <c r="AJ15" i="18"/>
  <c r="AJ23" i="18"/>
  <c r="AJ13" i="18"/>
  <c r="AJ29" i="18"/>
  <c r="AJ21" i="18"/>
  <c r="AJ16" i="18"/>
  <c r="AJ31" i="18"/>
  <c r="AI39" i="60"/>
  <c r="AB39" i="60"/>
  <c r="AQ9" i="47"/>
  <c r="AQ8" i="47"/>
  <c r="AQ44" i="47"/>
  <c r="AQ21" i="47"/>
  <c r="AQ42" i="47"/>
  <c r="AQ41" i="47"/>
  <c r="AQ13" i="47"/>
  <c r="AQ15" i="47"/>
  <c r="AQ20" i="47"/>
  <c r="AQ14" i="47"/>
  <c r="AQ12" i="47"/>
  <c r="AQ43" i="47"/>
  <c r="AQ23" i="47"/>
  <c r="AQ22" i="47"/>
  <c r="AQ27" i="47"/>
  <c r="AQ39" i="47"/>
  <c r="AZ13" i="47"/>
  <c r="AZ27" i="47"/>
  <c r="AZ21" i="47"/>
  <c r="AZ9" i="47"/>
  <c r="AZ14" i="47"/>
  <c r="AZ12" i="47"/>
  <c r="AZ44" i="47"/>
  <c r="AZ23" i="47"/>
  <c r="AZ15" i="47"/>
  <c r="AZ42" i="47"/>
  <c r="AZ20" i="47"/>
  <c r="AZ8" i="47"/>
  <c r="AZ43" i="47"/>
  <c r="AZ39" i="47"/>
  <c r="AZ22" i="47"/>
  <c r="AZ41" i="47"/>
  <c r="AT39" i="47"/>
  <c r="AT44" i="47"/>
  <c r="AT12" i="47"/>
  <c r="AT43" i="47"/>
  <c r="AT21" i="47"/>
  <c r="AT27" i="47"/>
  <c r="AT8" i="47"/>
  <c r="AT13" i="47"/>
  <c r="AT23" i="47"/>
  <c r="AT9" i="47"/>
  <c r="AT15" i="47"/>
  <c r="AT22" i="47"/>
  <c r="AT41" i="47"/>
  <c r="AT14" i="47"/>
  <c r="AT42" i="47"/>
  <c r="AT20" i="47"/>
  <c r="AF39" i="60"/>
  <c r="AC32" i="18"/>
  <c r="AC10" i="18"/>
  <c r="AC11" i="18"/>
  <c r="AC31" i="18"/>
  <c r="AC30" i="18"/>
  <c r="AC27" i="18"/>
  <c r="AC23" i="18"/>
  <c r="AC18" i="18"/>
  <c r="AC20" i="18"/>
  <c r="AC15" i="18"/>
  <c r="AC12" i="18"/>
  <c r="AC21" i="18"/>
  <c r="AC16" i="18"/>
  <c r="AC24" i="18"/>
  <c r="AC19" i="18"/>
  <c r="AC29" i="18"/>
  <c r="AC26" i="18"/>
  <c r="AC14" i="18"/>
  <c r="AC22" i="18"/>
  <c r="AC13" i="18"/>
  <c r="AU21" i="13"/>
  <c r="AU23" i="13" s="1"/>
  <c r="AT31" i="1" s="1"/>
  <c r="AT33" i="1" s="1"/>
  <c r="AW8" i="18"/>
  <c r="AN8" i="18"/>
  <c r="AV21" i="13"/>
  <c r="AV23" i="13" s="1"/>
  <c r="AU31" i="1" s="1"/>
  <c r="AU33" i="1" s="1"/>
  <c r="AQ8" i="18"/>
  <c r="AQ21" i="13"/>
  <c r="AQ23" i="13" s="1"/>
  <c r="AP31" i="1" s="1"/>
  <c r="AP33" i="1" s="1"/>
  <c r="AS21" i="13"/>
  <c r="AS23" i="13" s="1"/>
  <c r="AR31" i="1" s="1"/>
  <c r="AR33" i="1" s="1"/>
  <c r="AZ21" i="13"/>
  <c r="AZ23" i="13" s="1"/>
  <c r="AY31" i="1" s="1"/>
  <c r="AY33" i="1" s="1"/>
  <c r="AX8" i="18"/>
  <c r="AY21" i="13"/>
  <c r="AY23" i="13" s="1"/>
  <c r="AX31" i="1" s="1"/>
  <c r="AX33" i="1" s="1"/>
  <c r="AP21" i="13"/>
  <c r="AP23" i="13" s="1"/>
  <c r="AO31" i="1" s="1"/>
  <c r="AO33" i="1" s="1"/>
  <c r="AO8" i="18"/>
  <c r="AV8" i="18"/>
  <c r="AT21" i="13"/>
  <c r="AT23" i="13" s="1"/>
  <c r="AS31" i="1" s="1"/>
  <c r="AS33" i="1" s="1"/>
  <c r="AO21" i="13"/>
  <c r="AO23" i="13" s="1"/>
  <c r="AN31" i="1" s="1"/>
  <c r="AN33" i="1" s="1"/>
  <c r="AW21" i="13"/>
  <c r="AW23" i="13" s="1"/>
  <c r="AV31" i="1" s="1"/>
  <c r="AV33" i="1" s="1"/>
  <c r="AY8" i="18"/>
  <c r="AT8" i="18"/>
  <c r="AX21" i="13"/>
  <c r="AX23" i="13" s="1"/>
  <c r="AW31" i="1" s="1"/>
  <c r="AW33" i="1" s="1"/>
  <c r="AR8" i="18"/>
  <c r="AR21" i="13"/>
  <c r="AR23" i="13" s="1"/>
  <c r="AQ31" i="1" s="1"/>
  <c r="AQ33" i="1" s="1"/>
  <c r="AP8" i="18"/>
  <c r="AU8" i="18"/>
  <c r="AS8" i="18"/>
  <c r="AJ25" i="18"/>
  <c r="AX42" i="47"/>
  <c r="AX27" i="47"/>
  <c r="AX39" i="47"/>
  <c r="AX12" i="47"/>
  <c r="AX15" i="47"/>
  <c r="AX43" i="47"/>
  <c r="AX8" i="47"/>
  <c r="AX20" i="47"/>
  <c r="AX9" i="47"/>
  <c r="AX22" i="47"/>
  <c r="AX23" i="47"/>
  <c r="AX14" i="47"/>
  <c r="AX21" i="47"/>
  <c r="AX44" i="47"/>
  <c r="AX41" i="47"/>
  <c r="AX13" i="47"/>
  <c r="AV15" i="47"/>
  <c r="AV44" i="47"/>
  <c r="AV27" i="47"/>
  <c r="AV39" i="47"/>
  <c r="AV23" i="47"/>
  <c r="AV9" i="47"/>
  <c r="AV13" i="47"/>
  <c r="AV41" i="47"/>
  <c r="AV43" i="47"/>
  <c r="AV12" i="47"/>
  <c r="AV14" i="47"/>
  <c r="AV22" i="47"/>
  <c r="AV21" i="47"/>
  <c r="AV20" i="47"/>
  <c r="AV42" i="47"/>
  <c r="AV8" i="47"/>
  <c r="AI22" i="18"/>
  <c r="AI12" i="18"/>
  <c r="AI11" i="18"/>
  <c r="AI19" i="18"/>
  <c r="AI32" i="18"/>
  <c r="AI15" i="18"/>
  <c r="AI14" i="18"/>
  <c r="AI20" i="18"/>
  <c r="AI31" i="18"/>
  <c r="AI23" i="18"/>
  <c r="AI24" i="18"/>
  <c r="AI18" i="18"/>
  <c r="AI21" i="18"/>
  <c r="AI29" i="18"/>
  <c r="AI16" i="18"/>
  <c r="AI26" i="18"/>
  <c r="AI27" i="18"/>
  <c r="AI30" i="18"/>
  <c r="AI13" i="18"/>
  <c r="AI10" i="18"/>
  <c r="AR15" i="47"/>
  <c r="AR12" i="47"/>
  <c r="AR13" i="47"/>
  <c r="AR43" i="47"/>
  <c r="AR21" i="47"/>
  <c r="AR23" i="47"/>
  <c r="AR39" i="47"/>
  <c r="AR27" i="47"/>
  <c r="AR42" i="47"/>
  <c r="AR9" i="47"/>
  <c r="AR44" i="47"/>
  <c r="AR8" i="47"/>
  <c r="AR22" i="47"/>
  <c r="AR20" i="47"/>
  <c r="AR41" i="47"/>
  <c r="AR14" i="47"/>
  <c r="AD31" i="18"/>
  <c r="AD22" i="18"/>
  <c r="AD9" i="18"/>
  <c r="AD15" i="18"/>
  <c r="AD14" i="18"/>
  <c r="AD20" i="18"/>
  <c r="AD32" i="18"/>
  <c r="AD19" i="18"/>
  <c r="AD12" i="18"/>
  <c r="AD30" i="18"/>
  <c r="AD21" i="18"/>
  <c r="AD24" i="18"/>
  <c r="AD18" i="18"/>
  <c r="AD11" i="18"/>
  <c r="AD27" i="18"/>
  <c r="AD29" i="18"/>
  <c r="AD13" i="18"/>
  <c r="AD23" i="18"/>
  <c r="AD10" i="18"/>
  <c r="AD26" i="18"/>
  <c r="AD16" i="18"/>
  <c r="AJ39" i="60"/>
  <c r="AM39" i="60"/>
  <c r="AI25" i="18"/>
  <c r="AS44" i="47"/>
  <c r="AS21" i="47"/>
  <c r="AS15" i="47"/>
  <c r="AS41" i="47"/>
  <c r="AS9" i="47"/>
  <c r="AS8" i="47"/>
  <c r="AS20" i="47"/>
  <c r="AS27" i="47"/>
  <c r="AS12" i="47"/>
  <c r="AS22" i="47"/>
  <c r="AS39" i="47"/>
  <c r="AS42" i="47"/>
  <c r="AS43" i="47"/>
  <c r="AS14" i="47"/>
  <c r="AS23" i="47"/>
  <c r="AS13" i="47"/>
  <c r="AY41" i="47"/>
  <c r="AY8" i="47"/>
  <c r="AY43" i="47"/>
  <c r="AY9" i="47"/>
  <c r="AY20" i="47"/>
  <c r="AY27" i="47"/>
  <c r="AY21" i="47"/>
  <c r="AY13" i="47"/>
  <c r="AY22" i="47"/>
  <c r="AY23" i="47"/>
  <c r="AY15" i="47"/>
  <c r="AY39" i="47"/>
  <c r="AY44" i="47"/>
  <c r="AY14" i="47"/>
  <c r="AY12" i="47"/>
  <c r="AY42" i="47"/>
  <c r="AE39" i="60"/>
  <c r="AB27" i="18"/>
  <c r="AB22" i="18"/>
  <c r="AB30" i="18"/>
  <c r="AB12" i="18"/>
  <c r="AB21" i="18"/>
  <c r="AB19" i="18"/>
  <c r="AB26" i="18"/>
  <c r="AB15" i="18"/>
  <c r="AB11" i="18"/>
  <c r="AB13" i="18"/>
  <c r="AB23" i="18"/>
  <c r="AB16" i="18"/>
  <c r="AB10" i="18"/>
  <c r="AB32" i="18"/>
  <c r="AB20" i="18"/>
  <c r="AB29" i="18"/>
  <c r="AB31" i="18"/>
  <c r="AB14" i="18"/>
  <c r="AB17" i="18"/>
  <c r="AB18" i="18"/>
  <c r="AU44" i="47"/>
  <c r="AU43" i="47"/>
  <c r="AU39" i="47"/>
  <c r="AU27" i="47"/>
  <c r="AU23" i="47"/>
  <c r="AU21" i="47"/>
  <c r="AU13" i="47"/>
  <c r="AU8" i="47"/>
  <c r="AU42" i="47"/>
  <c r="AU9" i="47"/>
  <c r="AU41" i="47"/>
  <c r="AU20" i="47"/>
  <c r="AU22" i="47"/>
  <c r="AU15" i="47"/>
  <c r="AU12" i="47"/>
  <c r="AU14" i="47"/>
  <c r="AL39" i="60"/>
  <c r="AF21" i="18"/>
  <c r="AF19" i="18"/>
  <c r="AF31" i="18"/>
  <c r="AF18" i="18"/>
  <c r="AF32" i="18"/>
  <c r="AF23" i="18"/>
  <c r="AF20" i="18"/>
  <c r="AF27" i="18"/>
  <c r="AF15" i="18"/>
  <c r="AF13" i="18"/>
  <c r="AF14" i="18"/>
  <c r="AF24" i="18"/>
  <c r="AF11" i="18"/>
  <c r="AF12" i="18"/>
  <c r="AF10" i="18"/>
  <c r="AF22" i="18"/>
  <c r="AF30" i="18"/>
  <c r="AF16" i="18"/>
  <c r="AF29" i="18"/>
  <c r="AF26" i="18"/>
  <c r="AG39" i="60"/>
  <c r="AG22" i="18"/>
  <c r="AG18" i="18"/>
  <c r="AG15" i="18"/>
  <c r="AG23" i="18"/>
  <c r="AG20" i="18"/>
  <c r="AG16" i="18"/>
  <c r="AG26" i="18"/>
  <c r="AG29" i="18"/>
  <c r="AG19" i="18"/>
  <c r="AG21" i="18"/>
  <c r="AG10" i="18"/>
  <c r="AG24" i="18"/>
  <c r="AG31" i="18"/>
  <c r="AG32" i="18"/>
  <c r="AG13" i="18"/>
  <c r="AG12" i="18"/>
  <c r="AG14" i="18"/>
  <c r="AG11" i="18"/>
  <c r="AG27" i="18"/>
  <c r="AG30" i="18"/>
  <c r="AK39" i="60"/>
  <c r="AH39" i="60"/>
  <c r="AK4" i="60"/>
  <c r="AB4" i="60"/>
  <c r="AI4" i="18"/>
  <c r="AG4" i="18"/>
  <c r="AX4" i="47"/>
  <c r="AL4" i="29"/>
  <c r="AL4" i="18"/>
  <c r="AF4" i="18"/>
  <c r="AU4" i="47"/>
  <c r="AH4" i="60"/>
  <c r="AM4" i="29"/>
  <c r="AJ4" i="13"/>
  <c r="AD4" i="18"/>
  <c r="AQ4" i="47"/>
  <c r="AJ4" i="60"/>
  <c r="AD4" i="16"/>
  <c r="AC4" i="16"/>
  <c r="AF4" i="13"/>
  <c r="AC4" i="13"/>
  <c r="AJ4" i="16"/>
  <c r="AK4" i="16"/>
  <c r="AD4" i="29"/>
  <c r="AE4" i="16"/>
  <c r="BA4" i="47"/>
  <c r="AC4" i="60"/>
  <c r="AG4" i="60"/>
  <c r="AT4" i="47"/>
  <c r="AI4" i="16"/>
  <c r="AR4" i="47"/>
  <c r="AL4" i="60"/>
  <c r="AP4" i="47"/>
  <c r="AD4" i="60"/>
  <c r="AH4" i="18"/>
  <c r="AK4" i="13"/>
  <c r="AC4" i="18"/>
  <c r="AB4" i="29"/>
  <c r="AE4" i="29"/>
  <c r="AJ4" i="29"/>
  <c r="AM4" i="18"/>
  <c r="AM4" i="13"/>
  <c r="AH4" i="29"/>
  <c r="AE4" i="18"/>
  <c r="AI4" i="29"/>
  <c r="AN4" i="13"/>
  <c r="AC4" i="29"/>
  <c r="AF4" i="29"/>
  <c r="AW4" i="47"/>
  <c r="AG4" i="29"/>
  <c r="AH4" i="16"/>
  <c r="AI4" i="60"/>
  <c r="AD4" i="13"/>
  <c r="AE4" i="60"/>
  <c r="AV4" i="47"/>
  <c r="AF4" i="60"/>
  <c r="AK4" i="29"/>
  <c r="AM4" i="16"/>
  <c r="AK4" i="18"/>
  <c r="AI4" i="13"/>
  <c r="AN4" i="16"/>
  <c r="AL4" i="16"/>
  <c r="AS4" i="47"/>
  <c r="AF4" i="16"/>
  <c r="AB4" i="18"/>
  <c r="AH4" i="13"/>
  <c r="AG4" i="16"/>
  <c r="AL4" i="13"/>
  <c r="AM4" i="60"/>
  <c r="AJ4" i="18"/>
  <c r="AG4" i="13"/>
  <c r="AE4" i="13"/>
  <c r="AY4" i="47"/>
  <c r="AZ4" i="47"/>
  <c r="AR5" i="13"/>
  <c r="AY5" i="13"/>
  <c r="AX5" i="29"/>
  <c r="AP5" i="13"/>
  <c r="AS5" i="29"/>
  <c r="AZ5" i="16"/>
  <c r="AU5" i="18"/>
  <c r="AR5" i="29"/>
  <c r="AX5" i="18"/>
  <c r="AN5" i="18"/>
  <c r="AX5" i="16"/>
  <c r="AS5" i="18"/>
  <c r="AS5" i="16"/>
  <c r="AT5" i="29"/>
  <c r="AU5" i="29"/>
  <c r="AQ5" i="18"/>
  <c r="AU5" i="16"/>
  <c r="AO5" i="13"/>
  <c r="AT5" i="13"/>
  <c r="AP5" i="16"/>
  <c r="AW5" i="16"/>
  <c r="AX5" i="13"/>
  <c r="AW5" i="13"/>
  <c r="AT5" i="18"/>
  <c r="AV5" i="18"/>
  <c r="AW5" i="18"/>
  <c r="AZ5" i="13"/>
  <c r="AQ5" i="13"/>
  <c r="AR5" i="16"/>
  <c r="AQ5" i="16"/>
  <c r="AY5" i="29"/>
  <c r="AV5" i="29"/>
  <c r="AS5" i="13"/>
  <c r="AO5" i="29"/>
  <c r="AY5" i="16"/>
  <c r="AQ5" i="29"/>
  <c r="AP5" i="29"/>
  <c r="AY5" i="18"/>
  <c r="AN5" i="29"/>
  <c r="AO5" i="18"/>
  <c r="AV5" i="13"/>
  <c r="AV5" i="16"/>
  <c r="AT5" i="16"/>
  <c r="AP5" i="18"/>
  <c r="AU5" i="13"/>
  <c r="AR5" i="18"/>
  <c r="AO5" i="16"/>
  <c r="AW5" i="29"/>
  <c r="Q10" i="16"/>
  <c r="BX27" i="60" l="1"/>
  <c r="AB27" i="60"/>
  <c r="CI27" i="60"/>
  <c r="BG27" i="60"/>
  <c r="AQ27" i="60"/>
  <c r="AA27" i="60"/>
  <c r="DD27" i="60"/>
  <c r="BP27" i="60"/>
  <c r="T27" i="60"/>
  <c r="CA27" i="60"/>
  <c r="CT27" i="60"/>
  <c r="BR27" i="60"/>
  <c r="AT27" i="60"/>
  <c r="AD27" i="60"/>
  <c r="DH27" i="60"/>
  <c r="BH27" i="60"/>
  <c r="DK27" i="60"/>
  <c r="BS27" i="60"/>
  <c r="CL27" i="60"/>
  <c r="BF27" i="60"/>
  <c r="DE27" i="60"/>
  <c r="CO27" i="60"/>
  <c r="BY27" i="60"/>
  <c r="BI27" i="60"/>
  <c r="AS27" i="60"/>
  <c r="AC27" i="60"/>
  <c r="DL27" i="60"/>
  <c r="BL27" i="60"/>
  <c r="DS27" i="60"/>
  <c r="BW27" i="60"/>
  <c r="BC27" i="60"/>
  <c r="AM27" i="60"/>
  <c r="W27" i="60"/>
  <c r="CR27" i="60"/>
  <c r="BD27" i="60"/>
  <c r="DO27" i="60"/>
  <c r="DR27" i="60"/>
  <c r="CP27" i="60"/>
  <c r="BJ27" i="60"/>
  <c r="AP27" i="60"/>
  <c r="Z27" i="60"/>
  <c r="CV27" i="60"/>
  <c r="AV27" i="60"/>
  <c r="CY27" i="60"/>
  <c r="DN27" i="60"/>
  <c r="CD27" i="60"/>
  <c r="DQ27" i="60"/>
  <c r="DA27" i="60"/>
  <c r="CK27" i="60"/>
  <c r="BU27" i="60"/>
  <c r="BE27" i="60"/>
  <c r="AO27" i="60"/>
  <c r="Y27" i="60"/>
  <c r="CZ27" i="60"/>
  <c r="AZ27" i="60"/>
  <c r="DG27" i="60"/>
  <c r="BO27" i="60"/>
  <c r="AY27" i="60"/>
  <c r="AI27" i="60"/>
  <c r="S27" i="60"/>
  <c r="CF27" i="60"/>
  <c r="AR27" i="60"/>
  <c r="DC27" i="60"/>
  <c r="DJ27" i="60"/>
  <c r="CH27" i="60"/>
  <c r="BB27" i="60"/>
  <c r="AL27" i="60"/>
  <c r="V27" i="60"/>
  <c r="CN27" i="60"/>
  <c r="AJ27" i="60"/>
  <c r="CM27" i="60"/>
  <c r="DF27" i="60"/>
  <c r="BV27" i="60"/>
  <c r="DM27" i="60"/>
  <c r="CW27" i="60"/>
  <c r="CG27" i="60"/>
  <c r="BQ27" i="60"/>
  <c r="BA27" i="60"/>
  <c r="AK27" i="60"/>
  <c r="U27" i="60"/>
  <c r="CJ27" i="60"/>
  <c r="AN27" i="60"/>
  <c r="CU27" i="60"/>
  <c r="BK27" i="60"/>
  <c r="AU27" i="60"/>
  <c r="AE27" i="60"/>
  <c r="DP27" i="60"/>
  <c r="CB27" i="60"/>
  <c r="AF27" i="60"/>
  <c r="CQ27" i="60"/>
  <c r="DB27" i="60"/>
  <c r="BZ27" i="60"/>
  <c r="AX27" i="60"/>
  <c r="AH27" i="60"/>
  <c r="R27" i="60"/>
  <c r="BT27" i="60"/>
  <c r="X27" i="60"/>
  <c r="CE27" i="60"/>
  <c r="CX27" i="60"/>
  <c r="BN27" i="60"/>
  <c r="DI27" i="60"/>
  <c r="CS27" i="60"/>
  <c r="CC27" i="60"/>
  <c r="BM27" i="60"/>
  <c r="AW27" i="60"/>
  <c r="AG27" i="60"/>
  <c r="J10" i="77"/>
  <c r="N34" i="88"/>
  <c r="N31" i="88"/>
  <c r="N34" i="86"/>
  <c r="N31" i="86"/>
  <c r="N31" i="87"/>
  <c r="N34" i="87"/>
  <c r="F19" i="74"/>
  <c r="F35" i="74"/>
  <c r="E17" i="1"/>
  <c r="E39" i="1"/>
  <c r="E41" i="1" s="1"/>
  <c r="H16" i="74"/>
  <c r="D18" i="24"/>
  <c r="E11" i="24" s="1"/>
  <c r="R39" i="1"/>
  <c r="R17" i="1"/>
  <c r="D41" i="1"/>
  <c r="J45" i="22"/>
  <c r="J44" i="22"/>
  <c r="J55" i="22"/>
  <c r="J59" i="22"/>
  <c r="J46" i="22"/>
  <c r="J58" i="22"/>
  <c r="K19" i="22"/>
  <c r="J42" i="22"/>
  <c r="J54" i="22"/>
  <c r="J43" i="22"/>
  <c r="J57" i="22"/>
  <c r="J48" i="22"/>
  <c r="J49" i="22"/>
  <c r="J56" i="22"/>
  <c r="J60" i="22"/>
  <c r="J51" i="22"/>
  <c r="J24" i="22"/>
  <c r="J52" i="22"/>
  <c r="J47" i="22"/>
  <c r="J53" i="22"/>
  <c r="J50" i="22"/>
  <c r="J41" i="22"/>
  <c r="J38" i="22"/>
  <c r="J39" i="22"/>
  <c r="J36" i="22"/>
  <c r="J29" i="22"/>
  <c r="J30" i="22"/>
  <c r="J40" i="22"/>
  <c r="J32" i="22"/>
  <c r="J27" i="22"/>
  <c r="J31" i="22"/>
  <c r="J33" i="22"/>
  <c r="J28" i="22"/>
  <c r="J35" i="22"/>
  <c r="J34" i="22"/>
  <c r="J22" i="22"/>
  <c r="J37" i="22"/>
  <c r="Q8" i="24"/>
  <c r="R37" i="1" s="1"/>
  <c r="Q18" i="24"/>
  <c r="R15" i="24" s="1"/>
  <c r="E34" i="74"/>
  <c r="AX25" i="18"/>
  <c r="AF12" i="1"/>
  <c r="AC12" i="1"/>
  <c r="AJ12" i="1"/>
  <c r="AB12" i="1"/>
  <c r="AE12" i="1"/>
  <c r="AL12" i="1"/>
  <c r="AK12" i="1"/>
  <c r="BM9" i="47"/>
  <c r="BM21" i="47"/>
  <c r="BM13" i="47"/>
  <c r="BM23" i="47"/>
  <c r="BM12" i="47"/>
  <c r="BM44" i="47"/>
  <c r="BM8" i="47"/>
  <c r="BM20" i="47"/>
  <c r="BM42" i="47"/>
  <c r="BM15" i="47"/>
  <c r="BM41" i="47"/>
  <c r="BM39" i="47"/>
  <c r="BM27" i="47"/>
  <c r="BM14" i="47"/>
  <c r="BM43" i="47"/>
  <c r="BM22" i="47"/>
  <c r="AQ25" i="18"/>
  <c r="BD42" i="47"/>
  <c r="BD39" i="47"/>
  <c r="BD14" i="47"/>
  <c r="BD13" i="47"/>
  <c r="BD20" i="47"/>
  <c r="BD21" i="47"/>
  <c r="BD27" i="47"/>
  <c r="BD12" i="47"/>
  <c r="BD44" i="47"/>
  <c r="BD9" i="47"/>
  <c r="BD41" i="47"/>
  <c r="BD43" i="47"/>
  <c r="BD22" i="47"/>
  <c r="BD8" i="47"/>
  <c r="BD15" i="47"/>
  <c r="BD23" i="47"/>
  <c r="AS15" i="18"/>
  <c r="AS18" i="18"/>
  <c r="AS24" i="18"/>
  <c r="AS32" i="18"/>
  <c r="AS12" i="18"/>
  <c r="AS21" i="18"/>
  <c r="AS16" i="18"/>
  <c r="AS26" i="18"/>
  <c r="AS30" i="18"/>
  <c r="AS31" i="18"/>
  <c r="AS20" i="18"/>
  <c r="AS23" i="18"/>
  <c r="AS27" i="18"/>
  <c r="AS29" i="18"/>
  <c r="AS13" i="18"/>
  <c r="AS11" i="18"/>
  <c r="AS19" i="18"/>
  <c r="AS14" i="18"/>
  <c r="AS10" i="18"/>
  <c r="AS22" i="18"/>
  <c r="AO39" i="60"/>
  <c r="AO15" i="60"/>
  <c r="AO16" i="60"/>
  <c r="AQ15" i="60"/>
  <c r="AQ16" i="60"/>
  <c r="AQ11" i="60"/>
  <c r="AQ39" i="60"/>
  <c r="AR39" i="60"/>
  <c r="AR15" i="60"/>
  <c r="AR16" i="60"/>
  <c r="AR11" i="60"/>
  <c r="BH22" i="47"/>
  <c r="BH39" i="47"/>
  <c r="BH20" i="47"/>
  <c r="BH43" i="47"/>
  <c r="BH12" i="47"/>
  <c r="BH13" i="47"/>
  <c r="BH42" i="47"/>
  <c r="BH21" i="47"/>
  <c r="BH23" i="47"/>
  <c r="BH8" i="47"/>
  <c r="BH27" i="47"/>
  <c r="BH44" i="47"/>
  <c r="BH41" i="47"/>
  <c r="BH14" i="47"/>
  <c r="BH15" i="47"/>
  <c r="BH9" i="47"/>
  <c r="AN39" i="60"/>
  <c r="AV11" i="60"/>
  <c r="AV39" i="60"/>
  <c r="AV15" i="60"/>
  <c r="AV16" i="60"/>
  <c r="AO16" i="18"/>
  <c r="AO29" i="18"/>
  <c r="AO27" i="18"/>
  <c r="AO22" i="18"/>
  <c r="AO23" i="18"/>
  <c r="AO13" i="18"/>
  <c r="AO32" i="18"/>
  <c r="AO26" i="18"/>
  <c r="AO12" i="18"/>
  <c r="AO19" i="18"/>
  <c r="AO10" i="18"/>
  <c r="AO21" i="18"/>
  <c r="AO31" i="18"/>
  <c r="AO14" i="18"/>
  <c r="AO11" i="18"/>
  <c r="AO24" i="18"/>
  <c r="AO20" i="18"/>
  <c r="AO30" i="18"/>
  <c r="AO15" i="18"/>
  <c r="AO18" i="18"/>
  <c r="BE41" i="47"/>
  <c r="BE13" i="47"/>
  <c r="BE8" i="47"/>
  <c r="BE23" i="47"/>
  <c r="BE27" i="47"/>
  <c r="BE14" i="47"/>
  <c r="BE20" i="47"/>
  <c r="BE12" i="47"/>
  <c r="BE15" i="47"/>
  <c r="BE22" i="47"/>
  <c r="BE42" i="47"/>
  <c r="BE43" i="47"/>
  <c r="BE39" i="47"/>
  <c r="BE44" i="47"/>
  <c r="BE9" i="47"/>
  <c r="BE21" i="47"/>
  <c r="AX31" i="18"/>
  <c r="AX19" i="18"/>
  <c r="AX27" i="18"/>
  <c r="AX11" i="18"/>
  <c r="AX24" i="18"/>
  <c r="AX20" i="18"/>
  <c r="AX32" i="18"/>
  <c r="AX12" i="18"/>
  <c r="AX22" i="18"/>
  <c r="AX14" i="18"/>
  <c r="AX15" i="18"/>
  <c r="AX30" i="18"/>
  <c r="AX29" i="18"/>
  <c r="AX26" i="18"/>
  <c r="AX21" i="18"/>
  <c r="AX23" i="18"/>
  <c r="AX16" i="18"/>
  <c r="AX18" i="18"/>
  <c r="AX10" i="18"/>
  <c r="AX13" i="18"/>
  <c r="BI12" i="47"/>
  <c r="BI14" i="47"/>
  <c r="BI9" i="47"/>
  <c r="BI43" i="47"/>
  <c r="BI39" i="47"/>
  <c r="BI41" i="47"/>
  <c r="BI13" i="47"/>
  <c r="BI8" i="47"/>
  <c r="BI42" i="47"/>
  <c r="BI23" i="47"/>
  <c r="BI27" i="47"/>
  <c r="BI22" i="47"/>
  <c r="BI20" i="47"/>
  <c r="BI44" i="47"/>
  <c r="BI21" i="47"/>
  <c r="BI15" i="47"/>
  <c r="AU11" i="60"/>
  <c r="AU39" i="60"/>
  <c r="AU16" i="60"/>
  <c r="AU15" i="60"/>
  <c r="AO25" i="18"/>
  <c r="AM12" i="1"/>
  <c r="AN25" i="18"/>
  <c r="AU25" i="18"/>
  <c r="AG12" i="1"/>
  <c r="AS16" i="60"/>
  <c r="AS15" i="60"/>
  <c r="AS11" i="60"/>
  <c r="AS39" i="60"/>
  <c r="AR15" i="18"/>
  <c r="AR29" i="18"/>
  <c r="AR24" i="18"/>
  <c r="AR12" i="18"/>
  <c r="AR26" i="18"/>
  <c r="AR23" i="18"/>
  <c r="AR16" i="18"/>
  <c r="AR14" i="18"/>
  <c r="AR20" i="18"/>
  <c r="AR22" i="18"/>
  <c r="AR21" i="18"/>
  <c r="AR18" i="18"/>
  <c r="AR19" i="18"/>
  <c r="AR27" i="18"/>
  <c r="AR31" i="18"/>
  <c r="AR32" i="18"/>
  <c r="AR10" i="18"/>
  <c r="AR11" i="18"/>
  <c r="AR13" i="18"/>
  <c r="AR30" i="18"/>
  <c r="BB41" i="47"/>
  <c r="BB20" i="47"/>
  <c r="BB27" i="47"/>
  <c r="BB44" i="47"/>
  <c r="BB15" i="47"/>
  <c r="BB9" i="47"/>
  <c r="BB8" i="47"/>
  <c r="BB22" i="47"/>
  <c r="BB14" i="47"/>
  <c r="BB39" i="47"/>
  <c r="BB13" i="47"/>
  <c r="BB12" i="47"/>
  <c r="BB21" i="47"/>
  <c r="BB42" i="47"/>
  <c r="BB43" i="47"/>
  <c r="BB23" i="47"/>
  <c r="BL21" i="47"/>
  <c r="BL9" i="47"/>
  <c r="BL22" i="47"/>
  <c r="BL20" i="47"/>
  <c r="BL8" i="47"/>
  <c r="BL41" i="47"/>
  <c r="BL15" i="47"/>
  <c r="BL39" i="47"/>
  <c r="BL43" i="47"/>
  <c r="BL13" i="47"/>
  <c r="BL23" i="47"/>
  <c r="BL44" i="47"/>
  <c r="BL14" i="47"/>
  <c r="BL27" i="47"/>
  <c r="BL12" i="47"/>
  <c r="BL42" i="47"/>
  <c r="G32" i="20"/>
  <c r="G34" i="20" s="1"/>
  <c r="AI12" i="1"/>
  <c r="AU21" i="18"/>
  <c r="AU16" i="18"/>
  <c r="AU15" i="18"/>
  <c r="AU20" i="18"/>
  <c r="AU30" i="18"/>
  <c r="AU22" i="18"/>
  <c r="AU32" i="18"/>
  <c r="AU29" i="18"/>
  <c r="AU19" i="18"/>
  <c r="AU24" i="18"/>
  <c r="AU13" i="18"/>
  <c r="AU18" i="18"/>
  <c r="AU11" i="18"/>
  <c r="AU26" i="18"/>
  <c r="AU23" i="18"/>
  <c r="AU10" i="18"/>
  <c r="AU31" i="18"/>
  <c r="AU12" i="18"/>
  <c r="AU27" i="18"/>
  <c r="AU14" i="18"/>
  <c r="AY39" i="60"/>
  <c r="AY11" i="60"/>
  <c r="AY16" i="60"/>
  <c r="AY15" i="60"/>
  <c r="BC20" i="47"/>
  <c r="BC22" i="47"/>
  <c r="BC15" i="47"/>
  <c r="BC41" i="47"/>
  <c r="BC27" i="47"/>
  <c r="BC8" i="47"/>
  <c r="BC21" i="47"/>
  <c r="BC42" i="47"/>
  <c r="BC9" i="47"/>
  <c r="BC44" i="47"/>
  <c r="BC43" i="47"/>
  <c r="BC39" i="47"/>
  <c r="BC23" i="47"/>
  <c r="BC13" i="47"/>
  <c r="BC12" i="47"/>
  <c r="BC14" i="47"/>
  <c r="AX16" i="60"/>
  <c r="AX39" i="60"/>
  <c r="AX11" i="60"/>
  <c r="AX15" i="60"/>
  <c r="BJ41" i="47"/>
  <c r="BJ20" i="47"/>
  <c r="BJ43" i="47"/>
  <c r="BJ22" i="47"/>
  <c r="BJ8" i="47"/>
  <c r="BJ27" i="47"/>
  <c r="BJ39" i="47"/>
  <c r="BJ12" i="47"/>
  <c r="BJ44" i="47"/>
  <c r="BJ23" i="47"/>
  <c r="BJ42" i="47"/>
  <c r="BJ9" i="47"/>
  <c r="BJ15" i="47"/>
  <c r="BJ21" i="47"/>
  <c r="BJ13" i="47"/>
  <c r="BJ14" i="47"/>
  <c r="BG41" i="47"/>
  <c r="BG22" i="47"/>
  <c r="BG8" i="47"/>
  <c r="BG44" i="47"/>
  <c r="BG21" i="47"/>
  <c r="BG23" i="47"/>
  <c r="BG27" i="47"/>
  <c r="BG42" i="47"/>
  <c r="BG12" i="47"/>
  <c r="BG14" i="47"/>
  <c r="BG9" i="47"/>
  <c r="BG13" i="47"/>
  <c r="BG43" i="47"/>
  <c r="BG39" i="47"/>
  <c r="BG20" i="47"/>
  <c r="BG15" i="47"/>
  <c r="AW11" i="18"/>
  <c r="AW27" i="18"/>
  <c r="AW31" i="18"/>
  <c r="AW29" i="18"/>
  <c r="AW20" i="18"/>
  <c r="AW10" i="18"/>
  <c r="AW19" i="18"/>
  <c r="AW22" i="18"/>
  <c r="AW16" i="18"/>
  <c r="AW30" i="18"/>
  <c r="AW15" i="18"/>
  <c r="AW32" i="18"/>
  <c r="AW12" i="18"/>
  <c r="AW23" i="18"/>
  <c r="AW18" i="18"/>
  <c r="AW21" i="18"/>
  <c r="AW26" i="18"/>
  <c r="AW17" i="18"/>
  <c r="AW24" i="18"/>
  <c r="AW14" i="18"/>
  <c r="AW13" i="18"/>
  <c r="AT39" i="60"/>
  <c r="AT16" i="60"/>
  <c r="AT15" i="60"/>
  <c r="AT11" i="60"/>
  <c r="E10" i="20"/>
  <c r="AH12" i="1"/>
  <c r="AV25" i="18"/>
  <c r="AT11" i="18"/>
  <c r="AT32" i="18"/>
  <c r="AT21" i="18"/>
  <c r="AT15" i="18"/>
  <c r="AT27" i="18"/>
  <c r="AT20" i="18"/>
  <c r="AT31" i="18"/>
  <c r="AT16" i="18"/>
  <c r="AT13" i="18"/>
  <c r="AT26" i="18"/>
  <c r="AT22" i="18"/>
  <c r="AT30" i="18"/>
  <c r="AT29" i="18"/>
  <c r="AT14" i="18"/>
  <c r="AT18" i="18"/>
  <c r="AT10" i="18"/>
  <c r="AT24" i="18"/>
  <c r="AT12" i="18"/>
  <c r="AT17" i="18"/>
  <c r="AT19" i="18"/>
  <c r="AT23" i="18"/>
  <c r="BF41" i="47"/>
  <c r="BF20" i="47"/>
  <c r="BF8" i="47"/>
  <c r="BF42" i="47"/>
  <c r="BF21" i="47"/>
  <c r="BF43" i="47"/>
  <c r="BF27" i="47"/>
  <c r="BF22" i="47"/>
  <c r="BF13" i="47"/>
  <c r="BF12" i="47"/>
  <c r="BF14" i="47"/>
  <c r="BF23" i="47"/>
  <c r="BF9" i="47"/>
  <c r="BF39" i="47"/>
  <c r="BF15" i="47"/>
  <c r="BF44" i="47"/>
  <c r="AV22" i="18"/>
  <c r="AV32" i="18"/>
  <c r="AV14" i="18"/>
  <c r="AV20" i="18"/>
  <c r="AV12" i="18"/>
  <c r="AV21" i="18"/>
  <c r="AV26" i="18"/>
  <c r="AV31" i="18"/>
  <c r="AV29" i="18"/>
  <c r="AV15" i="18"/>
  <c r="AV24" i="18"/>
  <c r="AV23" i="18"/>
  <c r="AV18" i="18"/>
  <c r="AV30" i="18"/>
  <c r="AV27" i="18"/>
  <c r="AV16" i="18"/>
  <c r="AV19" i="18"/>
  <c r="AV11" i="18"/>
  <c r="AV13" i="18"/>
  <c r="AV10" i="18"/>
  <c r="BH8" i="18"/>
  <c r="BG21" i="13"/>
  <c r="BG23" i="13" s="1"/>
  <c r="BF31" i="1" s="1"/>
  <c r="BF33" i="1" s="1"/>
  <c r="BD21" i="13"/>
  <c r="BD23" i="13" s="1"/>
  <c r="BC31" i="1" s="1"/>
  <c r="BC33" i="1" s="1"/>
  <c r="BD8" i="18"/>
  <c r="BF8" i="18"/>
  <c r="BH21" i="13"/>
  <c r="BH23" i="13" s="1"/>
  <c r="BG31" i="1" s="1"/>
  <c r="BG33" i="1" s="1"/>
  <c r="AZ8" i="18"/>
  <c r="BK21" i="13"/>
  <c r="BK23" i="13" s="1"/>
  <c r="BJ31" i="1" s="1"/>
  <c r="BJ33" i="1" s="1"/>
  <c r="BC8" i="18"/>
  <c r="BI21" i="13"/>
  <c r="BI23" i="13" s="1"/>
  <c r="BH31" i="1" s="1"/>
  <c r="BH33" i="1" s="1"/>
  <c r="BC21" i="13"/>
  <c r="BC23" i="13" s="1"/>
  <c r="BB31" i="1" s="1"/>
  <c r="BB33" i="1" s="1"/>
  <c r="BB8" i="18"/>
  <c r="BE21" i="13"/>
  <c r="BE23" i="13" s="1"/>
  <c r="BD31" i="1" s="1"/>
  <c r="BD33" i="1" s="1"/>
  <c r="BJ21" i="13"/>
  <c r="BJ23" i="13" s="1"/>
  <c r="BI31" i="1" s="1"/>
  <c r="BI33" i="1" s="1"/>
  <c r="BE8" i="18"/>
  <c r="BK8" i="18"/>
  <c r="BL21" i="13"/>
  <c r="BL23" i="13" s="1"/>
  <c r="BK31" i="1" s="1"/>
  <c r="BK33" i="1" s="1"/>
  <c r="BI8" i="18"/>
  <c r="BG8" i="18"/>
  <c r="BA21" i="13"/>
  <c r="BA23" i="13" s="1"/>
  <c r="AZ31" i="1" s="1"/>
  <c r="BF21" i="13"/>
  <c r="BF23" i="13" s="1"/>
  <c r="BE31" i="1" s="1"/>
  <c r="BE33" i="1" s="1"/>
  <c r="BB21" i="13"/>
  <c r="BB23" i="13" s="1"/>
  <c r="BA31" i="1" s="1"/>
  <c r="BA33" i="1" s="1"/>
  <c r="BJ8" i="18"/>
  <c r="BA8" i="18"/>
  <c r="AD12" i="58"/>
  <c r="AE9" i="58" s="1"/>
  <c r="AE10" i="58" s="1"/>
  <c r="AF40" i="1" s="1"/>
  <c r="AS25" i="18"/>
  <c r="AW25" i="18"/>
  <c r="AD12" i="1"/>
  <c r="AP25" i="18"/>
  <c r="AT25" i="18"/>
  <c r="AP27" i="18"/>
  <c r="AP11" i="18"/>
  <c r="AP9" i="18"/>
  <c r="AP19" i="18"/>
  <c r="AP16" i="18"/>
  <c r="AP10" i="18"/>
  <c r="AP12" i="18"/>
  <c r="AP18" i="18"/>
  <c r="AP29" i="18"/>
  <c r="AP26" i="18"/>
  <c r="AP22" i="18"/>
  <c r="AP20" i="18"/>
  <c r="AP32" i="18"/>
  <c r="AP31" i="18"/>
  <c r="AP30" i="18"/>
  <c r="AP15" i="18"/>
  <c r="AP24" i="18"/>
  <c r="AP14" i="18"/>
  <c r="AP21" i="18"/>
  <c r="AP13" i="18"/>
  <c r="AP23" i="18"/>
  <c r="AW11" i="60"/>
  <c r="AW16" i="60"/>
  <c r="AW39" i="60"/>
  <c r="AW15" i="60"/>
  <c r="AY27" i="18"/>
  <c r="AY13" i="18"/>
  <c r="AY32" i="18"/>
  <c r="AY12" i="18"/>
  <c r="AY14" i="18"/>
  <c r="AY24" i="18"/>
  <c r="AY16" i="18"/>
  <c r="AY22" i="18"/>
  <c r="AY15" i="18"/>
  <c r="AY20" i="18"/>
  <c r="AY31" i="18"/>
  <c r="AY30" i="18"/>
  <c r="AY11" i="18"/>
  <c r="AY26" i="18"/>
  <c r="AY23" i="18"/>
  <c r="AY10" i="18"/>
  <c r="AY29" i="18"/>
  <c r="AY18" i="18"/>
  <c r="AY21" i="18"/>
  <c r="AY19" i="18"/>
  <c r="BK44" i="47"/>
  <c r="BK23" i="47"/>
  <c r="BK13" i="47"/>
  <c r="BK21" i="47"/>
  <c r="BK15" i="47"/>
  <c r="BK12" i="47"/>
  <c r="BK9" i="47"/>
  <c r="BK20" i="47"/>
  <c r="BK14" i="47"/>
  <c r="BK22" i="47"/>
  <c r="BK42" i="47"/>
  <c r="BK27" i="47"/>
  <c r="BK39" i="47"/>
  <c r="BK8" i="47"/>
  <c r="BK43" i="47"/>
  <c r="BK41" i="47"/>
  <c r="AQ22" i="18"/>
  <c r="AQ17" i="18"/>
  <c r="AQ12" i="18"/>
  <c r="AQ21" i="18"/>
  <c r="AQ10" i="18"/>
  <c r="AQ15" i="18"/>
  <c r="AQ13" i="18"/>
  <c r="AQ18" i="18"/>
  <c r="AQ32" i="18"/>
  <c r="AQ30" i="18"/>
  <c r="AQ11" i="18"/>
  <c r="AQ31" i="18"/>
  <c r="AQ14" i="18"/>
  <c r="AQ24" i="18"/>
  <c r="AQ16" i="18"/>
  <c r="AQ26" i="18"/>
  <c r="AQ27" i="18"/>
  <c r="AQ20" i="18"/>
  <c r="AQ23" i="18"/>
  <c r="AQ19" i="18"/>
  <c r="AQ29" i="18"/>
  <c r="AN22" i="18"/>
  <c r="AN11" i="18"/>
  <c r="AN26" i="18"/>
  <c r="AN13" i="18"/>
  <c r="AN14" i="18"/>
  <c r="AN18" i="18"/>
  <c r="AN21" i="18"/>
  <c r="AN31" i="18"/>
  <c r="AN27" i="18"/>
  <c r="AN30" i="18"/>
  <c r="AN32" i="18"/>
  <c r="AN10" i="18"/>
  <c r="AN15" i="18"/>
  <c r="AN20" i="18"/>
  <c r="AN16" i="18"/>
  <c r="AN19" i="18"/>
  <c r="AN23" i="18"/>
  <c r="AN24" i="18"/>
  <c r="AN17" i="18"/>
  <c r="AN29" i="18"/>
  <c r="AN12" i="18"/>
  <c r="AP11" i="60"/>
  <c r="AP39" i="60"/>
  <c r="AP16" i="60"/>
  <c r="AP15" i="60"/>
  <c r="AR25" i="18"/>
  <c r="AY25" i="18"/>
  <c r="AS4" i="60"/>
  <c r="AS4" i="13"/>
  <c r="AU4" i="18"/>
  <c r="AQ4" i="29"/>
  <c r="BM4" i="47"/>
  <c r="AQ4" i="13"/>
  <c r="AW4" i="13"/>
  <c r="AO4" i="13"/>
  <c r="AV4" i="60"/>
  <c r="AY4" i="16"/>
  <c r="BG4" i="47"/>
  <c r="AP4" i="18"/>
  <c r="AX4" i="60"/>
  <c r="AT4" i="18"/>
  <c r="AY4" i="13"/>
  <c r="BK4" i="47"/>
  <c r="AW4" i="16"/>
  <c r="AV4" i="13"/>
  <c r="AX4" i="13"/>
  <c r="AP4" i="13"/>
  <c r="AR4" i="29"/>
  <c r="AW4" i="18"/>
  <c r="BI4" i="47"/>
  <c r="AT4" i="29"/>
  <c r="AQ4" i="16"/>
  <c r="AR4" i="18"/>
  <c r="AQ4" i="60"/>
  <c r="AN4" i="60"/>
  <c r="AR4" i="13"/>
  <c r="AS4" i="29"/>
  <c r="AX4" i="18"/>
  <c r="AW4" i="60"/>
  <c r="BE4" i="47"/>
  <c r="AW4" i="29"/>
  <c r="AS4" i="16"/>
  <c r="BJ4" i="47"/>
  <c r="AP4" i="60"/>
  <c r="AP4" i="16"/>
  <c r="AO4" i="29"/>
  <c r="BF4" i="47"/>
  <c r="AY4" i="29"/>
  <c r="AX4" i="29"/>
  <c r="BL4" i="47"/>
  <c r="AT4" i="60"/>
  <c r="BC4" i="47"/>
  <c r="AU4" i="13"/>
  <c r="AZ4" i="13"/>
  <c r="AR4" i="16"/>
  <c r="AQ4" i="18"/>
  <c r="AN4" i="18"/>
  <c r="BB4" i="47"/>
  <c r="AP4" i="29"/>
  <c r="AV4" i="16"/>
  <c r="AO4" i="16"/>
  <c r="AR4" i="60"/>
  <c r="AU4" i="29"/>
  <c r="AX4" i="16"/>
  <c r="AY4" i="60"/>
  <c r="AV4" i="18"/>
  <c r="BD4" i="47"/>
  <c r="AU4" i="60"/>
  <c r="AO4" i="60"/>
  <c r="AO4" i="18"/>
  <c r="AT4" i="13"/>
  <c r="AZ4" i="16"/>
  <c r="AV4" i="29"/>
  <c r="AS4" i="18"/>
  <c r="BH4" i="47"/>
  <c r="AU4" i="16"/>
  <c r="AY4" i="18"/>
  <c r="AN4" i="29"/>
  <c r="AT4" i="16"/>
  <c r="BD5" i="13"/>
  <c r="BK5" i="13"/>
  <c r="BB5" i="29"/>
  <c r="BE5" i="29"/>
  <c r="BK5" i="29"/>
  <c r="BD5" i="16"/>
  <c r="BG5" i="16"/>
  <c r="BB5" i="18"/>
  <c r="BD5" i="18"/>
  <c r="BJ5" i="16"/>
  <c r="BE5" i="18"/>
  <c r="BH5" i="18"/>
  <c r="BH5" i="13"/>
  <c r="BG5" i="13"/>
  <c r="BI5" i="13"/>
  <c r="BF5" i="29"/>
  <c r="BA5" i="29"/>
  <c r="BL5" i="16"/>
  <c r="BC5" i="18"/>
  <c r="BC5" i="16"/>
  <c r="BI5" i="16"/>
  <c r="BG5" i="29"/>
  <c r="BA5" i="18"/>
  <c r="BF5" i="13"/>
  <c r="BG5" i="18"/>
  <c r="BJ5" i="18"/>
  <c r="BJ5" i="13"/>
  <c r="BI5" i="18"/>
  <c r="BB5" i="13"/>
  <c r="BH5" i="29"/>
  <c r="BD5" i="29"/>
  <c r="BB5" i="16"/>
  <c r="BC5" i="13"/>
  <c r="BK5" i="18"/>
  <c r="BA5" i="16"/>
  <c r="BE5" i="16"/>
  <c r="BL5" i="13"/>
  <c r="BA5" i="13"/>
  <c r="BC5" i="29"/>
  <c r="BK5" i="16"/>
  <c r="BF5" i="16"/>
  <c r="BJ5" i="29"/>
  <c r="BF5" i="18"/>
  <c r="BH5" i="16"/>
  <c r="BE5" i="13"/>
  <c r="AZ5" i="29"/>
  <c r="AZ5" i="18"/>
  <c r="BI5" i="29"/>
  <c r="E39" i="74"/>
  <c r="F24" i="74"/>
  <c r="G27" i="103" l="1"/>
  <c r="G26" i="103"/>
  <c r="J11" i="77"/>
  <c r="J12" i="77" s="1"/>
  <c r="J13" i="77" s="1"/>
  <c r="J14" i="77" s="1"/>
  <c r="J15" i="77" s="1"/>
  <c r="J16" i="77" s="1"/>
  <c r="J17" i="77" s="1"/>
  <c r="J18" i="77" s="1"/>
  <c r="J19" i="77" s="1"/>
  <c r="J20" i="77" s="1"/>
  <c r="J21" i="77" s="1"/>
  <c r="J22" i="77" s="1"/>
  <c r="J23" i="77" s="1"/>
  <c r="J24" i="77" s="1"/>
  <c r="J25" i="77" s="1"/>
  <c r="J26" i="77" s="1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J47" i="77" s="1"/>
  <c r="J48" i="77" s="1"/>
  <c r="J49" i="77" s="1"/>
  <c r="J50" i="77" s="1"/>
  <c r="J51" i="77" s="1"/>
  <c r="J52" i="77" s="1"/>
  <c r="J53" i="77" s="1"/>
  <c r="J54" i="77" s="1"/>
  <c r="J55" i="77" s="1"/>
  <c r="J56" i="77" s="1"/>
  <c r="J57" i="77" s="1"/>
  <c r="J58" i="77" s="1"/>
  <c r="J59" i="77" s="1"/>
  <c r="J60" i="77" s="1"/>
  <c r="J61" i="77" s="1"/>
  <c r="J62" i="77" s="1"/>
  <c r="J63" i="77" s="1"/>
  <c r="J64" i="77" s="1"/>
  <c r="J65" i="77" s="1"/>
  <c r="J66" i="77" s="1"/>
  <c r="J67" i="77" s="1"/>
  <c r="J68" i="77" s="1"/>
  <c r="J69" i="77" s="1"/>
  <c r="J70" i="77" s="1"/>
  <c r="J71" i="77" s="1"/>
  <c r="J72" i="77" s="1"/>
  <c r="J73" i="77" s="1"/>
  <c r="J74" i="77" s="1"/>
  <c r="J75" i="77" s="1"/>
  <c r="J76" i="77" s="1"/>
  <c r="J77" i="77" s="1"/>
  <c r="J78" i="77" s="1"/>
  <c r="J79" i="77" s="1"/>
  <c r="J80" i="77" s="1"/>
  <c r="J81" i="77" s="1"/>
  <c r="J82" i="77" s="1"/>
  <c r="J83" i="77" s="1"/>
  <c r="J84" i="77" s="1"/>
  <c r="J85" i="77" s="1"/>
  <c r="J86" i="77" s="1"/>
  <c r="J87" i="77" s="1"/>
  <c r="J88" i="77" s="1"/>
  <c r="J89" i="77" s="1"/>
  <c r="J90" i="77" s="1"/>
  <c r="J91" i="77" s="1"/>
  <c r="J92" i="77" s="1"/>
  <c r="J93" i="77" s="1"/>
  <c r="J94" i="77" s="1"/>
  <c r="J95" i="77" s="1"/>
  <c r="J96" i="77" s="1"/>
  <c r="J97" i="77" s="1"/>
  <c r="J98" i="77" s="1"/>
  <c r="J99" i="77" s="1"/>
  <c r="J100" i="77" s="1"/>
  <c r="J101" i="77" s="1"/>
  <c r="J102" i="77" s="1"/>
  <c r="J103" i="77" s="1"/>
  <c r="J104" i="77" s="1"/>
  <c r="J105" i="77" s="1"/>
  <c r="J106" i="77" s="1"/>
  <c r="J107" i="77" s="1"/>
  <c r="J108" i="77" s="1"/>
  <c r="J109" i="77" s="1"/>
  <c r="J110" i="77" s="1"/>
  <c r="J111" i="77" s="1"/>
  <c r="J112" i="77" s="1"/>
  <c r="J113" i="77" s="1"/>
  <c r="J114" i="77" s="1"/>
  <c r="J115" i="77" s="1"/>
  <c r="J116" i="77" s="1"/>
  <c r="J117" i="77" s="1"/>
  <c r="J118" i="77" s="1"/>
  <c r="J119" i="77" s="1"/>
  <c r="J120" i="77" s="1"/>
  <c r="J121" i="77" s="1"/>
  <c r="J122" i="77" s="1"/>
  <c r="J123" i="77" s="1"/>
  <c r="J124" i="77" s="1"/>
  <c r="J125" i="77" s="1"/>
  <c r="J126" i="77" s="1"/>
  <c r="J127" i="77" s="1"/>
  <c r="J128" i="77" s="1"/>
  <c r="J129" i="77" s="1"/>
  <c r="J130" i="77" s="1"/>
  <c r="J131" i="77" s="1"/>
  <c r="J132" i="77" s="1"/>
  <c r="J133" i="77" s="1"/>
  <c r="J134" i="77" s="1"/>
  <c r="J135" i="77" s="1"/>
  <c r="J136" i="77" s="1"/>
  <c r="J137" i="77" s="1"/>
  <c r="J138" i="77" s="1"/>
  <c r="J139" i="77" s="1"/>
  <c r="J140" i="77" s="1"/>
  <c r="J141" i="77" s="1"/>
  <c r="J142" i="77" s="1"/>
  <c r="J143" i="77" s="1"/>
  <c r="J144" i="77" s="1"/>
  <c r="J145" i="77" s="1"/>
  <c r="J146" i="77" s="1"/>
  <c r="J147" i="77" s="1"/>
  <c r="J148" i="77" s="1"/>
  <c r="J149" i="77" s="1"/>
  <c r="J150" i="77" s="1"/>
  <c r="J151" i="77" s="1"/>
  <c r="J152" i="77" s="1"/>
  <c r="J153" i="77" s="1"/>
  <c r="J154" i="77" s="1"/>
  <c r="J155" i="77" s="1"/>
  <c r="J156" i="77" s="1"/>
  <c r="J157" i="77" s="1"/>
  <c r="J158" i="77" s="1"/>
  <c r="J159" i="77" s="1"/>
  <c r="J160" i="77" s="1"/>
  <c r="J161" i="77" s="1"/>
  <c r="J162" i="77" s="1"/>
  <c r="J163" i="77" s="1"/>
  <c r="J164" i="77" s="1"/>
  <c r="J165" i="77" s="1"/>
  <c r="J166" i="77" s="1"/>
  <c r="J167" i="77" s="1"/>
  <c r="J168" i="77" s="1"/>
  <c r="J169" i="77" s="1"/>
  <c r="J170" i="77" s="1"/>
  <c r="J171" i="77" s="1"/>
  <c r="J172" i="77" s="1"/>
  <c r="J173" i="77" s="1"/>
  <c r="J174" i="77" s="1"/>
  <c r="J175" i="77" s="1"/>
  <c r="J176" i="77" s="1"/>
  <c r="J177" i="77" s="1"/>
  <c r="J178" i="77" s="1"/>
  <c r="J179" i="77" s="1"/>
  <c r="J180" i="77" s="1"/>
  <c r="J181" i="77" s="1"/>
  <c r="J182" i="77" s="1"/>
  <c r="J183" i="77" s="1"/>
  <c r="J184" i="77" s="1"/>
  <c r="J185" i="77" s="1"/>
  <c r="J186" i="77" s="1"/>
  <c r="J187" i="77" s="1"/>
  <c r="J188" i="77" s="1"/>
  <c r="J189" i="77" s="1"/>
  <c r="J190" i="77" s="1"/>
  <c r="J191" i="77" s="1"/>
  <c r="J192" i="77" s="1"/>
  <c r="J193" i="77" s="1"/>
  <c r="J194" i="77" s="1"/>
  <c r="J195" i="77" s="1"/>
  <c r="J196" i="77" s="1"/>
  <c r="J197" i="77" s="1"/>
  <c r="J198" i="77" s="1"/>
  <c r="J199" i="77" s="1"/>
  <c r="J200" i="77" s="1"/>
  <c r="J201" i="77" s="1"/>
  <c r="J202" i="77" s="1"/>
  <c r="J203" i="77" s="1"/>
  <c r="J204" i="77" s="1"/>
  <c r="J205" i="77" s="1"/>
  <c r="J206" i="77" s="1"/>
  <c r="J207" i="77" s="1"/>
  <c r="J208" i="77" s="1"/>
  <c r="J209" i="77" s="1"/>
  <c r="J210" i="77" s="1"/>
  <c r="J211" i="77" s="1"/>
  <c r="J212" i="77" s="1"/>
  <c r="J213" i="77" s="1"/>
  <c r="J214" i="77" s="1"/>
  <c r="J215" i="77" s="1"/>
  <c r="J216" i="77" s="1"/>
  <c r="J217" i="77" s="1"/>
  <c r="J218" i="77" s="1"/>
  <c r="J219" i="77" s="1"/>
  <c r="J220" i="77" s="1"/>
  <c r="J221" i="77" s="1"/>
  <c r="J222" i="77" s="1"/>
  <c r="J223" i="77" s="1"/>
  <c r="J224" i="77" s="1"/>
  <c r="J225" i="77" s="1"/>
  <c r="J226" i="77" s="1"/>
  <c r="J227" i="77" s="1"/>
  <c r="J228" i="77" s="1"/>
  <c r="J229" i="77" s="1"/>
  <c r="J230" i="77" s="1"/>
  <c r="J231" i="77" s="1"/>
  <c r="J232" i="77" s="1"/>
  <c r="J233" i="77" s="1"/>
  <c r="J234" i="77" s="1"/>
  <c r="J235" i="77" s="1"/>
  <c r="J236" i="77" s="1"/>
  <c r="J237" i="77" s="1"/>
  <c r="J238" i="77" s="1"/>
  <c r="J239" i="77" s="1"/>
  <c r="J240" i="77" s="1"/>
  <c r="J241" i="77" s="1"/>
  <c r="J242" i="77" s="1"/>
  <c r="J243" i="77" s="1"/>
  <c r="J244" i="77" s="1"/>
  <c r="J245" i="77" s="1"/>
  <c r="J246" i="77" s="1"/>
  <c r="J247" i="77" s="1"/>
  <c r="J248" i="77" s="1"/>
  <c r="J249" i="77" s="1"/>
  <c r="J250" i="77" s="1"/>
  <c r="J251" i="77" s="1"/>
  <c r="J252" i="77" s="1"/>
  <c r="J253" i="77" s="1"/>
  <c r="J254" i="77" s="1"/>
  <c r="J255" i="77" s="1"/>
  <c r="J256" i="77" s="1"/>
  <c r="J257" i="77" s="1"/>
  <c r="J258" i="77" s="1"/>
  <c r="J259" i="77" s="1"/>
  <c r="J260" i="77" s="1"/>
  <c r="J261" i="77" s="1"/>
  <c r="J262" i="77" s="1"/>
  <c r="J263" i="77" s="1"/>
  <c r="J264" i="77" s="1"/>
  <c r="J265" i="77" s="1"/>
  <c r="J266" i="77" s="1"/>
  <c r="J267" i="77" s="1"/>
  <c r="J268" i="77" s="1"/>
  <c r="J269" i="77" s="1"/>
  <c r="J270" i="77" s="1"/>
  <c r="J271" i="77" s="1"/>
  <c r="J272" i="77" s="1"/>
  <c r="J273" i="77" s="1"/>
  <c r="J274" i="77" s="1"/>
  <c r="J275" i="77" s="1"/>
  <c r="J276" i="77" s="1"/>
  <c r="J277" i="77" s="1"/>
  <c r="J278" i="77" s="1"/>
  <c r="J279" i="77" s="1"/>
  <c r="J280" i="77" s="1"/>
  <c r="J281" i="77" s="1"/>
  <c r="J282" i="77" s="1"/>
  <c r="J283" i="77" s="1"/>
  <c r="J284" i="77" s="1"/>
  <c r="J285" i="77" s="1"/>
  <c r="J286" i="77" s="1"/>
  <c r="J287" i="77" s="1"/>
  <c r="J288" i="77" s="1"/>
  <c r="J289" i="77" s="1"/>
  <c r="J290" i="77" s="1"/>
  <c r="J291" i="77" s="1"/>
  <c r="J292" i="77" s="1"/>
  <c r="J293" i="77" s="1"/>
  <c r="J294" i="77" s="1"/>
  <c r="J295" i="77" s="1"/>
  <c r="J296" i="77" s="1"/>
  <c r="J297" i="77" s="1"/>
  <c r="J298" i="77" s="1"/>
  <c r="J299" i="77" s="1"/>
  <c r="J300" i="77" s="1"/>
  <c r="J301" i="77" s="1"/>
  <c r="J302" i="77" s="1"/>
  <c r="J303" i="77" s="1"/>
  <c r="J304" i="77" s="1"/>
  <c r="J305" i="77" s="1"/>
  <c r="J306" i="77" s="1"/>
  <c r="J307" i="77" s="1"/>
  <c r="J308" i="77" s="1"/>
  <c r="J309" i="77" s="1"/>
  <c r="J310" i="77" s="1"/>
  <c r="J311" i="77" s="1"/>
  <c r="J312" i="77" s="1"/>
  <c r="J313" i="77" s="1"/>
  <c r="J314" i="77" s="1"/>
  <c r="J315" i="77" s="1"/>
  <c r="J316" i="77" s="1"/>
  <c r="J317" i="77" s="1"/>
  <c r="J318" i="77" s="1"/>
  <c r="J319" i="77" s="1"/>
  <c r="J320" i="77" s="1"/>
  <c r="J321" i="77" s="1"/>
  <c r="J322" i="77" s="1"/>
  <c r="J323" i="77" s="1"/>
  <c r="J324" i="77" s="1"/>
  <c r="J325" i="77" s="1"/>
  <c r="J326" i="77" s="1"/>
  <c r="J327" i="77" s="1"/>
  <c r="J328" i="77" s="1"/>
  <c r="J329" i="77" s="1"/>
  <c r="J330" i="77" s="1"/>
  <c r="J331" i="77" s="1"/>
  <c r="J332" i="77" s="1"/>
  <c r="J333" i="77" s="1"/>
  <c r="J334" i="77" s="1"/>
  <c r="J335" i="77" s="1"/>
  <c r="J336" i="77" s="1"/>
  <c r="J337" i="77" s="1"/>
  <c r="J338" i="77" s="1"/>
  <c r="J339" i="77" s="1"/>
  <c r="J340" i="77" s="1"/>
  <c r="J341" i="77" s="1"/>
  <c r="J342" i="77" s="1"/>
  <c r="J343" i="77" s="1"/>
  <c r="J344" i="77" s="1"/>
  <c r="J345" i="77" s="1"/>
  <c r="J346" i="77" s="1"/>
  <c r="J347" i="77" s="1"/>
  <c r="J348" i="77" s="1"/>
  <c r="J349" i="77" s="1"/>
  <c r="J350" i="77" s="1"/>
  <c r="J351" i="77" s="1"/>
  <c r="J352" i="77" s="1"/>
  <c r="J353" i="77" s="1"/>
  <c r="J354" i="77" s="1"/>
  <c r="J355" i="77" s="1"/>
  <c r="J356" i="77" s="1"/>
  <c r="J357" i="77" s="1"/>
  <c r="J358" i="77" s="1"/>
  <c r="J359" i="77" s="1"/>
  <c r="J360" i="77" s="1"/>
  <c r="J361" i="77" s="1"/>
  <c r="J362" i="77" s="1"/>
  <c r="J363" i="77" s="1"/>
  <c r="J364" i="77" s="1"/>
  <c r="J365" i="77" s="1"/>
  <c r="J366" i="77" s="1"/>
  <c r="J367" i="77" s="1"/>
  <c r="J368" i="77" s="1"/>
  <c r="J369" i="77" s="1"/>
  <c r="J370" i="77" s="1"/>
  <c r="J371" i="77" s="1"/>
  <c r="J372" i="77" s="1"/>
  <c r="J373" i="77" s="1"/>
  <c r="J374" i="77" s="1"/>
  <c r="J375" i="77" s="1"/>
  <c r="J376" i="77" s="1"/>
  <c r="J377" i="77" s="1"/>
  <c r="J378" i="77" s="1"/>
  <c r="J379" i="77" s="1"/>
  <c r="J380" i="77" s="1"/>
  <c r="J381" i="77" s="1"/>
  <c r="J382" i="77" s="1"/>
  <c r="J383" i="77" s="1"/>
  <c r="J384" i="77" s="1"/>
  <c r="J385" i="77" s="1"/>
  <c r="J386" i="77" s="1"/>
  <c r="J387" i="77" s="1"/>
  <c r="J388" i="77" s="1"/>
  <c r="J389" i="77" s="1"/>
  <c r="J390" i="77" s="1"/>
  <c r="J391" i="77" s="1"/>
  <c r="J392" i="77" s="1"/>
  <c r="J393" i="77" s="1"/>
  <c r="J394" i="77" s="1"/>
  <c r="J395" i="77" s="1"/>
  <c r="J396" i="77" s="1"/>
  <c r="J397" i="77" s="1"/>
  <c r="J398" i="77" s="1"/>
  <c r="J399" i="77" s="1"/>
  <c r="J400" i="77" s="1"/>
  <c r="J401" i="77" s="1"/>
  <c r="J402" i="77" s="1"/>
  <c r="J403" i="77" s="1"/>
  <c r="J404" i="77" s="1"/>
  <c r="J405" i="77" s="1"/>
  <c r="J406" i="77" s="1"/>
  <c r="J407" i="77" s="1"/>
  <c r="J408" i="77" s="1"/>
  <c r="J409" i="77" s="1"/>
  <c r="J410" i="77" s="1"/>
  <c r="J411" i="77" s="1"/>
  <c r="J412" i="77" s="1"/>
  <c r="J413" i="77" s="1"/>
  <c r="J414" i="77" s="1"/>
  <c r="J415" i="77" s="1"/>
  <c r="J416" i="77" s="1"/>
  <c r="J417" i="77" s="1"/>
  <c r="J418" i="77" s="1"/>
  <c r="J419" i="77" s="1"/>
  <c r="J420" i="77" s="1"/>
  <c r="J421" i="77" s="1"/>
  <c r="J422" i="77" s="1"/>
  <c r="J423" i="77" s="1"/>
  <c r="J424" i="77" s="1"/>
  <c r="J425" i="77" s="1"/>
  <c r="J426" i="77" s="1"/>
  <c r="J427" i="77" s="1"/>
  <c r="J428" i="77" s="1"/>
  <c r="J429" i="77" s="1"/>
  <c r="J430" i="77" s="1"/>
  <c r="J431" i="77" s="1"/>
  <c r="J432" i="77" s="1"/>
  <c r="J433" i="77" s="1"/>
  <c r="J434" i="77" s="1"/>
  <c r="J435" i="77" s="1"/>
  <c r="J436" i="77" s="1"/>
  <c r="J437" i="77" s="1"/>
  <c r="J438" i="77" s="1"/>
  <c r="J439" i="77" s="1"/>
  <c r="J440" i="77" s="1"/>
  <c r="J441" i="77" s="1"/>
  <c r="J442" i="77" s="1"/>
  <c r="J443" i="77" s="1"/>
  <c r="J444" i="77" s="1"/>
  <c r="J445" i="77" s="1"/>
  <c r="J446" i="77" s="1"/>
  <c r="J447" i="77" s="1"/>
  <c r="J448" i="77" s="1"/>
  <c r="J449" i="77" s="1"/>
  <c r="J450" i="77" s="1"/>
  <c r="J451" i="77" s="1"/>
  <c r="J452" i="77" s="1"/>
  <c r="J453" i="77" s="1"/>
  <c r="J454" i="77" s="1"/>
  <c r="J455" i="77" s="1"/>
  <c r="J456" i="77" s="1"/>
  <c r="J457" i="77" s="1"/>
  <c r="J458" i="77" s="1"/>
  <c r="J459" i="77" s="1"/>
  <c r="J460" i="77" s="1"/>
  <c r="J461" i="77" s="1"/>
  <c r="J462" i="77" s="1"/>
  <c r="J463" i="77" s="1"/>
  <c r="J464" i="77" s="1"/>
  <c r="J465" i="77" s="1"/>
  <c r="J466" i="77" s="1"/>
  <c r="J467" i="77" s="1"/>
  <c r="J468" i="77" s="1"/>
  <c r="J469" i="77" s="1"/>
  <c r="J470" i="77" s="1"/>
  <c r="J471" i="77" s="1"/>
  <c r="J472" i="77" s="1"/>
  <c r="J473" i="77" s="1"/>
  <c r="J474" i="77" s="1"/>
  <c r="J475" i="77" s="1"/>
  <c r="J476" i="77" s="1"/>
  <c r="J477" i="77" s="1"/>
  <c r="J478" i="77" s="1"/>
  <c r="J479" i="77" s="1"/>
  <c r="J480" i="77" s="1"/>
  <c r="J481" i="77" s="1"/>
  <c r="J482" i="77" s="1"/>
  <c r="J483" i="77" s="1"/>
  <c r="J484" i="77" s="1"/>
  <c r="J485" i="77" s="1"/>
  <c r="J486" i="77" s="1"/>
  <c r="J487" i="77" s="1"/>
  <c r="J488" i="77" s="1"/>
  <c r="J489" i="77" s="1"/>
  <c r="J490" i="77" s="1"/>
  <c r="J491" i="77" s="1"/>
  <c r="J492" i="77" s="1"/>
  <c r="J493" i="77" s="1"/>
  <c r="J494" i="77" s="1"/>
  <c r="J495" i="77" s="1"/>
  <c r="J496" i="77" s="1"/>
  <c r="J497" i="77" s="1"/>
  <c r="J498" i="77" s="1"/>
  <c r="J499" i="77" s="1"/>
  <c r="J500" i="77" s="1"/>
  <c r="J501" i="77" s="1"/>
  <c r="J502" i="77" s="1"/>
  <c r="J503" i="77" s="1"/>
  <c r="J504" i="77" s="1"/>
  <c r="J505" i="77" s="1"/>
  <c r="J506" i="77" s="1"/>
  <c r="J507" i="77" s="1"/>
  <c r="J508" i="77" s="1"/>
  <c r="J509" i="77" s="1"/>
  <c r="J510" i="77" s="1"/>
  <c r="J511" i="77" s="1"/>
  <c r="J512" i="77" s="1"/>
  <c r="J513" i="77" s="1"/>
  <c r="J514" i="77" s="1"/>
  <c r="J515" i="77" s="1"/>
  <c r="J516" i="77" s="1"/>
  <c r="J517" i="77" s="1"/>
  <c r="J518" i="77" s="1"/>
  <c r="J519" i="77" s="1"/>
  <c r="J520" i="77" s="1"/>
  <c r="J521" i="77" s="1"/>
  <c r="J522" i="77" s="1"/>
  <c r="J523" i="77" s="1"/>
  <c r="J524" i="77" s="1"/>
  <c r="J525" i="77" s="1"/>
  <c r="J526" i="77" s="1"/>
  <c r="J527" i="77" s="1"/>
  <c r="J528" i="77" s="1"/>
  <c r="J529" i="77" s="1"/>
  <c r="J530" i="77" s="1"/>
  <c r="J531" i="77" s="1"/>
  <c r="J532" i="77" s="1"/>
  <c r="J533" i="77" s="1"/>
  <c r="J534" i="77" s="1"/>
  <c r="J535" i="77" s="1"/>
  <c r="J536" i="77" s="1"/>
  <c r="J537" i="77" s="1"/>
  <c r="J538" i="77" s="1"/>
  <c r="J539" i="77" s="1"/>
  <c r="J540" i="77" s="1"/>
  <c r="J541" i="77" s="1"/>
  <c r="J542" i="77" s="1"/>
  <c r="J543" i="77" s="1"/>
  <c r="J544" i="77" s="1"/>
  <c r="J545" i="77" s="1"/>
  <c r="J546" i="77" s="1"/>
  <c r="J547" i="77" s="1"/>
  <c r="J548" i="77" s="1"/>
  <c r="J549" i="77" s="1"/>
  <c r="J550" i="77" s="1"/>
  <c r="J551" i="77" s="1"/>
  <c r="J552" i="77" s="1"/>
  <c r="J553" i="77" s="1"/>
  <c r="J554" i="77" s="1"/>
  <c r="J555" i="77" s="1"/>
  <c r="J556" i="77" s="1"/>
  <c r="J557" i="77" s="1"/>
  <c r="J558" i="77" s="1"/>
  <c r="J559" i="77" s="1"/>
  <c r="J560" i="77" s="1"/>
  <c r="J561" i="77" s="1"/>
  <c r="J562" i="77" s="1"/>
  <c r="J563" i="77" s="1"/>
  <c r="J564" i="77" s="1"/>
  <c r="J565" i="77" s="1"/>
  <c r="J566" i="77" s="1"/>
  <c r="J567" i="77" s="1"/>
  <c r="J568" i="77" s="1"/>
  <c r="J569" i="77" s="1"/>
  <c r="J570" i="77" s="1"/>
  <c r="J571" i="77" s="1"/>
  <c r="J572" i="77" s="1"/>
  <c r="J573" i="77" s="1"/>
  <c r="J574" i="77" s="1"/>
  <c r="J575" i="77" s="1"/>
  <c r="J576" i="77" s="1"/>
  <c r="J577" i="77" s="1"/>
  <c r="J578" i="77" s="1"/>
  <c r="J579" i="77" s="1"/>
  <c r="J580" i="77" s="1"/>
  <c r="J581" i="77" s="1"/>
  <c r="J582" i="77" s="1"/>
  <c r="J583" i="77" s="1"/>
  <c r="J584" i="77" s="1"/>
  <c r="J585" i="77" s="1"/>
  <c r="J586" i="77" s="1"/>
  <c r="J587" i="77" s="1"/>
  <c r="J588" i="77" s="1"/>
  <c r="J589" i="77" s="1"/>
  <c r="J590" i="77" s="1"/>
  <c r="J591" i="77" s="1"/>
  <c r="J592" i="77" s="1"/>
  <c r="J593" i="77" s="1"/>
  <c r="J594" i="77" s="1"/>
  <c r="J595" i="77" s="1"/>
  <c r="J596" i="77" s="1"/>
  <c r="J597" i="77" s="1"/>
  <c r="J598" i="77" s="1"/>
  <c r="J599" i="77" s="1"/>
  <c r="J600" i="77" s="1"/>
  <c r="J601" i="77" s="1"/>
  <c r="J602" i="77" s="1"/>
  <c r="J603" i="77" s="1"/>
  <c r="J604" i="77" s="1"/>
  <c r="J605" i="77" s="1"/>
  <c r="J606" i="77" s="1"/>
  <c r="J607" i="77" s="1"/>
  <c r="J608" i="77" s="1"/>
  <c r="J609" i="77" s="1"/>
  <c r="J610" i="77" s="1"/>
  <c r="J611" i="77" s="1"/>
  <c r="J612" i="77" s="1"/>
  <c r="J613" i="77" s="1"/>
  <c r="J614" i="77" s="1"/>
  <c r="J615" i="77" s="1"/>
  <c r="J616" i="77" s="1"/>
  <c r="J617" i="77" s="1"/>
  <c r="J618" i="77" s="1"/>
  <c r="J619" i="77" s="1"/>
  <c r="J620" i="77" s="1"/>
  <c r="J621" i="77" s="1"/>
  <c r="J622" i="77" s="1"/>
  <c r="J623" i="77" s="1"/>
  <c r="J624" i="77" s="1"/>
  <c r="J625" i="77" s="1"/>
  <c r="J626" i="77" s="1"/>
  <c r="J627" i="77" s="1"/>
  <c r="J628" i="77" s="1"/>
  <c r="J629" i="77" s="1"/>
  <c r="J630" i="77" s="1"/>
  <c r="J631" i="77" s="1"/>
  <c r="J632" i="77" s="1"/>
  <c r="J633" i="77" s="1"/>
  <c r="J634" i="77" s="1"/>
  <c r="J635" i="77" s="1"/>
  <c r="J636" i="77" s="1"/>
  <c r="J637" i="77" s="1"/>
  <c r="J638" i="77" s="1"/>
  <c r="J639" i="77" s="1"/>
  <c r="J640" i="77" s="1"/>
  <c r="J641" i="77" s="1"/>
  <c r="J642" i="77" s="1"/>
  <c r="J643" i="77" s="1"/>
  <c r="J644" i="77" s="1"/>
  <c r="J645" i="77" s="1"/>
  <c r="J646" i="77" s="1"/>
  <c r="J647" i="77" s="1"/>
  <c r="J648" i="77" s="1"/>
  <c r="J649" i="77" s="1"/>
  <c r="J650" i="77" s="1"/>
  <c r="J651" i="77" s="1"/>
  <c r="J652" i="77" s="1"/>
  <c r="J653" i="77" s="1"/>
  <c r="J654" i="77" s="1"/>
  <c r="J655" i="77" s="1"/>
  <c r="J656" i="77" s="1"/>
  <c r="J657" i="77" s="1"/>
  <c r="J658" i="77" s="1"/>
  <c r="J659" i="77" s="1"/>
  <c r="J660" i="77" s="1"/>
  <c r="J661" i="77" s="1"/>
  <c r="J662" i="77" s="1"/>
  <c r="J663" i="77" s="1"/>
  <c r="J664" i="77" s="1"/>
  <c r="J665" i="77" s="1"/>
  <c r="J666" i="77" s="1"/>
  <c r="J667" i="77" s="1"/>
  <c r="J668" i="77" s="1"/>
  <c r="J669" i="77" s="1"/>
  <c r="J670" i="77" s="1"/>
  <c r="J671" i="77" s="1"/>
  <c r="J672" i="77" s="1"/>
  <c r="J673" i="77" s="1"/>
  <c r="J674" i="77" s="1"/>
  <c r="J675" i="77" s="1"/>
  <c r="J676" i="77" s="1"/>
  <c r="J677" i="77" s="1"/>
  <c r="J678" i="77" s="1"/>
  <c r="J679" i="77" s="1"/>
  <c r="J680" i="77" s="1"/>
  <c r="J681" i="77" s="1"/>
  <c r="J682" i="77" s="1"/>
  <c r="J683" i="77" s="1"/>
  <c r="J684" i="77" s="1"/>
  <c r="J685" i="77" s="1"/>
  <c r="J686" i="77" s="1"/>
  <c r="J687" i="77" s="1"/>
  <c r="J688" i="77" s="1"/>
  <c r="J689" i="77" s="1"/>
  <c r="J690" i="77" s="1"/>
  <c r="J691" i="77" s="1"/>
  <c r="J692" i="77" s="1"/>
  <c r="J693" i="77" s="1"/>
  <c r="J694" i="77" s="1"/>
  <c r="J695" i="77" s="1"/>
  <c r="J696" i="77" s="1"/>
  <c r="J697" i="77" s="1"/>
  <c r="J698" i="77" s="1"/>
  <c r="J699" i="77" s="1"/>
  <c r="J700" i="77" s="1"/>
  <c r="J701" i="77" s="1"/>
  <c r="J702" i="77" s="1"/>
  <c r="J703" i="77" s="1"/>
  <c r="J704" i="77" s="1"/>
  <c r="J705" i="77" s="1"/>
  <c r="J706" i="77" s="1"/>
  <c r="J707" i="77" s="1"/>
  <c r="J708" i="77" s="1"/>
  <c r="J709" i="77" s="1"/>
  <c r="J710" i="77" s="1"/>
  <c r="J711" i="77" s="1"/>
  <c r="J712" i="77" s="1"/>
  <c r="J713" i="77" s="1"/>
  <c r="J714" i="77" s="1"/>
  <c r="J715" i="77" s="1"/>
  <c r="J716" i="77" s="1"/>
  <c r="J717" i="77" s="1"/>
  <c r="J718" i="77" s="1"/>
  <c r="J719" i="77" s="1"/>
  <c r="J720" i="77" s="1"/>
  <c r="J721" i="77" s="1"/>
  <c r="J722" i="77" s="1"/>
  <c r="J723" i="77" s="1"/>
  <c r="J724" i="77" s="1"/>
  <c r="J725" i="77" s="1"/>
  <c r="J726" i="77" s="1"/>
  <c r="J727" i="77" s="1"/>
  <c r="J728" i="77" s="1"/>
  <c r="J729" i="77" s="1"/>
  <c r="J730" i="77" s="1"/>
  <c r="J731" i="77" s="1"/>
  <c r="J732" i="77" s="1"/>
  <c r="J733" i="77" s="1"/>
  <c r="J734" i="77" s="1"/>
  <c r="J735" i="77" s="1"/>
  <c r="J736" i="77" s="1"/>
  <c r="J737" i="77" s="1"/>
  <c r="J738" i="77" s="1"/>
  <c r="J739" i="77" s="1"/>
  <c r="J740" i="77" s="1"/>
  <c r="J741" i="77" s="1"/>
  <c r="J742" i="77" s="1"/>
  <c r="J743" i="77" s="1"/>
  <c r="J744" i="77" s="1"/>
  <c r="J745" i="77" s="1"/>
  <c r="J746" i="77" s="1"/>
  <c r="J747" i="77" s="1"/>
  <c r="J748" i="77" s="1"/>
  <c r="J749" i="77" s="1"/>
  <c r="J750" i="77" s="1"/>
  <c r="J751" i="77" s="1"/>
  <c r="J752" i="77" s="1"/>
  <c r="J753" i="77" s="1"/>
  <c r="J754" i="77" s="1"/>
  <c r="J755" i="77" s="1"/>
  <c r="J756" i="77" s="1"/>
  <c r="J757" i="77" s="1"/>
  <c r="J758" i="77" s="1"/>
  <c r="J759" i="77" s="1"/>
  <c r="J760" i="77" s="1"/>
  <c r="J761" i="77" s="1"/>
  <c r="J762" i="77" s="1"/>
  <c r="J763" i="77" s="1"/>
  <c r="J764" i="77" s="1"/>
  <c r="J765" i="77" s="1"/>
  <c r="J766" i="77" s="1"/>
  <c r="J767" i="77" s="1"/>
  <c r="J768" i="77" s="1"/>
  <c r="J769" i="77" s="1"/>
  <c r="J770" i="77" s="1"/>
  <c r="J771" i="77" s="1"/>
  <c r="J772" i="77" s="1"/>
  <c r="J773" i="77" s="1"/>
  <c r="J774" i="77" s="1"/>
  <c r="J775" i="77" s="1"/>
  <c r="J776" i="77" s="1"/>
  <c r="J777" i="77" s="1"/>
  <c r="J778" i="77" s="1"/>
  <c r="J779" i="77" s="1"/>
  <c r="J780" i="77" s="1"/>
  <c r="J781" i="77" s="1"/>
  <c r="J782" i="77" s="1"/>
  <c r="J783" i="77" s="1"/>
  <c r="J784" i="77" s="1"/>
  <c r="J785" i="77" s="1"/>
  <c r="J786" i="77" s="1"/>
  <c r="J787" i="77" s="1"/>
  <c r="J788" i="77" s="1"/>
  <c r="J789" i="77" s="1"/>
  <c r="J790" i="77" s="1"/>
  <c r="J791" i="77" s="1"/>
  <c r="J792" i="77" s="1"/>
  <c r="J793" i="77" s="1"/>
  <c r="J794" i="77" s="1"/>
  <c r="J795" i="77" s="1"/>
  <c r="J796" i="77" s="1"/>
  <c r="J797" i="77" s="1"/>
  <c r="J798" i="77" s="1"/>
  <c r="J799" i="77" s="1"/>
  <c r="J800" i="77" s="1"/>
  <c r="J801" i="77" s="1"/>
  <c r="J802" i="77" s="1"/>
  <c r="J803" i="77" s="1"/>
  <c r="J804" i="77" s="1"/>
  <c r="J805" i="77" s="1"/>
  <c r="J806" i="77" s="1"/>
  <c r="J807" i="77" s="1"/>
  <c r="J808" i="77" s="1"/>
  <c r="J809" i="77" s="1"/>
  <c r="J810" i="77" s="1"/>
  <c r="J811" i="77" s="1"/>
  <c r="J812" i="77" s="1"/>
  <c r="J813" i="77" s="1"/>
  <c r="J814" i="77" s="1"/>
  <c r="J815" i="77" s="1"/>
  <c r="J816" i="77" s="1"/>
  <c r="J817" i="77" s="1"/>
  <c r="J818" i="77" s="1"/>
  <c r="J819" i="77" s="1"/>
  <c r="J820" i="77" s="1"/>
  <c r="J821" i="77" s="1"/>
  <c r="J822" i="77" s="1"/>
  <c r="J823" i="77" s="1"/>
  <c r="J824" i="77" s="1"/>
  <c r="J825" i="77" s="1"/>
  <c r="J826" i="77" s="1"/>
  <c r="J827" i="77" s="1"/>
  <c r="J828" i="77" s="1"/>
  <c r="J829" i="77" s="1"/>
  <c r="J830" i="77" s="1"/>
  <c r="J831" i="77" s="1"/>
  <c r="J832" i="77" s="1"/>
  <c r="J833" i="77" s="1"/>
  <c r="J834" i="77" s="1"/>
  <c r="J835" i="77" s="1"/>
  <c r="J836" i="77" s="1"/>
  <c r="J837" i="77" s="1"/>
  <c r="J838" i="77" s="1"/>
  <c r="J839" i="77" s="1"/>
  <c r="J840" i="77" s="1"/>
  <c r="J841" i="77" s="1"/>
  <c r="J842" i="77" s="1"/>
  <c r="J843" i="77" s="1"/>
  <c r="J844" i="77" s="1"/>
  <c r="J845" i="77" s="1"/>
  <c r="J846" i="77" s="1"/>
  <c r="J847" i="77" s="1"/>
  <c r="J848" i="77" s="1"/>
  <c r="J849" i="77" s="1"/>
  <c r="J850" i="77" s="1"/>
  <c r="J851" i="77" s="1"/>
  <c r="J852" i="77" s="1"/>
  <c r="J853" i="77" s="1"/>
  <c r="J854" i="77" s="1"/>
  <c r="J855" i="77" s="1"/>
  <c r="J856" i="77" s="1"/>
  <c r="J857" i="77" s="1"/>
  <c r="J858" i="77" s="1"/>
  <c r="J859" i="77" s="1"/>
  <c r="J860" i="77" s="1"/>
  <c r="J861" i="77" s="1"/>
  <c r="J862" i="77" s="1"/>
  <c r="J863" i="77" s="1"/>
  <c r="J864" i="77" s="1"/>
  <c r="J865" i="77" s="1"/>
  <c r="J866" i="77" s="1"/>
  <c r="J867" i="77" s="1"/>
  <c r="J868" i="77" s="1"/>
  <c r="J869" i="77" s="1"/>
  <c r="J870" i="77" s="1"/>
  <c r="J871" i="77" s="1"/>
  <c r="J872" i="77" s="1"/>
  <c r="J873" i="77" s="1"/>
  <c r="J874" i="77" s="1"/>
  <c r="J875" i="77" s="1"/>
  <c r="J876" i="77" s="1"/>
  <c r="J877" i="77" s="1"/>
  <c r="J878" i="77" s="1"/>
  <c r="J879" i="77" s="1"/>
  <c r="J880" i="77" s="1"/>
  <c r="J881" i="77" s="1"/>
  <c r="J882" i="77" s="1"/>
  <c r="J883" i="77" s="1"/>
  <c r="J884" i="77" s="1"/>
  <c r="J885" i="77" s="1"/>
  <c r="J886" i="77" s="1"/>
  <c r="J887" i="77" s="1"/>
  <c r="J888" i="77" s="1"/>
  <c r="J889" i="77" s="1"/>
  <c r="J890" i="77" s="1"/>
  <c r="J891" i="77" s="1"/>
  <c r="J892" i="77" s="1"/>
  <c r="J893" i="77" s="1"/>
  <c r="J894" i="77" s="1"/>
  <c r="J895" i="77" s="1"/>
  <c r="J896" i="77" s="1"/>
  <c r="J897" i="77" s="1"/>
  <c r="J898" i="77" s="1"/>
  <c r="J899" i="77" s="1"/>
  <c r="J900" i="77" s="1"/>
  <c r="J901" i="77" s="1"/>
  <c r="J902" i="77" s="1"/>
  <c r="J903" i="77" s="1"/>
  <c r="J904" i="77" s="1"/>
  <c r="J905" i="77" s="1"/>
  <c r="J906" i="77" s="1"/>
  <c r="J907" i="77" s="1"/>
  <c r="J908" i="77" s="1"/>
  <c r="J909" i="77" s="1"/>
  <c r="J910" i="77" s="1"/>
  <c r="J911" i="77" s="1"/>
  <c r="J912" i="77" s="1"/>
  <c r="J913" i="77" s="1"/>
  <c r="J914" i="77" s="1"/>
  <c r="J915" i="77" s="1"/>
  <c r="J916" i="77" s="1"/>
  <c r="J917" i="77" s="1"/>
  <c r="J918" i="77" s="1"/>
  <c r="J919" i="77" s="1"/>
  <c r="J920" i="77" s="1"/>
  <c r="J921" i="77" s="1"/>
  <c r="J922" i="77" s="1"/>
  <c r="J923" i="77" s="1"/>
  <c r="J924" i="77" s="1"/>
  <c r="J925" i="77" s="1"/>
  <c r="J926" i="77" s="1"/>
  <c r="J927" i="77" s="1"/>
  <c r="J928" i="77" s="1"/>
  <c r="J929" i="77" s="1"/>
  <c r="J930" i="77" s="1"/>
  <c r="J931" i="77" s="1"/>
  <c r="J932" i="77" s="1"/>
  <c r="J933" i="77" s="1"/>
  <c r="J934" i="77" s="1"/>
  <c r="J935" i="77" s="1"/>
  <c r="J936" i="77" s="1"/>
  <c r="J937" i="77" s="1"/>
  <c r="J938" i="77" s="1"/>
  <c r="J939" i="77" s="1"/>
  <c r="J940" i="77" s="1"/>
  <c r="J941" i="77" s="1"/>
  <c r="J942" i="77" s="1"/>
  <c r="J943" i="77" s="1"/>
  <c r="J944" i="77" s="1"/>
  <c r="J945" i="77" s="1"/>
  <c r="J946" i="77" s="1"/>
  <c r="J947" i="77" s="1"/>
  <c r="J948" i="77" s="1"/>
  <c r="J949" i="77" s="1"/>
  <c r="J950" i="77" s="1"/>
  <c r="J951" i="77" s="1"/>
  <c r="J952" i="77" s="1"/>
  <c r="J953" i="77" s="1"/>
  <c r="J954" i="77" s="1"/>
  <c r="J955" i="77" s="1"/>
  <c r="J956" i="77" s="1"/>
  <c r="J957" i="77" s="1"/>
  <c r="J958" i="77" s="1"/>
  <c r="J959" i="77" s="1"/>
  <c r="J960" i="77" s="1"/>
  <c r="J961" i="77" s="1"/>
  <c r="J962" i="77" s="1"/>
  <c r="J963" i="77" s="1"/>
  <c r="J964" i="77" s="1"/>
  <c r="J965" i="77" s="1"/>
  <c r="J966" i="77" s="1"/>
  <c r="J967" i="77" s="1"/>
  <c r="J968" i="77" s="1"/>
  <c r="J969" i="77" s="1"/>
  <c r="J970" i="77" s="1"/>
  <c r="J971" i="77" s="1"/>
  <c r="J972" i="77" s="1"/>
  <c r="J973" i="77" s="1"/>
  <c r="J974" i="77" s="1"/>
  <c r="J975" i="77" s="1"/>
  <c r="J976" i="77" s="1"/>
  <c r="J977" i="77" s="1"/>
  <c r="J978" i="77" s="1"/>
  <c r="J979" i="77" s="1"/>
  <c r="J980" i="77" s="1"/>
  <c r="J981" i="77" s="1"/>
  <c r="J982" i="77" s="1"/>
  <c r="J983" i="77" s="1"/>
  <c r="J984" i="77" s="1"/>
  <c r="J985" i="77" s="1"/>
  <c r="J986" i="77" s="1"/>
  <c r="J987" i="77" s="1"/>
  <c r="J988" i="77" s="1"/>
  <c r="J989" i="77" s="1"/>
  <c r="J990" i="77" s="1"/>
  <c r="J991" i="77" s="1"/>
  <c r="J992" i="77" s="1"/>
  <c r="J993" i="77" s="1"/>
  <c r="J994" i="77" s="1"/>
  <c r="J995" i="77" s="1"/>
  <c r="J996" i="77" s="1"/>
  <c r="J997" i="77" s="1"/>
  <c r="J998" i="77" s="1"/>
  <c r="J999" i="77" s="1"/>
  <c r="J1000" i="77" s="1"/>
  <c r="J1001" i="77" s="1"/>
  <c r="J1002" i="77" s="1"/>
  <c r="J1003" i="77" s="1"/>
  <c r="J1004" i="77" s="1"/>
  <c r="J1005" i="77" s="1"/>
  <c r="J1006" i="77" s="1"/>
  <c r="J1007" i="77" s="1"/>
  <c r="J1008" i="77" s="1"/>
  <c r="J1009" i="77" s="1"/>
  <c r="J1010" i="77" s="1"/>
  <c r="J1011" i="77" s="1"/>
  <c r="J1012" i="77" s="1"/>
  <c r="J1013" i="77" s="1"/>
  <c r="J1014" i="77" s="1"/>
  <c r="J1015" i="77" s="1"/>
  <c r="J1016" i="77" s="1"/>
  <c r="J1017" i="77" s="1"/>
  <c r="J1018" i="77" s="1"/>
  <c r="J1019" i="77" s="1"/>
  <c r="J1020" i="77" s="1"/>
  <c r="J1021" i="77" s="1"/>
  <c r="J1022" i="77" s="1"/>
  <c r="J1023" i="77" s="1"/>
  <c r="J1024" i="77" s="1"/>
  <c r="J1025" i="77" s="1"/>
  <c r="J1026" i="77" s="1"/>
  <c r="J1027" i="77" s="1"/>
  <c r="J1028" i="77" s="1"/>
  <c r="J1029" i="77" s="1"/>
  <c r="J1030" i="77" s="1"/>
  <c r="J1031" i="77" s="1"/>
  <c r="J1032" i="77" s="1"/>
  <c r="J1033" i="77" s="1"/>
  <c r="J1034" i="77" s="1"/>
  <c r="J1035" i="77" s="1"/>
  <c r="J1036" i="77" s="1"/>
  <c r="J1037" i="77" s="1"/>
  <c r="J1038" i="77" s="1"/>
  <c r="J1039" i="77" s="1"/>
  <c r="J1040" i="77" s="1"/>
  <c r="J1041" i="77" s="1"/>
  <c r="J1042" i="77" s="1"/>
  <c r="J1043" i="77" s="1"/>
  <c r="J1044" i="77" s="1"/>
  <c r="J1045" i="77" s="1"/>
  <c r="J1046" i="77" s="1"/>
  <c r="J1047" i="77" s="1"/>
  <c r="J1048" i="77" s="1"/>
  <c r="J1049" i="77" s="1"/>
  <c r="J1050" i="77" s="1"/>
  <c r="J1051" i="77" s="1"/>
  <c r="J1052" i="77" s="1"/>
  <c r="J1053" i="77" s="1"/>
  <c r="J1054" i="77" s="1"/>
  <c r="J1055" i="77" s="1"/>
  <c r="J1056" i="77" s="1"/>
  <c r="J1057" i="77" s="1"/>
  <c r="J1058" i="77" s="1"/>
  <c r="J1059" i="77" s="1"/>
  <c r="J1060" i="77" s="1"/>
  <c r="J1061" i="77" s="1"/>
  <c r="J1062" i="77" s="1"/>
  <c r="J1063" i="77" s="1"/>
  <c r="J1064" i="77" s="1"/>
  <c r="J1065" i="77" s="1"/>
  <c r="J1066" i="77" s="1"/>
  <c r="J1067" i="77" s="1"/>
  <c r="J1068" i="77" s="1"/>
  <c r="J1069" i="77" s="1"/>
  <c r="J1070" i="77" s="1"/>
  <c r="J1071" i="77" s="1"/>
  <c r="J1072" i="77" s="1"/>
  <c r="J1073" i="77" s="1"/>
  <c r="J1074" i="77" s="1"/>
  <c r="J1075" i="77" s="1"/>
  <c r="J1076" i="77" s="1"/>
  <c r="J1077" i="77" s="1"/>
  <c r="J1078" i="77" s="1"/>
  <c r="J1079" i="77" s="1"/>
  <c r="J1080" i="77" s="1"/>
  <c r="J1081" i="77" s="1"/>
  <c r="J1082" i="77" s="1"/>
  <c r="J1083" i="77" s="1"/>
  <c r="J1084" i="77" s="1"/>
  <c r="J1085" i="77" s="1"/>
  <c r="J1086" i="77" s="1"/>
  <c r="J1087" i="77" s="1"/>
  <c r="J1088" i="77" s="1"/>
  <c r="J1089" i="77" s="1"/>
  <c r="J1090" i="77" s="1"/>
  <c r="J1091" i="77" s="1"/>
  <c r="J1092" i="77" s="1"/>
  <c r="J1093" i="77" s="1"/>
  <c r="J1094" i="77" s="1"/>
  <c r="J1095" i="77" s="1"/>
  <c r="J1096" i="77" s="1"/>
  <c r="J1097" i="77" s="1"/>
  <c r="J1098" i="77" s="1"/>
  <c r="J1099" i="77" s="1"/>
  <c r="J1100" i="77" s="1"/>
  <c r="J1101" i="77" s="1"/>
  <c r="J1102" i="77" s="1"/>
  <c r="J1103" i="77" s="1"/>
  <c r="J1104" i="77" s="1"/>
  <c r="J1105" i="77" s="1"/>
  <c r="J1106" i="77" s="1"/>
  <c r="J1107" i="77" s="1"/>
  <c r="J1108" i="77" s="1"/>
  <c r="J1109" i="77" s="1"/>
  <c r="J1110" i="77" s="1"/>
  <c r="J1111" i="77" s="1"/>
  <c r="J1112" i="77" s="1"/>
  <c r="J1113" i="77" s="1"/>
  <c r="J1114" i="77" s="1"/>
  <c r="J1115" i="77" s="1"/>
  <c r="J1116" i="77" s="1"/>
  <c r="J1117" i="77" s="1"/>
  <c r="J1118" i="77" s="1"/>
  <c r="J1119" i="77" s="1"/>
  <c r="J1120" i="77" s="1"/>
  <c r="J1121" i="77" s="1"/>
  <c r="J1122" i="77" s="1"/>
  <c r="J1123" i="77" s="1"/>
  <c r="J1124" i="77" s="1"/>
  <c r="J1125" i="77" s="1"/>
  <c r="J1126" i="77" s="1"/>
  <c r="J1127" i="77" s="1"/>
  <c r="J1128" i="77" s="1"/>
  <c r="J1129" i="77" s="1"/>
  <c r="J1130" i="77" s="1"/>
  <c r="J1131" i="77" s="1"/>
  <c r="J1132" i="77" s="1"/>
  <c r="J1133" i="77" s="1"/>
  <c r="J1134" i="77" s="1"/>
  <c r="J1135" i="77" s="1"/>
  <c r="J1136" i="77" s="1"/>
  <c r="J1137" i="77" s="1"/>
  <c r="J1138" i="77" s="1"/>
  <c r="J1139" i="77" s="1"/>
  <c r="J1140" i="77" s="1"/>
  <c r="J1141" i="77" s="1"/>
  <c r="J1142" i="77" s="1"/>
  <c r="J1143" i="77" s="1"/>
  <c r="J1144" i="77" s="1"/>
  <c r="J1145" i="77" s="1"/>
  <c r="J1146" i="77" s="1"/>
  <c r="J1147" i="77" s="1"/>
  <c r="J1148" i="77" s="1"/>
  <c r="J1149" i="77" s="1"/>
  <c r="J1150" i="77" s="1"/>
  <c r="J1151" i="77" s="1"/>
  <c r="J1152" i="77" s="1"/>
  <c r="J1153" i="77" s="1"/>
  <c r="J1154" i="77" s="1"/>
  <c r="J1155" i="77" s="1"/>
  <c r="J1156" i="77" s="1"/>
  <c r="J1157" i="77" s="1"/>
  <c r="J1158" i="77" s="1"/>
  <c r="J1159" i="77" s="1"/>
  <c r="J1160" i="77" s="1"/>
  <c r="J1161" i="77" s="1"/>
  <c r="J1162" i="77" s="1"/>
  <c r="J1163" i="77" s="1"/>
  <c r="J1164" i="77" s="1"/>
  <c r="J1165" i="77" s="1"/>
  <c r="J1166" i="77" s="1"/>
  <c r="J1167" i="77" s="1"/>
  <c r="J1168" i="77" s="1"/>
  <c r="J1169" i="77" s="1"/>
  <c r="J1170" i="77" s="1"/>
  <c r="J1171" i="77" s="1"/>
  <c r="J1172" i="77" s="1"/>
  <c r="J1173" i="77" s="1"/>
  <c r="J1174" i="77" s="1"/>
  <c r="J1175" i="77" s="1"/>
  <c r="J1176" i="77" s="1"/>
  <c r="J1177" i="77" s="1"/>
  <c r="J1178" i="77" s="1"/>
  <c r="J1179" i="77" s="1"/>
  <c r="J1180" i="77" s="1"/>
  <c r="J1181" i="77" s="1"/>
  <c r="J1182" i="77" s="1"/>
  <c r="J1183" i="77" s="1"/>
  <c r="J1184" i="77" s="1"/>
  <c r="J1185" i="77" s="1"/>
  <c r="J1186" i="77" s="1"/>
  <c r="J1187" i="77" s="1"/>
  <c r="J1188" i="77" s="1"/>
  <c r="J1189" i="77" s="1"/>
  <c r="J1190" i="77" s="1"/>
  <c r="J1191" i="77" s="1"/>
  <c r="J1192" i="77" s="1"/>
  <c r="J1193" i="77" s="1"/>
  <c r="J1194" i="77" s="1"/>
  <c r="J1195" i="77" s="1"/>
  <c r="J1196" i="77" s="1"/>
  <c r="J1197" i="77" s="1"/>
  <c r="J1198" i="77" s="1"/>
  <c r="J1199" i="77" s="1"/>
  <c r="J1200" i="77" s="1"/>
  <c r="J1201" i="77" s="1"/>
  <c r="J1202" i="77" s="1"/>
  <c r="J1203" i="77" s="1"/>
  <c r="J1204" i="77" s="1"/>
  <c r="J1205" i="77" s="1"/>
  <c r="J1206" i="77" s="1"/>
  <c r="J1207" i="77" s="1"/>
  <c r="J1208" i="77" s="1"/>
  <c r="J1209" i="77" s="1"/>
  <c r="J1210" i="77" s="1"/>
  <c r="J1211" i="77" s="1"/>
  <c r="J1212" i="77" s="1"/>
  <c r="J1213" i="77" s="1"/>
  <c r="J1214" i="77" s="1"/>
  <c r="J1215" i="77" s="1"/>
  <c r="J1216" i="77" s="1"/>
  <c r="J1217" i="77" s="1"/>
  <c r="J1218" i="77" s="1"/>
  <c r="J1219" i="77" s="1"/>
  <c r="J1220" i="77" s="1"/>
  <c r="J1221" i="77" s="1"/>
  <c r="J1222" i="77" s="1"/>
  <c r="J1223" i="77" s="1"/>
  <c r="J1224" i="77" s="1"/>
  <c r="J1225" i="77" s="1"/>
  <c r="J1226" i="77" s="1"/>
  <c r="J1227" i="77" s="1"/>
  <c r="J1228" i="77" s="1"/>
  <c r="J1229" i="77" s="1"/>
  <c r="J1230" i="77" s="1"/>
  <c r="J1231" i="77" s="1"/>
  <c r="J1232" i="77" s="1"/>
  <c r="J1233" i="77" s="1"/>
  <c r="J1234" i="77" s="1"/>
  <c r="J1235" i="77" s="1"/>
  <c r="J1236" i="77" s="1"/>
  <c r="J1237" i="77" s="1"/>
  <c r="J1238" i="77" s="1"/>
  <c r="J1239" i="77" s="1"/>
  <c r="J1240" i="77" s="1"/>
  <c r="J1241" i="77" s="1"/>
  <c r="J1242" i="77" s="1"/>
  <c r="J1243" i="77" s="1"/>
  <c r="J1244" i="77" s="1"/>
  <c r="J1245" i="77" s="1"/>
  <c r="J1246" i="77" s="1"/>
  <c r="J1247" i="77" s="1"/>
  <c r="J1248" i="77" s="1"/>
  <c r="J1249" i="77" s="1"/>
  <c r="J1250" i="77" s="1"/>
  <c r="J1251" i="77" s="1"/>
  <c r="J1252" i="77" s="1"/>
  <c r="J1253" i="77" s="1"/>
  <c r="J1254" i="77" s="1"/>
  <c r="J1255" i="77" s="1"/>
  <c r="J1256" i="77" s="1"/>
  <c r="J1257" i="77" s="1"/>
  <c r="J1258" i="77" s="1"/>
  <c r="J1259" i="77" s="1"/>
  <c r="J1260" i="77" s="1"/>
  <c r="J1261" i="77" s="1"/>
  <c r="J1262" i="77" s="1"/>
  <c r="J1263" i="77" s="1"/>
  <c r="J1264" i="77" s="1"/>
  <c r="J1265" i="77" s="1"/>
  <c r="J1266" i="77" s="1"/>
  <c r="J1267" i="77" s="1"/>
  <c r="J1268" i="77" s="1"/>
  <c r="J1269" i="77" s="1"/>
  <c r="J1270" i="77" s="1"/>
  <c r="J1271" i="77" s="1"/>
  <c r="J1272" i="77" s="1"/>
  <c r="J1273" i="77" s="1"/>
  <c r="J1274" i="77" s="1"/>
  <c r="J1275" i="77" s="1"/>
  <c r="J1276" i="77" s="1"/>
  <c r="J1277" i="77" s="1"/>
  <c r="J1278" i="77" s="1"/>
  <c r="J1279" i="77" s="1"/>
  <c r="J1280" i="77" s="1"/>
  <c r="J1281" i="77" s="1"/>
  <c r="J1282" i="77" s="1"/>
  <c r="J1283" i="77" s="1"/>
  <c r="J1284" i="77" s="1"/>
  <c r="J1285" i="77" s="1"/>
  <c r="J1286" i="77" s="1"/>
  <c r="J1287" i="77" s="1"/>
  <c r="J1288" i="77" s="1"/>
  <c r="J1289" i="77" s="1"/>
  <c r="J1290" i="77" s="1"/>
  <c r="J1291" i="77" s="1"/>
  <c r="J1292" i="77" s="1"/>
  <c r="J1293" i="77" s="1"/>
  <c r="J1294" i="77" s="1"/>
  <c r="J1295" i="77" s="1"/>
  <c r="J1296" i="77" s="1"/>
  <c r="J1297" i="77" s="1"/>
  <c r="J1298" i="77" s="1"/>
  <c r="J1299" i="77" s="1"/>
  <c r="J1300" i="77" s="1"/>
  <c r="J1301" i="77" s="1"/>
  <c r="J1302" i="77" s="1"/>
  <c r="J1303" i="77" s="1"/>
  <c r="J1304" i="77" s="1"/>
  <c r="J1305" i="77" s="1"/>
  <c r="J1306" i="77" s="1"/>
  <c r="J1307" i="77" s="1"/>
  <c r="J1308" i="77" s="1"/>
  <c r="J1309" i="77" s="1"/>
  <c r="J1310" i="77" s="1"/>
  <c r="J1311" i="77" s="1"/>
  <c r="J1312" i="77" s="1"/>
  <c r="J1313" i="77" s="1"/>
  <c r="J1314" i="77" s="1"/>
  <c r="J1315" i="77" s="1"/>
  <c r="J1316" i="77" s="1"/>
  <c r="J1317" i="77" s="1"/>
  <c r="J1318" i="77" s="1"/>
  <c r="J1319" i="77" s="1"/>
  <c r="J1320" i="77" s="1"/>
  <c r="J1321" i="77" s="1"/>
  <c r="J1322" i="77" s="1"/>
  <c r="J1323" i="77" s="1"/>
  <c r="J1324" i="77" s="1"/>
  <c r="J1325" i="77" s="1"/>
  <c r="J1326" i="77" s="1"/>
  <c r="J1327" i="77" s="1"/>
  <c r="J1328" i="77" s="1"/>
  <c r="J1329" i="77" s="1"/>
  <c r="J1330" i="77" s="1"/>
  <c r="J1331" i="77" s="1"/>
  <c r="J1332" i="77" s="1"/>
  <c r="J1333" i="77" s="1"/>
  <c r="J1334" i="77" s="1"/>
  <c r="J1335" i="77" s="1"/>
  <c r="J1336" i="77" s="1"/>
  <c r="J1337" i="77" s="1"/>
  <c r="J1338" i="77" s="1"/>
  <c r="J1339" i="77" s="1"/>
  <c r="J1340" i="77" s="1"/>
  <c r="J1341" i="77" s="1"/>
  <c r="J1342" i="77" s="1"/>
  <c r="J1343" i="77" s="1"/>
  <c r="J1344" i="77" s="1"/>
  <c r="J1345" i="77" s="1"/>
  <c r="J1346" i="77" s="1"/>
  <c r="J1347" i="77" s="1"/>
  <c r="J1348" i="77" s="1"/>
  <c r="J1349" i="77" s="1"/>
  <c r="J1350" i="77" s="1"/>
  <c r="J1351" i="77" s="1"/>
  <c r="J1352" i="77" s="1"/>
  <c r="J1353" i="77" s="1"/>
  <c r="J1354" i="77" s="1"/>
  <c r="J1355" i="77" s="1"/>
  <c r="J1356" i="77" s="1"/>
  <c r="J1357" i="77" s="1"/>
  <c r="J1358" i="77" s="1"/>
  <c r="J1359" i="77" s="1"/>
  <c r="J1360" i="77" s="1"/>
  <c r="J1361" i="77" s="1"/>
  <c r="J1362" i="77" s="1"/>
  <c r="J1363" i="77" s="1"/>
  <c r="J1364" i="77" s="1"/>
  <c r="J1365" i="77" s="1"/>
  <c r="J1366" i="77" s="1"/>
  <c r="J1367" i="77" s="1"/>
  <c r="J1368" i="77" s="1"/>
  <c r="J1369" i="77" s="1"/>
  <c r="J1370" i="77" s="1"/>
  <c r="J1371" i="77" s="1"/>
  <c r="J1372" i="77" s="1"/>
  <c r="J1373" i="77" s="1"/>
  <c r="J1374" i="77" s="1"/>
  <c r="J1375" i="77" s="1"/>
  <c r="J1376" i="77" s="1"/>
  <c r="J1377" i="77" s="1"/>
  <c r="J1378" i="77" s="1"/>
  <c r="J1379" i="77" s="1"/>
  <c r="J1380" i="77" s="1"/>
  <c r="J1381" i="77" s="1"/>
  <c r="J1382" i="77" s="1"/>
  <c r="J1383" i="77" s="1"/>
  <c r="J1384" i="77" s="1"/>
  <c r="J1385" i="77" s="1"/>
  <c r="J1386" i="77" s="1"/>
  <c r="J1387" i="77" s="1"/>
  <c r="J1388" i="77" s="1"/>
  <c r="J1389" i="77" s="1"/>
  <c r="J1390" i="77" s="1"/>
  <c r="J1391" i="77" s="1"/>
  <c r="J1392" i="77" s="1"/>
  <c r="J1393" i="77" s="1"/>
  <c r="J1394" i="77" s="1"/>
  <c r="J1395" i="77" s="1"/>
  <c r="J1396" i="77" s="1"/>
  <c r="J1397" i="77" s="1"/>
  <c r="J1398" i="77" s="1"/>
  <c r="J1399" i="77" s="1"/>
  <c r="J1400" i="77" s="1"/>
  <c r="J1401" i="77" s="1"/>
  <c r="J1402" i="77" s="1"/>
  <c r="J1403" i="77" s="1"/>
  <c r="J1404" i="77" s="1"/>
  <c r="J1405" i="77" s="1"/>
  <c r="J1406" i="77" s="1"/>
  <c r="J1407" i="77" s="1"/>
  <c r="J1408" i="77" s="1"/>
  <c r="J1409" i="77" s="1"/>
  <c r="J1410" i="77" s="1"/>
  <c r="J1411" i="77" s="1"/>
  <c r="J1412" i="77" s="1"/>
  <c r="J1413" i="77" s="1"/>
  <c r="J1414" i="77" s="1"/>
  <c r="J1415" i="77" s="1"/>
  <c r="J1416" i="77" s="1"/>
  <c r="J1417" i="77" s="1"/>
  <c r="J1418" i="77" s="1"/>
  <c r="J1419" i="77" s="1"/>
  <c r="J1420" i="77" s="1"/>
  <c r="J1421" i="77" s="1"/>
  <c r="J1422" i="77" s="1"/>
  <c r="J1423" i="77" s="1"/>
  <c r="J1424" i="77" s="1"/>
  <c r="J1425" i="77" s="1"/>
  <c r="J1426" i="77" s="1"/>
  <c r="J1427" i="77" s="1"/>
  <c r="J1428" i="77" s="1"/>
  <c r="J1429" i="77" s="1"/>
  <c r="J1430" i="77" s="1"/>
  <c r="J1431" i="77" s="1"/>
  <c r="J1432" i="77" s="1"/>
  <c r="J1433" i="77" s="1"/>
  <c r="J1434" i="77" s="1"/>
  <c r="J1435" i="77" s="1"/>
  <c r="J1436" i="77" s="1"/>
  <c r="J1437" i="77" s="1"/>
  <c r="J1438" i="77" s="1"/>
  <c r="J1439" i="77" s="1"/>
  <c r="J1440" i="77" s="1"/>
  <c r="J1441" i="77" s="1"/>
  <c r="J1442" i="77" s="1"/>
  <c r="J1443" i="77" s="1"/>
  <c r="J1444" i="77" s="1"/>
  <c r="J1445" i="77" s="1"/>
  <c r="J1446" i="77" s="1"/>
  <c r="J1447" i="77" s="1"/>
  <c r="J1448" i="77" s="1"/>
  <c r="J1449" i="77" s="1"/>
  <c r="J1450" i="77" s="1"/>
  <c r="J1451" i="77" s="1"/>
  <c r="J1452" i="77" s="1"/>
  <c r="J1453" i="77" s="1"/>
  <c r="J1454" i="77" s="1"/>
  <c r="J1455" i="77" s="1"/>
  <c r="J1456" i="77" s="1"/>
  <c r="J1457" i="77" s="1"/>
  <c r="J1458" i="77" s="1"/>
  <c r="J1459" i="77" s="1"/>
  <c r="J1460" i="77" s="1"/>
  <c r="J1461" i="77" s="1"/>
  <c r="J1462" i="77" s="1"/>
  <c r="J1463" i="77" s="1"/>
  <c r="J1464" i="77" s="1"/>
  <c r="J1465" i="77" s="1"/>
  <c r="J1466" i="77" s="1"/>
  <c r="J1467" i="77" s="1"/>
  <c r="J1468" i="77" s="1"/>
  <c r="J1469" i="77" s="1"/>
  <c r="J1470" i="77" s="1"/>
  <c r="J1471" i="77" s="1"/>
  <c r="J1472" i="77" s="1"/>
  <c r="J1473" i="77" s="1"/>
  <c r="J1474" i="77" s="1"/>
  <c r="J1475" i="77" s="1"/>
  <c r="J1476" i="77" s="1"/>
  <c r="J1477" i="77" s="1"/>
  <c r="J1478" i="77" s="1"/>
  <c r="J1479" i="77" s="1"/>
  <c r="J1480" i="77" s="1"/>
  <c r="J1481" i="77" s="1"/>
  <c r="J1482" i="77" s="1"/>
  <c r="J1483" i="77" s="1"/>
  <c r="J1484" i="77" s="1"/>
  <c r="J1485" i="77" s="1"/>
  <c r="J1486" i="77" s="1"/>
  <c r="J1487" i="77" s="1"/>
  <c r="J1488" i="77" s="1"/>
  <c r="J1489" i="77" s="1"/>
  <c r="J1490" i="77" s="1"/>
  <c r="J1491" i="77" s="1"/>
  <c r="J1492" i="77" s="1"/>
  <c r="J1493" i="77" s="1"/>
  <c r="J1494" i="77" s="1"/>
  <c r="J1495" i="77" s="1"/>
  <c r="J1496" i="77" s="1"/>
  <c r="J1497" i="77" s="1"/>
  <c r="J1498" i="77" s="1"/>
  <c r="J1499" i="77" s="1"/>
  <c r="J1500" i="77" s="1"/>
  <c r="J1501" i="77" s="1"/>
  <c r="J1502" i="77" s="1"/>
  <c r="J1503" i="77" s="1"/>
  <c r="J1504" i="77" s="1"/>
  <c r="J1505" i="77" s="1"/>
  <c r="J1506" i="77" s="1"/>
  <c r="J1507" i="77" s="1"/>
  <c r="J1508" i="77" s="1"/>
  <c r="J1509" i="77" s="1"/>
  <c r="J1510" i="77" s="1"/>
  <c r="J1511" i="77" s="1"/>
  <c r="J1512" i="77" s="1"/>
  <c r="J1513" i="77" s="1"/>
  <c r="J1514" i="77" s="1"/>
  <c r="J1515" i="77" s="1"/>
  <c r="J1516" i="77" s="1"/>
  <c r="J1517" i="77" s="1"/>
  <c r="J1518" i="77" s="1"/>
  <c r="J1519" i="77" s="1"/>
  <c r="J1520" i="77" s="1"/>
  <c r="J1521" i="77" s="1"/>
  <c r="J1522" i="77" s="1"/>
  <c r="J1523" i="77" s="1"/>
  <c r="J1524" i="77" s="1"/>
  <c r="J1525" i="77" s="1"/>
  <c r="J1526" i="77" s="1"/>
  <c r="J1527" i="77" s="1"/>
  <c r="J1528" i="77" s="1"/>
  <c r="J1529" i="77" s="1"/>
  <c r="J1530" i="77" s="1"/>
  <c r="J1531" i="77" s="1"/>
  <c r="J1532" i="77" s="1"/>
  <c r="J1533" i="77" s="1"/>
  <c r="J1534" i="77" s="1"/>
  <c r="J1535" i="77" s="1"/>
  <c r="J1536" i="77" s="1"/>
  <c r="J1537" i="77" s="1"/>
  <c r="J1538" i="77" s="1"/>
  <c r="J1539" i="77" s="1"/>
  <c r="J1540" i="77" s="1"/>
  <c r="J1541" i="77" s="1"/>
  <c r="J1542" i="77" s="1"/>
  <c r="J1543" i="77" s="1"/>
  <c r="J1544" i="77" s="1"/>
  <c r="J1545" i="77" s="1"/>
  <c r="J1546" i="77" s="1"/>
  <c r="J1547" i="77" s="1"/>
  <c r="J1548" i="77" s="1"/>
  <c r="J1549" i="77" s="1"/>
  <c r="J1550" i="77" s="1"/>
  <c r="J1551" i="77" s="1"/>
  <c r="J1552" i="77" s="1"/>
  <c r="J1553" i="77" s="1"/>
  <c r="J1554" i="77" s="1"/>
  <c r="J1555" i="77" s="1"/>
  <c r="J1556" i="77" s="1"/>
  <c r="J1557" i="77" s="1"/>
  <c r="J1558" i="77" s="1"/>
  <c r="J1559" i="77" s="1"/>
  <c r="J1560" i="77" s="1"/>
  <c r="J1561" i="77" s="1"/>
  <c r="J1562" i="77" s="1"/>
  <c r="J1563" i="77" s="1"/>
  <c r="J1564" i="77" s="1"/>
  <c r="J1565" i="77" s="1"/>
  <c r="J1566" i="77" s="1"/>
  <c r="J1567" i="77" s="1"/>
  <c r="J1568" i="77" s="1"/>
  <c r="J1569" i="77" s="1"/>
  <c r="J1570" i="77" s="1"/>
  <c r="J1571" i="77" s="1"/>
  <c r="J1572" i="77" s="1"/>
  <c r="J1573" i="77" s="1"/>
  <c r="J1574" i="77" s="1"/>
  <c r="J1575" i="77" s="1"/>
  <c r="J1576" i="77" s="1"/>
  <c r="J1577" i="77" s="1"/>
  <c r="J1578" i="77" s="1"/>
  <c r="J1579" i="77" s="1"/>
  <c r="J1580" i="77" s="1"/>
  <c r="J1581" i="77" s="1"/>
  <c r="J1582" i="77" s="1"/>
  <c r="J1583" i="77" s="1"/>
  <c r="J1584" i="77" s="1"/>
  <c r="J1585" i="77" s="1"/>
  <c r="J1586" i="77" s="1"/>
  <c r="J1587" i="77" s="1"/>
  <c r="J1588" i="77" s="1"/>
  <c r="J1589" i="77" s="1"/>
  <c r="J1590" i="77" s="1"/>
  <c r="J1591" i="77" s="1"/>
  <c r="J1592" i="77" s="1"/>
  <c r="J1593" i="77" s="1"/>
  <c r="J1594" i="77" s="1"/>
  <c r="J1595" i="77" s="1"/>
  <c r="J1596" i="77" s="1"/>
  <c r="J1597" i="77" s="1"/>
  <c r="J1598" i="77" s="1"/>
  <c r="J1599" i="77" s="1"/>
  <c r="J1600" i="77" s="1"/>
  <c r="J1601" i="77" s="1"/>
  <c r="J1602" i="77" s="1"/>
  <c r="J1603" i="77" s="1"/>
  <c r="J1604" i="77" s="1"/>
  <c r="J1605" i="77" s="1"/>
  <c r="J1606" i="77" s="1"/>
  <c r="J1607" i="77" s="1"/>
  <c r="J1608" i="77" s="1"/>
  <c r="J1609" i="77" s="1"/>
  <c r="J1610" i="77" s="1"/>
  <c r="J1611" i="77" s="1"/>
  <c r="J1612" i="77" s="1"/>
  <c r="J1613" i="77" s="1"/>
  <c r="J1614" i="77" s="1"/>
  <c r="J1615" i="77" s="1"/>
  <c r="J1616" i="77" s="1"/>
  <c r="J1617" i="77" s="1"/>
  <c r="J1618" i="77" s="1"/>
  <c r="J1619" i="77" s="1"/>
  <c r="J1620" i="77" s="1"/>
  <c r="J1621" i="77" s="1"/>
  <c r="J1622" i="77" s="1"/>
  <c r="J1623" i="77" s="1"/>
  <c r="J1624" i="77" s="1"/>
  <c r="J1625" i="77" s="1"/>
  <c r="J1626" i="77" s="1"/>
  <c r="J1627" i="77" s="1"/>
  <c r="J1628" i="77" s="1"/>
  <c r="J1629" i="77" s="1"/>
  <c r="J1630" i="77" s="1"/>
  <c r="J1631" i="77" s="1"/>
  <c r="J1632" i="77" s="1"/>
  <c r="J1633" i="77" s="1"/>
  <c r="J1634" i="77" s="1"/>
  <c r="J1635" i="77" s="1"/>
  <c r="J1636" i="77" s="1"/>
  <c r="J1637" i="77" s="1"/>
  <c r="J1638" i="77" s="1"/>
  <c r="J1639" i="77" s="1"/>
  <c r="J1640" i="77" s="1"/>
  <c r="J1641" i="77" s="1"/>
  <c r="J1642" i="77" s="1"/>
  <c r="J1643" i="77" s="1"/>
  <c r="J1644" i="77" s="1"/>
  <c r="J1645" i="77" s="1"/>
  <c r="J1646" i="77" s="1"/>
  <c r="J1647" i="77" s="1"/>
  <c r="J1648" i="77" s="1"/>
  <c r="J1649" i="77" s="1"/>
  <c r="J1650" i="77" s="1"/>
  <c r="J1651" i="77" s="1"/>
  <c r="J1652" i="77" s="1"/>
  <c r="J1653" i="77" s="1"/>
  <c r="J1654" i="77" s="1"/>
  <c r="J1655" i="77" s="1"/>
  <c r="J1656" i="77" s="1"/>
  <c r="J1657" i="77" s="1"/>
  <c r="J1658" i="77" s="1"/>
  <c r="J1659" i="77" s="1"/>
  <c r="J1660" i="77" s="1"/>
  <c r="J1661" i="77" s="1"/>
  <c r="J1662" i="77" s="1"/>
  <c r="J1663" i="77" s="1"/>
  <c r="J1664" i="77" s="1"/>
  <c r="J1665" i="77" s="1"/>
  <c r="J1666" i="77" s="1"/>
  <c r="J1667" i="77" s="1"/>
  <c r="J1668" i="77" s="1"/>
  <c r="J1669" i="77" s="1"/>
  <c r="J1670" i="77" s="1"/>
  <c r="J1671" i="77" s="1"/>
  <c r="J1672" i="77" s="1"/>
  <c r="J1673" i="77" s="1"/>
  <c r="J1674" i="77" s="1"/>
  <c r="J1675" i="77" s="1"/>
  <c r="J1676" i="77" s="1"/>
  <c r="J1677" i="77" s="1"/>
  <c r="J1678" i="77" s="1"/>
  <c r="J1679" i="77" s="1"/>
  <c r="J1680" i="77" s="1"/>
  <c r="J1681" i="77" s="1"/>
  <c r="J1682" i="77" s="1"/>
  <c r="J1683" i="77" s="1"/>
  <c r="J1684" i="77" s="1"/>
  <c r="J1685" i="77" s="1"/>
  <c r="J1686" i="77" s="1"/>
  <c r="J1687" i="77" s="1"/>
  <c r="J1688" i="77" s="1"/>
  <c r="J1689" i="77" s="1"/>
  <c r="J1690" i="77" s="1"/>
  <c r="J1691" i="77" s="1"/>
  <c r="J1692" i="77" s="1"/>
  <c r="J1693" i="77" s="1"/>
  <c r="J1694" i="77" s="1"/>
  <c r="J1695" i="77" s="1"/>
  <c r="J1696" i="77" s="1"/>
  <c r="J1697" i="77" s="1"/>
  <c r="J1698" i="77" s="1"/>
  <c r="J1699" i="77" s="1"/>
  <c r="J1700" i="77" s="1"/>
  <c r="J1701" i="77" s="1"/>
  <c r="J1702" i="77" s="1"/>
  <c r="J1703" i="77" s="1"/>
  <c r="J1704" i="77" s="1"/>
  <c r="J1705" i="77" s="1"/>
  <c r="J1706" i="77" s="1"/>
  <c r="J1707" i="77" s="1"/>
  <c r="J1708" i="77" s="1"/>
  <c r="J1709" i="77" s="1"/>
  <c r="J1710" i="77" s="1"/>
  <c r="J1711" i="77" s="1"/>
  <c r="J1712" i="77" s="1"/>
  <c r="J1713" i="77" s="1"/>
  <c r="J1714" i="77" s="1"/>
  <c r="J1715" i="77" s="1"/>
  <c r="J1716" i="77" s="1"/>
  <c r="J1717" i="77" s="1"/>
  <c r="J1718" i="77" s="1"/>
  <c r="J1719" i="77" s="1"/>
  <c r="J1720" i="77" s="1"/>
  <c r="J1721" i="77" s="1"/>
  <c r="J1722" i="77" s="1"/>
  <c r="J1723" i="77" s="1"/>
  <c r="J1724" i="77" s="1"/>
  <c r="J1725" i="77" s="1"/>
  <c r="J1726" i="77" s="1"/>
  <c r="J1727" i="77" s="1"/>
  <c r="J1728" i="77" s="1"/>
  <c r="J1729" i="77" s="1"/>
  <c r="J1730" i="77" s="1"/>
  <c r="J1731" i="77" s="1"/>
  <c r="J1732" i="77" s="1"/>
  <c r="J1733" i="77" s="1"/>
  <c r="J1734" i="77" s="1"/>
  <c r="J1735" i="77" s="1"/>
  <c r="J1736" i="77" s="1"/>
  <c r="J1737" i="77" s="1"/>
  <c r="J1738" i="77" s="1"/>
  <c r="J1739" i="77" s="1"/>
  <c r="J1740" i="77" s="1"/>
  <c r="J1741" i="77" s="1"/>
  <c r="J1742" i="77" s="1"/>
  <c r="J1743" i="77" s="1"/>
  <c r="J1744" i="77" s="1"/>
  <c r="J1745" i="77" s="1"/>
  <c r="J1746" i="77" s="1"/>
  <c r="J1747" i="77" s="1"/>
  <c r="J1748" i="77" s="1"/>
  <c r="J1749" i="77" s="1"/>
  <c r="J1750" i="77" s="1"/>
  <c r="J1751" i="77" s="1"/>
  <c r="J1752" i="77" s="1"/>
  <c r="J1753" i="77" s="1"/>
  <c r="J1754" i="77" s="1"/>
  <c r="J1755" i="77" s="1"/>
  <c r="J1756" i="77" s="1"/>
  <c r="J1757" i="77" s="1"/>
  <c r="J1758" i="77" s="1"/>
  <c r="J1759" i="77" s="1"/>
  <c r="J1760" i="77" s="1"/>
  <c r="J1761" i="77" s="1"/>
  <c r="J1762" i="77" s="1"/>
  <c r="J1763" i="77" s="1"/>
  <c r="J1764" i="77" s="1"/>
  <c r="J1765" i="77" s="1"/>
  <c r="J1766" i="77" s="1"/>
  <c r="J1767" i="77" s="1"/>
  <c r="J1768" i="77" s="1"/>
  <c r="J1769" i="77" s="1"/>
  <c r="J1770" i="77" s="1"/>
  <c r="J1771" i="77" s="1"/>
  <c r="J1772" i="77" s="1"/>
  <c r="J1773" i="77" s="1"/>
  <c r="J1774" i="77" s="1"/>
  <c r="J1775" i="77" s="1"/>
  <c r="J1776" i="77" s="1"/>
  <c r="J1777" i="77" s="1"/>
  <c r="J1778" i="77" s="1"/>
  <c r="J1779" i="77" s="1"/>
  <c r="J1780" i="77" s="1"/>
  <c r="J1781" i="77" s="1"/>
  <c r="J1782" i="77" s="1"/>
  <c r="J1783" i="77" s="1"/>
  <c r="J1784" i="77" s="1"/>
  <c r="J1785" i="77" s="1"/>
  <c r="J1786" i="77" s="1"/>
  <c r="J1787" i="77" s="1"/>
  <c r="J1788" i="77" s="1"/>
  <c r="J1789" i="77" s="1"/>
  <c r="J1790" i="77" s="1"/>
  <c r="J1791" i="77" s="1"/>
  <c r="J1792" i="77" s="1"/>
  <c r="J1793" i="77" s="1"/>
  <c r="J1794" i="77" s="1"/>
  <c r="J1795" i="77" s="1"/>
  <c r="J1796" i="77" s="1"/>
  <c r="J1797" i="77" s="1"/>
  <c r="J1798" i="77" s="1"/>
  <c r="J1799" i="77" s="1"/>
  <c r="J1800" i="77" s="1"/>
  <c r="J1801" i="77" s="1"/>
  <c r="J1802" i="77" s="1"/>
  <c r="J1803" i="77" s="1"/>
  <c r="J1804" i="77" s="1"/>
  <c r="J1805" i="77" s="1"/>
  <c r="J1806" i="77" s="1"/>
  <c r="J1807" i="77" s="1"/>
  <c r="J1808" i="77" s="1"/>
  <c r="J1809" i="77" s="1"/>
  <c r="J1810" i="77" s="1"/>
  <c r="J1811" i="77" s="1"/>
  <c r="J1812" i="77" s="1"/>
  <c r="J1813" i="77" s="1"/>
  <c r="J1814" i="77" s="1"/>
  <c r="J1815" i="77" s="1"/>
  <c r="J1816" i="77" s="1"/>
  <c r="J1817" i="77" s="1"/>
  <c r="J1818" i="77" s="1"/>
  <c r="J1819" i="77" s="1"/>
  <c r="J1820" i="77" s="1"/>
  <c r="J1821" i="77" s="1"/>
  <c r="J1822" i="77" s="1"/>
  <c r="J1823" i="77" s="1"/>
  <c r="J1824" i="77" s="1"/>
  <c r="J1825" i="77" s="1"/>
  <c r="J1826" i="77" s="1"/>
  <c r="J1827" i="77" s="1"/>
  <c r="J1828" i="77" s="1"/>
  <c r="J1829" i="77" s="1"/>
  <c r="J1830" i="77" s="1"/>
  <c r="J1831" i="77" s="1"/>
  <c r="J1832" i="77" s="1"/>
  <c r="J1833" i="77" s="1"/>
  <c r="J1834" i="77" s="1"/>
  <c r="J1835" i="77" s="1"/>
  <c r="J1836" i="77" s="1"/>
  <c r="J1837" i="77" s="1"/>
  <c r="J1838" i="77" s="1"/>
  <c r="J1839" i="77" s="1"/>
  <c r="J1840" i="77" s="1"/>
  <c r="J1841" i="77" s="1"/>
  <c r="J1842" i="77" s="1"/>
  <c r="J1843" i="77" s="1"/>
  <c r="J1844" i="77" s="1"/>
  <c r="J1845" i="77" s="1"/>
  <c r="J1846" i="77" s="1"/>
  <c r="J1847" i="77" s="1"/>
  <c r="J1848" i="77" s="1"/>
  <c r="J1849" i="77" s="1"/>
  <c r="J1850" i="77" s="1"/>
  <c r="J1851" i="77" s="1"/>
  <c r="J1852" i="77" s="1"/>
  <c r="J1853" i="77" s="1"/>
  <c r="J1854" i="77" s="1"/>
  <c r="J1855" i="77" s="1"/>
  <c r="J1856" i="77" s="1"/>
  <c r="J1857" i="77" s="1"/>
  <c r="J1858" i="77" s="1"/>
  <c r="J1859" i="77" s="1"/>
  <c r="J1860" i="77" s="1"/>
  <c r="J1861" i="77" s="1"/>
  <c r="J1862" i="77" s="1"/>
  <c r="J1863" i="77" s="1"/>
  <c r="J1864" i="77" s="1"/>
  <c r="J1865" i="77" s="1"/>
  <c r="J1866" i="77" s="1"/>
  <c r="J1867" i="77" s="1"/>
  <c r="J1868" i="77" s="1"/>
  <c r="J1869" i="77" s="1"/>
  <c r="J1870" i="77" s="1"/>
  <c r="J1871" i="77" s="1"/>
  <c r="J1872" i="77" s="1"/>
  <c r="J1873" i="77" s="1"/>
  <c r="J1874" i="77" s="1"/>
  <c r="J1875" i="77" s="1"/>
  <c r="J1876" i="77" s="1"/>
  <c r="J1877" i="77" s="1"/>
  <c r="J1878" i="77" s="1"/>
  <c r="J1879" i="77" s="1"/>
  <c r="J1880" i="77" s="1"/>
  <c r="J1881" i="77" s="1"/>
  <c r="J1882" i="77" s="1"/>
  <c r="J1883" i="77" s="1"/>
  <c r="J1884" i="77" s="1"/>
  <c r="J1885" i="77" s="1"/>
  <c r="J1886" i="77" s="1"/>
  <c r="J1887" i="77" s="1"/>
  <c r="J1888" i="77" s="1"/>
  <c r="J1889" i="77" s="1"/>
  <c r="J1890" i="77" s="1"/>
  <c r="J1891" i="77" s="1"/>
  <c r="J1892" i="77" s="1"/>
  <c r="J1893" i="77" s="1"/>
  <c r="J1894" i="77" s="1"/>
  <c r="J1895" i="77" s="1"/>
  <c r="J1896" i="77" s="1"/>
  <c r="J1897" i="77" s="1"/>
  <c r="J1898" i="77" s="1"/>
  <c r="J1899" i="77" s="1"/>
  <c r="J1900" i="77" s="1"/>
  <c r="J1901" i="77" s="1"/>
  <c r="J1902" i="77" s="1"/>
  <c r="J1903" i="77" s="1"/>
  <c r="J1904" i="77" s="1"/>
  <c r="J1905" i="77" s="1"/>
  <c r="J1906" i="77" s="1"/>
  <c r="J1907" i="77" s="1"/>
  <c r="J1908" i="77" s="1"/>
  <c r="J1909" i="77" s="1"/>
  <c r="J1910" i="77" s="1"/>
  <c r="J1911" i="77" s="1"/>
  <c r="J1912" i="77" s="1"/>
  <c r="J1913" i="77" s="1"/>
  <c r="J1914" i="77" s="1"/>
  <c r="J1915" i="77" s="1"/>
  <c r="J1916" i="77" s="1"/>
  <c r="J1917" i="77" s="1"/>
  <c r="J1918" i="77" s="1"/>
  <c r="J1919" i="77" s="1"/>
  <c r="J1920" i="77" s="1"/>
  <c r="J1921" i="77" s="1"/>
  <c r="J1922" i="77" s="1"/>
  <c r="J1923" i="77" s="1"/>
  <c r="J1924" i="77" s="1"/>
  <c r="J1925" i="77" s="1"/>
  <c r="J1926" i="77" s="1"/>
  <c r="J1927" i="77" s="1"/>
  <c r="J1928" i="77" s="1"/>
  <c r="J1929" i="77" s="1"/>
  <c r="J1930" i="77" s="1"/>
  <c r="J1931" i="77" s="1"/>
  <c r="J1932" i="77" s="1"/>
  <c r="J1933" i="77" s="1"/>
  <c r="J1934" i="77" s="1"/>
  <c r="J1935" i="77" s="1"/>
  <c r="J1936" i="77" s="1"/>
  <c r="J1937" i="77" s="1"/>
  <c r="J1938" i="77" s="1"/>
  <c r="J1939" i="77" s="1"/>
  <c r="J1940" i="77" s="1"/>
  <c r="J1941" i="77" s="1"/>
  <c r="J1942" i="77" s="1"/>
  <c r="J1943" i="77" s="1"/>
  <c r="J1944" i="77" s="1"/>
  <c r="J1945" i="77" s="1"/>
  <c r="J1946" i="77" s="1"/>
  <c r="J1947" i="77" s="1"/>
  <c r="J1948" i="77" s="1"/>
  <c r="J1949" i="77" s="1"/>
  <c r="J1950" i="77" s="1"/>
  <c r="J1951" i="77" s="1"/>
  <c r="J1952" i="77" s="1"/>
  <c r="J1953" i="77" s="1"/>
  <c r="J1954" i="77" s="1"/>
  <c r="J1955" i="77" s="1"/>
  <c r="J1956" i="77" s="1"/>
  <c r="J1957" i="77" s="1"/>
  <c r="J1958" i="77" s="1"/>
  <c r="J1959" i="77" s="1"/>
  <c r="J1960" i="77" s="1"/>
  <c r="J1961" i="77" s="1"/>
  <c r="J1962" i="77" s="1"/>
  <c r="J1963" i="77" s="1"/>
  <c r="J1964" i="77" s="1"/>
  <c r="J1965" i="77" s="1"/>
  <c r="J1966" i="77" s="1"/>
  <c r="J1967" i="77" s="1"/>
  <c r="J1968" i="77" s="1"/>
  <c r="J1969" i="77" s="1"/>
  <c r="J1970" i="77" s="1"/>
  <c r="J1971" i="77" s="1"/>
  <c r="J1972" i="77" s="1"/>
  <c r="J1973" i="77" s="1"/>
  <c r="J1974" i="77" s="1"/>
  <c r="J1975" i="77" s="1"/>
  <c r="J1976" i="77" s="1"/>
  <c r="J1977" i="77" s="1"/>
  <c r="J1978" i="77" s="1"/>
  <c r="J1979" i="77" s="1"/>
  <c r="J1980" i="77" s="1"/>
  <c r="J1981" i="77" s="1"/>
  <c r="J1982" i="77" s="1"/>
  <c r="J1983" i="77" s="1"/>
  <c r="J1984" i="77" s="1"/>
  <c r="J1985" i="77" s="1"/>
  <c r="J1986" i="77" s="1"/>
  <c r="J1987" i="77" s="1"/>
  <c r="J1988" i="77" s="1"/>
  <c r="J1989" i="77" s="1"/>
  <c r="J1990" i="77" s="1"/>
  <c r="J1991" i="77" s="1"/>
  <c r="J1992" i="77" s="1"/>
  <c r="J1993" i="77" s="1"/>
  <c r="J1994" i="77" s="1"/>
  <c r="J1995" i="77" s="1"/>
  <c r="J1996" i="77" s="1"/>
  <c r="J1997" i="77" s="1"/>
  <c r="J1998" i="77" s="1"/>
  <c r="J1999" i="77" s="1"/>
  <c r="J2000" i="77" s="1"/>
  <c r="J2001" i="77" s="1"/>
  <c r="J2002" i="77" s="1"/>
  <c r="J2003" i="77" s="1"/>
  <c r="J2004" i="77" s="1"/>
  <c r="J2005" i="77" s="1"/>
  <c r="J2006" i="77" s="1"/>
  <c r="J2007" i="77" s="1"/>
  <c r="J2008" i="77" s="1"/>
  <c r="J2009" i="77" s="1"/>
  <c r="J2010" i="77" s="1"/>
  <c r="J2011" i="77" s="1"/>
  <c r="J2012" i="77" s="1"/>
  <c r="J2013" i="77" s="1"/>
  <c r="J2014" i="77" s="1"/>
  <c r="J2015" i="77" s="1"/>
  <c r="J2016" i="77" s="1"/>
  <c r="J2017" i="77" s="1"/>
  <c r="J2018" i="77" s="1"/>
  <c r="J2019" i="77" s="1"/>
  <c r="J2020" i="77" s="1"/>
  <c r="J2021" i="77" s="1"/>
  <c r="J2022" i="77" s="1"/>
  <c r="J2023" i="77" s="1"/>
  <c r="J2024" i="77" s="1"/>
  <c r="J2025" i="77" s="1"/>
  <c r="J2026" i="77" s="1"/>
  <c r="J2027" i="77" s="1"/>
  <c r="J2028" i="77" s="1"/>
  <c r="J2029" i="77" s="1"/>
  <c r="J2030" i="77" s="1"/>
  <c r="J2031" i="77" s="1"/>
  <c r="J2032" i="77" s="1"/>
  <c r="J2033" i="77" s="1"/>
  <c r="J2034" i="77" s="1"/>
  <c r="J2035" i="77" s="1"/>
  <c r="J2036" i="77" s="1"/>
  <c r="J2037" i="77" s="1"/>
  <c r="J2038" i="77" s="1"/>
  <c r="J2039" i="77" s="1"/>
  <c r="J2040" i="77" s="1"/>
  <c r="J2041" i="77" s="1"/>
  <c r="J2042" i="77" s="1"/>
  <c r="J2043" i="77" s="1"/>
  <c r="J2044" i="77" s="1"/>
  <c r="J2045" i="77" s="1"/>
  <c r="J2046" i="77" s="1"/>
  <c r="J2047" i="77" s="1"/>
  <c r="J2048" i="77" s="1"/>
  <c r="J2049" i="77" s="1"/>
  <c r="J2050" i="77" s="1"/>
  <c r="J2051" i="77" s="1"/>
  <c r="J2052" i="77" s="1"/>
  <c r="J2053" i="77" s="1"/>
  <c r="J2054" i="77" s="1"/>
  <c r="J2055" i="77" s="1"/>
  <c r="J2056" i="77" s="1"/>
  <c r="J2057" i="77" s="1"/>
  <c r="J2058" i="77" s="1"/>
  <c r="J2059" i="77" s="1"/>
  <c r="J2060" i="77" s="1"/>
  <c r="J2061" i="77" s="1"/>
  <c r="J2062" i="77" s="1"/>
  <c r="J2063" i="77" s="1"/>
  <c r="J2064" i="77" s="1"/>
  <c r="J2065" i="77" s="1"/>
  <c r="J2066" i="77" s="1"/>
  <c r="J2067" i="77" s="1"/>
  <c r="J2068" i="77" s="1"/>
  <c r="J2069" i="77" s="1"/>
  <c r="J2070" i="77" s="1"/>
  <c r="J2071" i="77" s="1"/>
  <c r="J2072" i="77" s="1"/>
  <c r="J2073" i="77" s="1"/>
  <c r="J2074" i="77" s="1"/>
  <c r="J2075" i="77" s="1"/>
  <c r="J2076" i="77" s="1"/>
  <c r="J2077" i="77" s="1"/>
  <c r="J2078" i="77" s="1"/>
  <c r="J2079" i="77" s="1"/>
  <c r="J2080" i="77" s="1"/>
  <c r="J2081" i="77" s="1"/>
  <c r="J2082" i="77" s="1"/>
  <c r="J2083" i="77" s="1"/>
  <c r="J2084" i="77" s="1"/>
  <c r="J2085" i="77" s="1"/>
  <c r="J2086" i="77" s="1"/>
  <c r="J2087" i="77" s="1"/>
  <c r="J2088" i="77" s="1"/>
  <c r="J2089" i="77" s="1"/>
  <c r="J2090" i="77" s="1"/>
  <c r="J2091" i="77" s="1"/>
  <c r="J2092" i="77" s="1"/>
  <c r="J2093" i="77" s="1"/>
  <c r="J2094" i="77" s="1"/>
  <c r="J2095" i="77" s="1"/>
  <c r="J2096" i="77" s="1"/>
  <c r="J2097" i="77" s="1"/>
  <c r="J2098" i="77" s="1"/>
  <c r="J2099" i="77" s="1"/>
  <c r="J2100" i="77" s="1"/>
  <c r="J2101" i="77" s="1"/>
  <c r="J2102" i="77" s="1"/>
  <c r="J2103" i="77" s="1"/>
  <c r="J2104" i="77" s="1"/>
  <c r="J2105" i="77" s="1"/>
  <c r="J2106" i="77" s="1"/>
  <c r="J2107" i="77" s="1"/>
  <c r="J2108" i="77" s="1"/>
  <c r="J2109" i="77" s="1"/>
  <c r="J2110" i="77" s="1"/>
  <c r="J2111" i="77" s="1"/>
  <c r="J2112" i="77" s="1"/>
  <c r="J2113" i="77" s="1"/>
  <c r="J2114" i="77" s="1"/>
  <c r="J2115" i="77" s="1"/>
  <c r="J2116" i="77" s="1"/>
  <c r="J2117" i="77" s="1"/>
  <c r="J2118" i="77" s="1"/>
  <c r="J2119" i="77" s="1"/>
  <c r="J2120" i="77" s="1"/>
  <c r="J2121" i="77" s="1"/>
  <c r="J2122" i="77" s="1"/>
  <c r="J2123" i="77" s="1"/>
  <c r="J2124" i="77" s="1"/>
  <c r="J2125" i="77" s="1"/>
  <c r="J2126" i="77" s="1"/>
  <c r="J2127" i="77" s="1"/>
  <c r="J2128" i="77" s="1"/>
  <c r="J2129" i="77" s="1"/>
  <c r="J2130" i="77" s="1"/>
  <c r="J2131" i="77" s="1"/>
  <c r="J2132" i="77" s="1"/>
  <c r="J2133" i="77" s="1"/>
  <c r="J2134" i="77" s="1"/>
  <c r="J2135" i="77" s="1"/>
  <c r="J2136" i="77" s="1"/>
  <c r="J2137" i="77" s="1"/>
  <c r="J2138" i="77" s="1"/>
  <c r="J2139" i="77" s="1"/>
  <c r="J2140" i="77" s="1"/>
  <c r="J2141" i="77" s="1"/>
  <c r="J2142" i="77" s="1"/>
  <c r="J2143" i="77" s="1"/>
  <c r="J2144" i="77" s="1"/>
  <c r="J2145" i="77" s="1"/>
  <c r="J2146" i="77" s="1"/>
  <c r="J2147" i="77" s="1"/>
  <c r="J2148" i="77" s="1"/>
  <c r="J2149" i="77" s="1"/>
  <c r="J2150" i="77" s="1"/>
  <c r="J2151" i="77" s="1"/>
  <c r="J2152" i="77" s="1"/>
  <c r="J2153" i="77" s="1"/>
  <c r="J2154" i="77" s="1"/>
  <c r="J2155" i="77" s="1"/>
  <c r="J2156" i="77" s="1"/>
  <c r="J2157" i="77" s="1"/>
  <c r="J2158" i="77" s="1"/>
  <c r="J2159" i="77" s="1"/>
  <c r="J2160" i="77" s="1"/>
  <c r="J2161" i="77" s="1"/>
  <c r="J2162" i="77" s="1"/>
  <c r="J2163" i="77" s="1"/>
  <c r="J2164" i="77" s="1"/>
  <c r="J2165" i="77" s="1"/>
  <c r="J2166" i="77" s="1"/>
  <c r="J2167" i="77" s="1"/>
  <c r="J2168" i="77" s="1"/>
  <c r="J2169" i="77" s="1"/>
  <c r="J2170" i="77" s="1"/>
  <c r="J2171" i="77" s="1"/>
  <c r="J2172" i="77" s="1"/>
  <c r="J2173" i="77" s="1"/>
  <c r="J2174" i="77" s="1"/>
  <c r="J2175" i="77" s="1"/>
  <c r="J2176" i="77" s="1"/>
  <c r="J2177" i="77" s="1"/>
  <c r="J2178" i="77" s="1"/>
  <c r="J2179" i="77" s="1"/>
  <c r="J2180" i="77" s="1"/>
  <c r="J2181" i="77" s="1"/>
  <c r="J2182" i="77" s="1"/>
  <c r="J2183" i="77" s="1"/>
  <c r="J2184" i="77" s="1"/>
  <c r="J2185" i="77" s="1"/>
  <c r="J2186" i="77" s="1"/>
  <c r="J2187" i="77" s="1"/>
  <c r="J2188" i="77" s="1"/>
  <c r="J2189" i="77" s="1"/>
  <c r="J2190" i="77" s="1"/>
  <c r="J2191" i="77" s="1"/>
  <c r="J2192" i="77" s="1"/>
  <c r="J2193" i="77" s="1"/>
  <c r="J2194" i="77" s="1"/>
  <c r="J2195" i="77" s="1"/>
  <c r="J2196" i="77" s="1"/>
  <c r="J2197" i="77" s="1"/>
  <c r="J2198" i="77" s="1"/>
  <c r="J2199" i="77" s="1"/>
  <c r="J2200" i="77" s="1"/>
  <c r="J2201" i="77" s="1"/>
  <c r="J2202" i="77" s="1"/>
  <c r="J2203" i="77" s="1"/>
  <c r="J2204" i="77" s="1"/>
  <c r="J2205" i="77" s="1"/>
  <c r="J2206" i="77" s="1"/>
  <c r="J2207" i="77" s="1"/>
  <c r="J2208" i="77" s="1"/>
  <c r="J2209" i="77" s="1"/>
  <c r="J2210" i="77" s="1"/>
  <c r="J2211" i="77" s="1"/>
  <c r="J2212" i="77" s="1"/>
  <c r="J2213" i="77" s="1"/>
  <c r="J2214" i="77" s="1"/>
  <c r="J2215" i="77" s="1"/>
  <c r="J2216" i="77" s="1"/>
  <c r="J2217" i="77" s="1"/>
  <c r="J2218" i="77" s="1"/>
  <c r="J2219" i="77" s="1"/>
  <c r="J2220" i="77" s="1"/>
  <c r="J2221" i="77" s="1"/>
  <c r="J2222" i="77" s="1"/>
  <c r="J2223" i="77" s="1"/>
  <c r="J2224" i="77" s="1"/>
  <c r="J2225" i="77" s="1"/>
  <c r="J2226" i="77" s="1"/>
  <c r="J2227" i="77" s="1"/>
  <c r="J2228" i="77" s="1"/>
  <c r="J2229" i="77" s="1"/>
  <c r="J2230" i="77" s="1"/>
  <c r="J2231" i="77" s="1"/>
  <c r="J2232" i="77" s="1"/>
  <c r="J2233" i="77" s="1"/>
  <c r="J2234" i="77" s="1"/>
  <c r="J2235" i="77" s="1"/>
  <c r="J2236" i="77" s="1"/>
  <c r="J2237" i="77" s="1"/>
  <c r="J2238" i="77" s="1"/>
  <c r="J2239" i="77" s="1"/>
  <c r="J2240" i="77" s="1"/>
  <c r="J2241" i="77" s="1"/>
  <c r="J2242" i="77" s="1"/>
  <c r="J2243" i="77" s="1"/>
  <c r="J2244" i="77" s="1"/>
  <c r="J2245" i="77" s="1"/>
  <c r="J2246" i="77" s="1"/>
  <c r="J2247" i="77" s="1"/>
  <c r="J2248" i="77" s="1"/>
  <c r="J2249" i="77" s="1"/>
  <c r="J2250" i="77" s="1"/>
  <c r="J2251" i="77" s="1"/>
  <c r="J2252" i="77" s="1"/>
  <c r="J2253" i="77" s="1"/>
  <c r="J2254" i="77" s="1"/>
  <c r="J2255" i="77" s="1"/>
  <c r="J2256" i="77" s="1"/>
  <c r="J2257" i="77" s="1"/>
  <c r="J2258" i="77" s="1"/>
  <c r="J2259" i="77" s="1"/>
  <c r="J2260" i="77" s="1"/>
  <c r="J2261" i="77" s="1"/>
  <c r="J2262" i="77" s="1"/>
  <c r="J2263" i="77" s="1"/>
  <c r="J2264" i="77" s="1"/>
  <c r="J2265" i="77" s="1"/>
  <c r="J2266" i="77" s="1"/>
  <c r="J2267" i="77" s="1"/>
  <c r="J2268" i="77" s="1"/>
  <c r="J2269" i="77" s="1"/>
  <c r="J2270" i="77" s="1"/>
  <c r="J2271" i="77" s="1"/>
  <c r="J2272" i="77" s="1"/>
  <c r="J2273" i="77" s="1"/>
  <c r="J2274" i="77" s="1"/>
  <c r="J2275" i="77" s="1"/>
  <c r="J2276" i="77" s="1"/>
  <c r="J2277" i="77" s="1"/>
  <c r="J2278" i="77" s="1"/>
  <c r="J2279" i="77" s="1"/>
  <c r="J2280" i="77" s="1"/>
  <c r="J2281" i="77" s="1"/>
  <c r="J2282" i="77" s="1"/>
  <c r="J2283" i="77" s="1"/>
  <c r="J2284" i="77" s="1"/>
  <c r="J2285" i="77" s="1"/>
  <c r="J2286" i="77" s="1"/>
  <c r="J2287" i="77" s="1"/>
  <c r="J2288" i="77" s="1"/>
  <c r="J2289" i="77" s="1"/>
  <c r="J2290" i="77" s="1"/>
  <c r="J2291" i="77" s="1"/>
  <c r="J2292" i="77" s="1"/>
  <c r="J2293" i="77" s="1"/>
  <c r="J2294" i="77" s="1"/>
  <c r="J2295" i="77" s="1"/>
  <c r="J2296" i="77" s="1"/>
  <c r="J2297" i="77" s="1"/>
  <c r="J2298" i="77" s="1"/>
  <c r="J2299" i="77" s="1"/>
  <c r="J2300" i="77" s="1"/>
  <c r="J2301" i="77" s="1"/>
  <c r="J2302" i="77" s="1"/>
  <c r="J2303" i="77" s="1"/>
  <c r="J2304" i="77" s="1"/>
  <c r="J2305" i="77" s="1"/>
  <c r="J2306" i="77" s="1"/>
  <c r="J2307" i="77" s="1"/>
  <c r="J2308" i="77" s="1"/>
  <c r="J2309" i="77" s="1"/>
  <c r="J2310" i="77" s="1"/>
  <c r="J2311" i="77" s="1"/>
  <c r="J2312" i="77" s="1"/>
  <c r="J2313" i="77" s="1"/>
  <c r="J2314" i="77" s="1"/>
  <c r="J2315" i="77" s="1"/>
  <c r="J2316" i="77" s="1"/>
  <c r="J2317" i="77" s="1"/>
  <c r="J2318" i="77" s="1"/>
  <c r="J2319" i="77" s="1"/>
  <c r="J2320" i="77" s="1"/>
  <c r="J2321" i="77" s="1"/>
  <c r="J2322" i="77" s="1"/>
  <c r="J2323" i="77" s="1"/>
  <c r="J2324" i="77" s="1"/>
  <c r="J2325" i="77" s="1"/>
  <c r="J2326" i="77" s="1"/>
  <c r="J2327" i="77" s="1"/>
  <c r="J2328" i="77" s="1"/>
  <c r="J2329" i="77" s="1"/>
  <c r="J2330" i="77" s="1"/>
  <c r="J2331" i="77" s="1"/>
  <c r="J2332" i="77" s="1"/>
  <c r="J2333" i="77" s="1"/>
  <c r="J2334" i="77" s="1"/>
  <c r="J2335" i="77" s="1"/>
  <c r="J2336" i="77" s="1"/>
  <c r="J2337" i="77" s="1"/>
  <c r="J2338" i="77" s="1"/>
  <c r="J2339" i="77" s="1"/>
  <c r="J2340" i="77" s="1"/>
  <c r="J2341" i="77" s="1"/>
  <c r="J2342" i="77" s="1"/>
  <c r="J2343" i="77" s="1"/>
  <c r="J2344" i="77" s="1"/>
  <c r="J2345" i="77" s="1"/>
  <c r="J2346" i="77" s="1"/>
  <c r="J2347" i="77" s="1"/>
  <c r="J2348" i="77" s="1"/>
  <c r="J2349" i="77" s="1"/>
  <c r="J2350" i="77" s="1"/>
  <c r="J2351" i="77" s="1"/>
  <c r="J2352" i="77" s="1"/>
  <c r="J2353" i="77" s="1"/>
  <c r="J2354" i="77" s="1"/>
  <c r="J2355" i="77" s="1"/>
  <c r="J2356" i="77" s="1"/>
  <c r="J2357" i="77" s="1"/>
  <c r="J2358" i="77" s="1"/>
  <c r="J2359" i="77" s="1"/>
  <c r="J2360" i="77" s="1"/>
  <c r="J2361" i="77" s="1"/>
  <c r="J2362" i="77" s="1"/>
  <c r="J2363" i="77" s="1"/>
  <c r="J2364" i="77" s="1"/>
  <c r="J2365" i="77" s="1"/>
  <c r="J2366" i="77" s="1"/>
  <c r="J2367" i="77" s="1"/>
  <c r="J2368" i="77" s="1"/>
  <c r="J2369" i="77" s="1"/>
  <c r="J2370" i="77" s="1"/>
  <c r="J2371" i="77" s="1"/>
  <c r="J2372" i="77" s="1"/>
  <c r="J2373" i="77" s="1"/>
  <c r="J2374" i="77" s="1"/>
  <c r="J2375" i="77" s="1"/>
  <c r="J2376" i="77" s="1"/>
  <c r="J2377" i="77" s="1"/>
  <c r="J2378" i="77" s="1"/>
  <c r="J2379" i="77" s="1"/>
  <c r="J2380" i="77" s="1"/>
  <c r="J2381" i="77" s="1"/>
  <c r="J2382" i="77" s="1"/>
  <c r="J2383" i="77" s="1"/>
  <c r="J2384" i="77" s="1"/>
  <c r="J2385" i="77" s="1"/>
  <c r="J2386" i="77" s="1"/>
  <c r="J2387" i="77" s="1"/>
  <c r="J2388" i="77" s="1"/>
  <c r="J2389" i="77" s="1"/>
  <c r="J2390" i="77" s="1"/>
  <c r="J2391" i="77" s="1"/>
  <c r="J2392" i="77" s="1"/>
  <c r="J2393" i="77" s="1"/>
  <c r="J2394" i="77" s="1"/>
  <c r="J2395" i="77" s="1"/>
  <c r="J2396" i="77" s="1"/>
  <c r="J2397" i="77" s="1"/>
  <c r="J2398" i="77" s="1"/>
  <c r="J2399" i="77" s="1"/>
  <c r="J2400" i="77" s="1"/>
  <c r="J2401" i="77" s="1"/>
  <c r="J2402" i="77" s="1"/>
  <c r="J2403" i="77" s="1"/>
  <c r="J2404" i="77" s="1"/>
  <c r="J2405" i="77" s="1"/>
  <c r="J2406" i="77" s="1"/>
  <c r="J2407" i="77" s="1"/>
  <c r="J2408" i="77" s="1"/>
  <c r="J2409" i="77" s="1"/>
  <c r="J2410" i="77" s="1"/>
  <c r="J2411" i="77" s="1"/>
  <c r="J2412" i="77" s="1"/>
  <c r="J2413" i="77" s="1"/>
  <c r="J2414" i="77" s="1"/>
  <c r="J2415" i="77" s="1"/>
  <c r="J2416" i="77" s="1"/>
  <c r="J2417" i="77" s="1"/>
  <c r="J2418" i="77" s="1"/>
  <c r="J2419" i="77" s="1"/>
  <c r="J2420" i="77" s="1"/>
  <c r="J2421" i="77" s="1"/>
  <c r="J2422" i="77" s="1"/>
  <c r="J2423" i="77" s="1"/>
  <c r="J2424" i="77" s="1"/>
  <c r="J2425" i="77" s="1"/>
  <c r="J2426" i="77" s="1"/>
  <c r="J2427" i="77" s="1"/>
  <c r="J2428" i="77" s="1"/>
  <c r="J2429" i="77" s="1"/>
  <c r="J2430" i="77" s="1"/>
  <c r="J2431" i="77" s="1"/>
  <c r="J2432" i="77" s="1"/>
  <c r="J2433" i="77" s="1"/>
  <c r="J2434" i="77" s="1"/>
  <c r="J2435" i="77" s="1"/>
  <c r="J2436" i="77" s="1"/>
  <c r="J2437" i="77" s="1"/>
  <c r="J2438" i="77" s="1"/>
  <c r="J2439" i="77" s="1"/>
  <c r="J2440" i="77" s="1"/>
  <c r="J2441" i="77" s="1"/>
  <c r="J2442" i="77" s="1"/>
  <c r="J2443" i="77" s="1"/>
  <c r="J2444" i="77" s="1"/>
  <c r="J2445" i="77" s="1"/>
  <c r="J2446" i="77" s="1"/>
  <c r="J2447" i="77" s="1"/>
  <c r="J2448" i="77" s="1"/>
  <c r="J2449" i="77" s="1"/>
  <c r="J2450" i="77" s="1"/>
  <c r="J2451" i="77" s="1"/>
  <c r="J2452" i="77" s="1"/>
  <c r="J2453" i="77" s="1"/>
  <c r="J2454" i="77" s="1"/>
  <c r="J2455" i="77" s="1"/>
  <c r="J2456" i="77" s="1"/>
  <c r="J2457" i="77" s="1"/>
  <c r="J2458" i="77" s="1"/>
  <c r="J2459" i="77" s="1"/>
  <c r="J2460" i="77" s="1"/>
  <c r="J2461" i="77" s="1"/>
  <c r="J2462" i="77" s="1"/>
  <c r="J2463" i="77" s="1"/>
  <c r="J2464" i="77" s="1"/>
  <c r="J2465" i="77" s="1"/>
  <c r="J2466" i="77" s="1"/>
  <c r="J2467" i="77" s="1"/>
  <c r="J2468" i="77" s="1"/>
  <c r="J2469" i="77" s="1"/>
  <c r="J2470" i="77" s="1"/>
  <c r="J2471" i="77" s="1"/>
  <c r="J2472" i="77" s="1"/>
  <c r="J2473" i="77" s="1"/>
  <c r="J2474" i="77" s="1"/>
  <c r="J2475" i="77" s="1"/>
  <c r="J2476" i="77" s="1"/>
  <c r="J2477" i="77" s="1"/>
  <c r="J2478" i="77" s="1"/>
  <c r="J2479" i="77" s="1"/>
  <c r="J2480" i="77" s="1"/>
  <c r="J2481" i="77" s="1"/>
  <c r="J2482" i="77" s="1"/>
  <c r="J2483" i="77" s="1"/>
  <c r="J2484" i="77" s="1"/>
  <c r="J2485" i="77" s="1"/>
  <c r="J2486" i="77" s="1"/>
  <c r="J2487" i="77" s="1"/>
  <c r="J2488" i="77" s="1"/>
  <c r="J2489" i="77" s="1"/>
  <c r="J2490" i="77" s="1"/>
  <c r="J2491" i="77" s="1"/>
  <c r="J2492" i="77" s="1"/>
  <c r="J2493" i="77" s="1"/>
  <c r="J2494" i="77" s="1"/>
  <c r="J2495" i="77" s="1"/>
  <c r="J2496" i="77" s="1"/>
  <c r="J2497" i="77" s="1"/>
  <c r="J2498" i="77" s="1"/>
  <c r="J2499" i="77" s="1"/>
  <c r="J2500" i="77" s="1"/>
  <c r="J2501" i="77" s="1"/>
  <c r="J2502" i="77" s="1"/>
  <c r="J2503" i="77" s="1"/>
  <c r="J2504" i="77" s="1"/>
  <c r="J2505" i="77" s="1"/>
  <c r="J2506" i="77" s="1"/>
  <c r="J2507" i="77" s="1"/>
  <c r="J2508" i="77" s="1"/>
  <c r="J2509" i="77" s="1"/>
  <c r="J2510" i="77" s="1"/>
  <c r="J2511" i="77" s="1"/>
  <c r="J2512" i="77" s="1"/>
  <c r="J2513" i="77" s="1"/>
  <c r="J2514" i="77" s="1"/>
  <c r="J2515" i="77" s="1"/>
  <c r="J2516" i="77" s="1"/>
  <c r="J2517" i="77" s="1"/>
  <c r="J2518" i="77" s="1"/>
  <c r="J2519" i="77" s="1"/>
  <c r="J2520" i="77" s="1"/>
  <c r="J2521" i="77" s="1"/>
  <c r="J2522" i="77" s="1"/>
  <c r="J2523" i="77" s="1"/>
  <c r="J2524" i="77" s="1"/>
  <c r="J2525" i="77" s="1"/>
  <c r="J2526" i="77" s="1"/>
  <c r="J2527" i="77" s="1"/>
  <c r="J2528" i="77" s="1"/>
  <c r="J2529" i="77" s="1"/>
  <c r="J2530" i="77" s="1"/>
  <c r="J2531" i="77" s="1"/>
  <c r="J2532" i="77" s="1"/>
  <c r="J2533" i="77" s="1"/>
  <c r="J2534" i="77" s="1"/>
  <c r="J2535" i="77" s="1"/>
  <c r="J2536" i="77" s="1"/>
  <c r="J2537" i="77" s="1"/>
  <c r="J2538" i="77" s="1"/>
  <c r="J2539" i="77" s="1"/>
  <c r="J2540" i="77" s="1"/>
  <c r="J2541" i="77" s="1"/>
  <c r="J2542" i="77" s="1"/>
  <c r="J2543" i="77" s="1"/>
  <c r="J2544" i="77" s="1"/>
  <c r="J2545" i="77" s="1"/>
  <c r="J2546" i="77" s="1"/>
  <c r="J2547" i="77" s="1"/>
  <c r="J2548" i="77" s="1"/>
  <c r="J2549" i="77" s="1"/>
  <c r="J2550" i="77" s="1"/>
  <c r="J2551" i="77" s="1"/>
  <c r="J2552" i="77" s="1"/>
  <c r="J2553" i="77" s="1"/>
  <c r="J2554" i="77" s="1"/>
  <c r="J2555" i="77" s="1"/>
  <c r="J2556" i="77" s="1"/>
  <c r="J2557" i="77" s="1"/>
  <c r="J2558" i="77" s="1"/>
  <c r="J2559" i="77" s="1"/>
  <c r="J2560" i="77" s="1"/>
  <c r="J2561" i="77" s="1"/>
  <c r="J2562" i="77" s="1"/>
  <c r="J2563" i="77" s="1"/>
  <c r="J2564" i="77" s="1"/>
  <c r="J2565" i="77" s="1"/>
  <c r="J2566" i="77" s="1"/>
  <c r="J2567" i="77" s="1"/>
  <c r="J2568" i="77" s="1"/>
  <c r="J2569" i="77" s="1"/>
  <c r="J2570" i="77" s="1"/>
  <c r="J2571" i="77" s="1"/>
  <c r="J2572" i="77" s="1"/>
  <c r="J2573" i="77" s="1"/>
  <c r="J2574" i="77" s="1"/>
  <c r="J2575" i="77" s="1"/>
  <c r="J2576" i="77" s="1"/>
  <c r="J2577" i="77" s="1"/>
  <c r="J2578" i="77" s="1"/>
  <c r="J2579" i="77" s="1"/>
  <c r="J2580" i="77" s="1"/>
  <c r="J2581" i="77" s="1"/>
  <c r="J2582" i="77" s="1"/>
  <c r="J2583" i="77" s="1"/>
  <c r="J2584" i="77" s="1"/>
  <c r="J2585" i="77" s="1"/>
  <c r="J2586" i="77" s="1"/>
  <c r="J2587" i="77" s="1"/>
  <c r="J2588" i="77" s="1"/>
  <c r="J2589" i="77" s="1"/>
  <c r="J2590" i="77" s="1"/>
  <c r="J2591" i="77" s="1"/>
  <c r="J2592" i="77" s="1"/>
  <c r="J2593" i="77" s="1"/>
  <c r="J2594" i="77" s="1"/>
  <c r="J2595" i="77" s="1"/>
  <c r="J2596" i="77" s="1"/>
  <c r="J2597" i="77" s="1"/>
  <c r="J2598" i="77" s="1"/>
  <c r="J2599" i="77" s="1"/>
  <c r="J2600" i="77" s="1"/>
  <c r="J2601" i="77" s="1"/>
  <c r="J2602" i="77" s="1"/>
  <c r="J2603" i="77" s="1"/>
  <c r="J2604" i="77" s="1"/>
  <c r="J2605" i="77" s="1"/>
  <c r="J2606" i="77" s="1"/>
  <c r="J2607" i="77" s="1"/>
  <c r="J2608" i="77" s="1"/>
  <c r="J2609" i="77" s="1"/>
  <c r="J2610" i="77" s="1"/>
  <c r="J2611" i="77" s="1"/>
  <c r="J2612" i="77" s="1"/>
  <c r="J2613" i="77" s="1"/>
  <c r="J2614" i="77" s="1"/>
  <c r="J2615" i="77" s="1"/>
  <c r="J2616" i="77" s="1"/>
  <c r="J2617" i="77" s="1"/>
  <c r="J2618" i="77" s="1"/>
  <c r="J2619" i="77" s="1"/>
  <c r="J2620" i="77" s="1"/>
  <c r="J2621" i="77" s="1"/>
  <c r="J2622" i="77" s="1"/>
  <c r="J2623" i="77" s="1"/>
  <c r="J2624" i="77" s="1"/>
  <c r="J2625" i="77" s="1"/>
  <c r="J2626" i="77" s="1"/>
  <c r="J2627" i="77" s="1"/>
  <c r="J2628" i="77" s="1"/>
  <c r="J2629" i="77" s="1"/>
  <c r="J2630" i="77" s="1"/>
  <c r="J2631" i="77" s="1"/>
  <c r="J2632" i="77" s="1"/>
  <c r="J2633" i="77" s="1"/>
  <c r="J2634" i="77" s="1"/>
  <c r="J2635" i="77" s="1"/>
  <c r="J2636" i="77" s="1"/>
  <c r="J2637" i="77" s="1"/>
  <c r="J2638" i="77" s="1"/>
  <c r="J2639" i="77" s="1"/>
  <c r="J2640" i="77" s="1"/>
  <c r="J2641" i="77" s="1"/>
  <c r="J2642" i="77" s="1"/>
  <c r="J2643" i="77" s="1"/>
  <c r="J2644" i="77" s="1"/>
  <c r="J2645" i="77" s="1"/>
  <c r="J2646" i="77" s="1"/>
  <c r="J2647" i="77" s="1"/>
  <c r="J2648" i="77" s="1"/>
  <c r="J2649" i="77" s="1"/>
  <c r="J2650" i="77" s="1"/>
  <c r="J2651" i="77" s="1"/>
  <c r="J2652" i="77" s="1"/>
  <c r="J2653" i="77" s="1"/>
  <c r="J2654" i="77" s="1"/>
  <c r="J2655" i="77" s="1"/>
  <c r="J2656" i="77" s="1"/>
  <c r="J2657" i="77" s="1"/>
  <c r="J2658" i="77" s="1"/>
  <c r="J2659" i="77" s="1"/>
  <c r="J2660" i="77" s="1"/>
  <c r="J2661" i="77" s="1"/>
  <c r="J2662" i="77" s="1"/>
  <c r="J2663" i="77" s="1"/>
  <c r="J2664" i="77" s="1"/>
  <c r="J2665" i="77" s="1"/>
  <c r="J2666" i="77" s="1"/>
  <c r="J2667" i="77" s="1"/>
  <c r="J2668" i="77" s="1"/>
  <c r="J2669" i="77" s="1"/>
  <c r="J2670" i="77" s="1"/>
  <c r="J2671" i="77" s="1"/>
  <c r="J2672" i="77" s="1"/>
  <c r="J2673" i="77" s="1"/>
  <c r="J2674" i="77" s="1"/>
  <c r="J2675" i="77" s="1"/>
  <c r="J2676" i="77" s="1"/>
  <c r="J2677" i="77" s="1"/>
  <c r="J2678" i="77" s="1"/>
  <c r="J2679" i="77" s="1"/>
  <c r="J2680" i="77" s="1"/>
  <c r="J2681" i="77" s="1"/>
  <c r="J2682" i="77" s="1"/>
  <c r="J2683" i="77" s="1"/>
  <c r="J2684" i="77" s="1"/>
  <c r="J2685" i="77" s="1"/>
  <c r="J2686" i="77" s="1"/>
  <c r="J2687" i="77" s="1"/>
  <c r="J2688" i="77" s="1"/>
  <c r="J2689" i="77" s="1"/>
  <c r="J2690" i="77" s="1"/>
  <c r="J2691" i="77" s="1"/>
  <c r="J2692" i="77" s="1"/>
  <c r="J2693" i="77" s="1"/>
  <c r="J2694" i="77" s="1"/>
  <c r="J2695" i="77" s="1"/>
  <c r="J2696" i="77" s="1"/>
  <c r="J2697" i="77" s="1"/>
  <c r="J2698" i="77" s="1"/>
  <c r="J2699" i="77" s="1"/>
  <c r="J2700" i="77" s="1"/>
  <c r="J2701" i="77" s="1"/>
  <c r="J2702" i="77" s="1"/>
  <c r="J2703" i="77" s="1"/>
  <c r="J2704" i="77" s="1"/>
  <c r="J2705" i="77" s="1"/>
  <c r="J2706" i="77" s="1"/>
  <c r="J2707" i="77" s="1"/>
  <c r="J2708" i="77" s="1"/>
  <c r="J2709" i="77" s="1"/>
  <c r="J2710" i="77" s="1"/>
  <c r="J2711" i="77" s="1"/>
  <c r="J2712" i="77" s="1"/>
  <c r="J2713" i="77" s="1"/>
  <c r="J2714" i="77" s="1"/>
  <c r="J2715" i="77" s="1"/>
  <c r="J2716" i="77" s="1"/>
  <c r="J2717" i="77" s="1"/>
  <c r="J2718" i="77" s="1"/>
  <c r="J2719" i="77" s="1"/>
  <c r="J2720" i="77" s="1"/>
  <c r="J2721" i="77" s="1"/>
  <c r="J2722" i="77" s="1"/>
  <c r="J2723" i="77" s="1"/>
  <c r="J2724" i="77" s="1"/>
  <c r="J2725" i="77" s="1"/>
  <c r="J2726" i="77" s="1"/>
  <c r="J2727" i="77" s="1"/>
  <c r="J2728" i="77" s="1"/>
  <c r="J2729" i="77" s="1"/>
  <c r="J2730" i="77" s="1"/>
  <c r="J2731" i="77" s="1"/>
  <c r="J2732" i="77" s="1"/>
  <c r="J2733" i="77" s="1"/>
  <c r="J2734" i="77" s="1"/>
  <c r="J2735" i="77" s="1"/>
  <c r="J2736" i="77" s="1"/>
  <c r="J2737" i="77" s="1"/>
  <c r="J2738" i="77" s="1"/>
  <c r="J2739" i="77" s="1"/>
  <c r="J2740" i="77" s="1"/>
  <c r="J2741" i="77" s="1"/>
  <c r="J2742" i="77" s="1"/>
  <c r="J2743" i="77" s="1"/>
  <c r="J2744" i="77" s="1"/>
  <c r="J2745" i="77" s="1"/>
  <c r="J2746" i="77" s="1"/>
  <c r="J2747" i="77" s="1"/>
  <c r="J2748" i="77" s="1"/>
  <c r="J2749" i="77" s="1"/>
  <c r="J2750" i="77" s="1"/>
  <c r="J2751" i="77" s="1"/>
  <c r="J2752" i="77" s="1"/>
  <c r="J2753" i="77" s="1"/>
  <c r="J2754" i="77" s="1"/>
  <c r="J2755" i="77" s="1"/>
  <c r="J2756" i="77" s="1"/>
  <c r="J2757" i="77" s="1"/>
  <c r="J2758" i="77" s="1"/>
  <c r="J2759" i="77" s="1"/>
  <c r="J2760" i="77" s="1"/>
  <c r="J2761" i="77" s="1"/>
  <c r="J2762" i="77" s="1"/>
  <c r="J2763" i="77" s="1"/>
  <c r="J2764" i="77" s="1"/>
  <c r="J2765" i="77" s="1"/>
  <c r="J2766" i="77" s="1"/>
  <c r="J2767" i="77" s="1"/>
  <c r="J2768" i="77" s="1"/>
  <c r="J2769" i="77" s="1"/>
  <c r="J2770" i="77" s="1"/>
  <c r="J2771" i="77" s="1"/>
  <c r="J2772" i="77" s="1"/>
  <c r="J2773" i="77" s="1"/>
  <c r="J2774" i="77" s="1"/>
  <c r="J2775" i="77" s="1"/>
  <c r="J2776" i="77" s="1"/>
  <c r="J2777" i="77" s="1"/>
  <c r="J2778" i="77" s="1"/>
  <c r="J2779" i="77" s="1"/>
  <c r="J2780" i="77" s="1"/>
  <c r="J2781" i="77" s="1"/>
  <c r="J2782" i="77" s="1"/>
  <c r="J2783" i="77" s="1"/>
  <c r="J2784" i="77" s="1"/>
  <c r="J2785" i="77" s="1"/>
  <c r="J2786" i="77" s="1"/>
  <c r="J2787" i="77" s="1"/>
  <c r="J2788" i="77" s="1"/>
  <c r="J2789" i="77" s="1"/>
  <c r="J2790" i="77" s="1"/>
  <c r="J2791" i="77" s="1"/>
  <c r="J2792" i="77" s="1"/>
  <c r="J2793" i="77" s="1"/>
  <c r="J2794" i="77" s="1"/>
  <c r="J2795" i="77" s="1"/>
  <c r="J2796" i="77" s="1"/>
  <c r="J2797" i="77" s="1"/>
  <c r="J2798" i="77" s="1"/>
  <c r="J2799" i="77" s="1"/>
  <c r="J2800" i="77" s="1"/>
  <c r="J2801" i="77" s="1"/>
  <c r="J2802" i="77" s="1"/>
  <c r="J2803" i="77" s="1"/>
  <c r="J2804" i="77" s="1"/>
  <c r="J2805" i="77" s="1"/>
  <c r="J2806" i="77" s="1"/>
  <c r="J2807" i="77" s="1"/>
  <c r="J2808" i="77" s="1"/>
  <c r="J2809" i="77" s="1"/>
  <c r="J2810" i="77" s="1"/>
  <c r="J2811" i="77" s="1"/>
  <c r="J2812" i="77" s="1"/>
  <c r="J2813" i="77" s="1"/>
  <c r="J2814" i="77" s="1"/>
  <c r="J2815" i="77" s="1"/>
  <c r="J2816" i="77" s="1"/>
  <c r="J2817" i="77" s="1"/>
  <c r="J2818" i="77" s="1"/>
  <c r="J2819" i="77" s="1"/>
  <c r="J2820" i="77" s="1"/>
  <c r="J2821" i="77" s="1"/>
  <c r="J2822" i="77" s="1"/>
  <c r="J2823" i="77" s="1"/>
  <c r="J2824" i="77" s="1"/>
  <c r="J2825" i="77" s="1"/>
  <c r="J2826" i="77" s="1"/>
  <c r="J2827" i="77" s="1"/>
  <c r="J2828" i="77" s="1"/>
  <c r="J2829" i="77" s="1"/>
  <c r="J2830" i="77" s="1"/>
  <c r="J2831" i="77" s="1"/>
  <c r="J2832" i="77" s="1"/>
  <c r="J2833" i="77" s="1"/>
  <c r="J2834" i="77" s="1"/>
  <c r="J2835" i="77" s="1"/>
  <c r="J2836" i="77" s="1"/>
  <c r="J2837" i="77" s="1"/>
  <c r="J2838" i="77" s="1"/>
  <c r="J2839" i="77" s="1"/>
  <c r="J2840" i="77" s="1"/>
  <c r="J2841" i="77" s="1"/>
  <c r="J2842" i="77" s="1"/>
  <c r="J2843" i="77" s="1"/>
  <c r="J2844" i="77" s="1"/>
  <c r="J2845" i="77" s="1"/>
  <c r="J2846" i="77" s="1"/>
  <c r="J2847" i="77" s="1"/>
  <c r="J2848" i="77" s="1"/>
  <c r="J2849" i="77" s="1"/>
  <c r="J2850" i="77" s="1"/>
  <c r="J2851" i="77" s="1"/>
  <c r="J2852" i="77" s="1"/>
  <c r="J2853" i="77" s="1"/>
  <c r="J2854" i="77" s="1"/>
  <c r="J2855" i="77" s="1"/>
  <c r="J2856" i="77" s="1"/>
  <c r="J2857" i="77" s="1"/>
  <c r="J2858" i="77" s="1"/>
  <c r="J2859" i="77" s="1"/>
  <c r="J2860" i="77" s="1"/>
  <c r="J2861" i="77" s="1"/>
  <c r="J2862" i="77" s="1"/>
  <c r="J2863" i="77" s="1"/>
  <c r="J2864" i="77" s="1"/>
  <c r="J2865" i="77" s="1"/>
  <c r="J2866" i="77" s="1"/>
  <c r="J2867" i="77" s="1"/>
  <c r="J2868" i="77" s="1"/>
  <c r="J2869" i="77" s="1"/>
  <c r="J2870" i="77" s="1"/>
  <c r="J2871" i="77" s="1"/>
  <c r="J2872" i="77" s="1"/>
  <c r="J2873" i="77" s="1"/>
  <c r="J2874" i="77" s="1"/>
  <c r="J2875" i="77" s="1"/>
  <c r="J2876" i="77" s="1"/>
  <c r="J2877" i="77" s="1"/>
  <c r="J2878" i="77" s="1"/>
  <c r="J2879" i="77" s="1"/>
  <c r="J2880" i="77" s="1"/>
  <c r="J2881" i="77" s="1"/>
  <c r="J2882" i="77" s="1"/>
  <c r="J2883" i="77" s="1"/>
  <c r="J2884" i="77" s="1"/>
  <c r="J2885" i="77" s="1"/>
  <c r="J2886" i="77" s="1"/>
  <c r="J2887" i="77" s="1"/>
  <c r="J2888" i="77" s="1"/>
  <c r="J2889" i="77" s="1"/>
  <c r="J2890" i="77" s="1"/>
  <c r="J2891" i="77" s="1"/>
  <c r="J2892" i="77" s="1"/>
  <c r="J2893" i="77" s="1"/>
  <c r="J2894" i="77" s="1"/>
  <c r="J2895" i="77" s="1"/>
  <c r="J2896" i="77" s="1"/>
  <c r="J2897" i="77" s="1"/>
  <c r="J2898" i="77" s="1"/>
  <c r="J2899" i="77" s="1"/>
  <c r="J2900" i="77" s="1"/>
  <c r="J2901" i="77" s="1"/>
  <c r="J2902" i="77" s="1"/>
  <c r="J2903" i="77" s="1"/>
  <c r="J2904" i="77" s="1"/>
  <c r="J2905" i="77" s="1"/>
  <c r="J2906" i="77" s="1"/>
  <c r="J2907" i="77" s="1"/>
  <c r="J2908" i="77" s="1"/>
  <c r="J2909" i="77" s="1"/>
  <c r="J2910" i="77" s="1"/>
  <c r="J2911" i="77" s="1"/>
  <c r="J2912" i="77" s="1"/>
  <c r="J2913" i="77" s="1"/>
  <c r="J2914" i="77" s="1"/>
  <c r="J2915" i="77" s="1"/>
  <c r="J2916" i="77" s="1"/>
  <c r="J2917" i="77" s="1"/>
  <c r="J2918" i="77" s="1"/>
  <c r="J2919" i="77" s="1"/>
  <c r="J2920" i="77" s="1"/>
  <c r="J2921" i="77" s="1"/>
  <c r="J2922" i="77" s="1"/>
  <c r="J2923" i="77" s="1"/>
  <c r="J2924" i="77" s="1"/>
  <c r="J2925" i="77" s="1"/>
  <c r="J2926" i="77" s="1"/>
  <c r="J2927" i="77" s="1"/>
  <c r="J2928" i="77" s="1"/>
  <c r="J2929" i="77" s="1"/>
  <c r="J2930" i="77" s="1"/>
  <c r="J2931" i="77" s="1"/>
  <c r="J2932" i="77" s="1"/>
  <c r="J2933" i="77" s="1"/>
  <c r="J2934" i="77" s="1"/>
  <c r="J2935" i="77" s="1"/>
  <c r="J2936" i="77" s="1"/>
  <c r="J2937" i="77" s="1"/>
  <c r="J2938" i="77" s="1"/>
  <c r="J2939" i="77" s="1"/>
  <c r="J2940" i="77" s="1"/>
  <c r="J2941" i="77" s="1"/>
  <c r="J2942" i="77" s="1"/>
  <c r="J2943" i="77" s="1"/>
  <c r="J2944" i="77" s="1"/>
  <c r="J2945" i="77" s="1"/>
  <c r="J2946" i="77" s="1"/>
  <c r="J2947" i="77" s="1"/>
  <c r="J2948" i="77" s="1"/>
  <c r="J2949" i="77" s="1"/>
  <c r="J2950" i="77" s="1"/>
  <c r="J2951" i="77" s="1"/>
  <c r="J2952" i="77" s="1"/>
  <c r="J2953" i="77" s="1"/>
  <c r="J2954" i="77" s="1"/>
  <c r="J2955" i="77" s="1"/>
  <c r="J2956" i="77" s="1"/>
  <c r="J2957" i="77" s="1"/>
  <c r="J2958" i="77" s="1"/>
  <c r="J2959" i="77" s="1"/>
  <c r="J2960" i="77" s="1"/>
  <c r="J2961" i="77" s="1"/>
  <c r="J2962" i="77" s="1"/>
  <c r="J2963" i="77" s="1"/>
  <c r="J2964" i="77" s="1"/>
  <c r="J2965" i="77" s="1"/>
  <c r="J2966" i="77" s="1"/>
  <c r="J2967" i="77" s="1"/>
  <c r="J2968" i="77" s="1"/>
  <c r="J2969" i="77" s="1"/>
  <c r="J2970" i="77" s="1"/>
  <c r="J2971" i="77" s="1"/>
  <c r="J2972" i="77" s="1"/>
  <c r="J2973" i="77" s="1"/>
  <c r="J2974" i="77" s="1"/>
  <c r="J2975" i="77" s="1"/>
  <c r="J2976" i="77" s="1"/>
  <c r="J2977" i="77" s="1"/>
  <c r="J2978" i="77" s="1"/>
  <c r="J2979" i="77" s="1"/>
  <c r="J2980" i="77" s="1"/>
  <c r="J2981" i="77" s="1"/>
  <c r="J2982" i="77" s="1"/>
  <c r="J2983" i="77" s="1"/>
  <c r="J2984" i="77" s="1"/>
  <c r="J2985" i="77" s="1"/>
  <c r="J2986" i="77" s="1"/>
  <c r="J2987" i="77" s="1"/>
  <c r="J2988" i="77" s="1"/>
  <c r="J2989" i="77" s="1"/>
  <c r="J2990" i="77" s="1"/>
  <c r="J2991" i="77" s="1"/>
  <c r="J2992" i="77" s="1"/>
  <c r="J2993" i="77" s="1"/>
  <c r="J2994" i="77" s="1"/>
  <c r="J2995" i="77" s="1"/>
  <c r="J2996" i="77" s="1"/>
  <c r="J2997" i="77" s="1"/>
  <c r="J2998" i="77" s="1"/>
  <c r="J2999" i="77" s="1"/>
  <c r="J3000" i="77" s="1"/>
  <c r="J3001" i="77" s="1"/>
  <c r="J3002" i="77" s="1"/>
  <c r="J3003" i="77" s="1"/>
  <c r="J3004" i="77" s="1"/>
  <c r="J3005" i="77" s="1"/>
  <c r="J3006" i="77" s="1"/>
  <c r="J3007" i="77" s="1"/>
  <c r="J3008" i="77" s="1"/>
  <c r="J3009" i="77" s="1"/>
  <c r="J3010" i="77" s="1"/>
  <c r="J3011" i="77" s="1"/>
  <c r="J3012" i="77" s="1"/>
  <c r="J3013" i="77" s="1"/>
  <c r="J3014" i="77" s="1"/>
  <c r="J3015" i="77" s="1"/>
  <c r="J3016" i="77" s="1"/>
  <c r="J3017" i="77" s="1"/>
  <c r="J3018" i="77" s="1"/>
  <c r="J3019" i="77" s="1"/>
  <c r="J3020" i="77" s="1"/>
  <c r="J3021" i="77" s="1"/>
  <c r="J3022" i="77" s="1"/>
  <c r="J3023" i="77" s="1"/>
  <c r="J3024" i="77" s="1"/>
  <c r="J3025" i="77" s="1"/>
  <c r="J3026" i="77" s="1"/>
  <c r="J3027" i="77" s="1"/>
  <c r="J3028" i="77" s="1"/>
  <c r="J3029" i="77" s="1"/>
  <c r="J3030" i="77" s="1"/>
  <c r="J3031" i="77" s="1"/>
  <c r="J3032" i="77" s="1"/>
  <c r="J3033" i="77" s="1"/>
  <c r="J3034" i="77" s="1"/>
  <c r="J3035" i="77" s="1"/>
  <c r="J3036" i="77" s="1"/>
  <c r="J3037" i="77" s="1"/>
  <c r="J3038" i="77" s="1"/>
  <c r="J3039" i="77" s="1"/>
  <c r="J3040" i="77" s="1"/>
  <c r="J3041" i="77" s="1"/>
  <c r="J3042" i="77" s="1"/>
  <c r="J3043" i="77" s="1"/>
  <c r="J3044" i="77" s="1"/>
  <c r="J3045" i="77" s="1"/>
  <c r="J3046" i="77" s="1"/>
  <c r="J3047" i="77" s="1"/>
  <c r="J3048" i="77" s="1"/>
  <c r="J3049" i="77" s="1"/>
  <c r="J3050" i="77" s="1"/>
  <c r="J3051" i="77" s="1"/>
  <c r="J3052" i="77" s="1"/>
  <c r="J3053" i="77" s="1"/>
  <c r="J3054" i="77" s="1"/>
  <c r="J3055" i="77" s="1"/>
  <c r="J3056" i="77" s="1"/>
  <c r="J3057" i="77" s="1"/>
  <c r="J3058" i="77" s="1"/>
  <c r="J3059" i="77" s="1"/>
  <c r="J3060" i="77" s="1"/>
  <c r="J3061" i="77" s="1"/>
  <c r="J3062" i="77" s="1"/>
  <c r="J3063" i="77" s="1"/>
  <c r="J3064" i="77" s="1"/>
  <c r="J3065" i="77" s="1"/>
  <c r="J3066" i="77" s="1"/>
  <c r="J3067" i="77" s="1"/>
  <c r="J3068" i="77" s="1"/>
  <c r="J3069" i="77" s="1"/>
  <c r="J3070" i="77" s="1"/>
  <c r="J3071" i="77" s="1"/>
  <c r="J3072" i="77" s="1"/>
  <c r="J3073" i="77" s="1"/>
  <c r="J3074" i="77" s="1"/>
  <c r="J3075" i="77" s="1"/>
  <c r="J3076" i="77" s="1"/>
  <c r="J3077" i="77" s="1"/>
  <c r="J3078" i="77" s="1"/>
  <c r="J3079" i="77" s="1"/>
  <c r="J3080" i="77" s="1"/>
  <c r="J3081" i="77" s="1"/>
  <c r="J3082" i="77" s="1"/>
  <c r="J3083" i="77" s="1"/>
  <c r="J3084" i="77" s="1"/>
  <c r="J3085" i="77" s="1"/>
  <c r="J3086" i="77" s="1"/>
  <c r="J3087" i="77" s="1"/>
  <c r="J3088" i="77" s="1"/>
  <c r="J3089" i="77" s="1"/>
  <c r="J3090" i="77" s="1"/>
  <c r="J3091" i="77" s="1"/>
  <c r="J3092" i="77" s="1"/>
  <c r="J3093" i="77" s="1"/>
  <c r="J3094" i="77" s="1"/>
  <c r="J3095" i="77" s="1"/>
  <c r="J3096" i="77" s="1"/>
  <c r="J3097" i="77" s="1"/>
  <c r="J3098" i="77" s="1"/>
  <c r="J3099" i="77" s="1"/>
  <c r="J3100" i="77" s="1"/>
  <c r="J3101" i="77" s="1"/>
  <c r="J3102" i="77" s="1"/>
  <c r="J3103" i="77" s="1"/>
  <c r="J3104" i="77" s="1"/>
  <c r="J3105" i="77" s="1"/>
  <c r="J3106" i="77" s="1"/>
  <c r="J3107" i="77" s="1"/>
  <c r="J3108" i="77" s="1"/>
  <c r="J3109" i="77" s="1"/>
  <c r="J3110" i="77" s="1"/>
  <c r="J3111" i="77" s="1"/>
  <c r="J3112" i="77" s="1"/>
  <c r="J3113" i="77" s="1"/>
  <c r="J3114" i="77" s="1"/>
  <c r="J3115" i="77" s="1"/>
  <c r="J3116" i="77" s="1"/>
  <c r="J3117" i="77" s="1"/>
  <c r="J3118" i="77" s="1"/>
  <c r="J3119" i="77" s="1"/>
  <c r="J3120" i="77" s="1"/>
  <c r="J3121" i="77" s="1"/>
  <c r="J3122" i="77" s="1"/>
  <c r="J3123" i="77" s="1"/>
  <c r="J3124" i="77" s="1"/>
  <c r="J3125" i="77" s="1"/>
  <c r="J3126" i="77" s="1"/>
  <c r="J3127" i="77" s="1"/>
  <c r="J3128" i="77" s="1"/>
  <c r="J3129" i="77" s="1"/>
  <c r="J3130" i="77" s="1"/>
  <c r="J3131" i="77" s="1"/>
  <c r="J3132" i="77" s="1"/>
  <c r="J3133" i="77" s="1"/>
  <c r="J3134" i="77" s="1"/>
  <c r="J3135" i="77" s="1"/>
  <c r="J3136" i="77" s="1"/>
  <c r="J3137" i="77" s="1"/>
  <c r="J3138" i="77" s="1"/>
  <c r="J3139" i="77" s="1"/>
  <c r="J3140" i="77" s="1"/>
  <c r="J3141" i="77" s="1"/>
  <c r="J3142" i="77" s="1"/>
  <c r="J3143" i="77" s="1"/>
  <c r="J3144" i="77" s="1"/>
  <c r="J3145" i="77" s="1"/>
  <c r="J3146" i="77" s="1"/>
  <c r="J3147" i="77" s="1"/>
  <c r="J3148" i="77" s="1"/>
  <c r="J3149" i="77" s="1"/>
  <c r="J3150" i="77" s="1"/>
  <c r="J3151" i="77" s="1"/>
  <c r="J3152" i="77" s="1"/>
  <c r="J3153" i="77" s="1"/>
  <c r="J3154" i="77" s="1"/>
  <c r="J3155" i="77" s="1"/>
  <c r="E59" i="88"/>
  <c r="E60" i="88" s="1"/>
  <c r="E59" i="86"/>
  <c r="E60" i="86" s="1"/>
  <c r="E59" i="87"/>
  <c r="E60" i="87" s="1"/>
  <c r="O24" i="88"/>
  <c r="N39" i="88"/>
  <c r="O24" i="86"/>
  <c r="N39" i="86"/>
  <c r="O24" i="87"/>
  <c r="N39" i="87"/>
  <c r="R16" i="24"/>
  <c r="R41" i="1"/>
  <c r="G19" i="74"/>
  <c r="G35" i="74"/>
  <c r="K52" i="22"/>
  <c r="K48" i="22"/>
  <c r="K46" i="22"/>
  <c r="K55" i="22"/>
  <c r="K50" i="22"/>
  <c r="K47" i="22"/>
  <c r="K60" i="22"/>
  <c r="K56" i="22"/>
  <c r="K51" i="22"/>
  <c r="K45" i="22"/>
  <c r="K59" i="22"/>
  <c r="K28" i="22"/>
  <c r="L19" i="22"/>
  <c r="K24" i="22"/>
  <c r="K23" i="22"/>
  <c r="K49" i="22"/>
  <c r="K58" i="22"/>
  <c r="K57" i="22"/>
  <c r="K53" i="22"/>
  <c r="K54" i="22"/>
  <c r="K27" i="22"/>
  <c r="K35" i="22"/>
  <c r="K43" i="22"/>
  <c r="K40" i="22"/>
  <c r="K22" i="22"/>
  <c r="K30" i="22"/>
  <c r="K31" i="22"/>
  <c r="K33" i="22"/>
  <c r="K41" i="22"/>
  <c r="K32" i="22"/>
  <c r="K34" i="22"/>
  <c r="K39" i="22"/>
  <c r="K29" i="22"/>
  <c r="K42" i="22"/>
  <c r="K37" i="22"/>
  <c r="K38" i="22"/>
  <c r="K44" i="22"/>
  <c r="K36" i="22"/>
  <c r="E16" i="24"/>
  <c r="E7" i="24" s="1"/>
  <c r="I16" i="74"/>
  <c r="BK25" i="18"/>
  <c r="BJ25" i="18"/>
  <c r="AV12" i="1"/>
  <c r="AP12" i="1"/>
  <c r="F10" i="20"/>
  <c r="AQ12" i="1"/>
  <c r="AZ39" i="60"/>
  <c r="AZ16" i="60"/>
  <c r="AZ15" i="60"/>
  <c r="BQ20" i="47"/>
  <c r="BQ42" i="47"/>
  <c r="BQ15" i="47"/>
  <c r="BQ21" i="47"/>
  <c r="BQ41" i="47"/>
  <c r="BQ44" i="47"/>
  <c r="BQ43" i="47"/>
  <c r="BQ13" i="47"/>
  <c r="BQ14" i="47"/>
  <c r="BQ12" i="47"/>
  <c r="BQ23" i="47"/>
  <c r="BQ8" i="47"/>
  <c r="BQ39" i="47"/>
  <c r="BQ9" i="47"/>
  <c r="BQ27" i="47"/>
  <c r="BQ22" i="47"/>
  <c r="BR20" i="47"/>
  <c r="BR21" i="47"/>
  <c r="BR42" i="47"/>
  <c r="BR43" i="47"/>
  <c r="BR14" i="47"/>
  <c r="BR8" i="47"/>
  <c r="BR27" i="47"/>
  <c r="BR41" i="47"/>
  <c r="BR22" i="47"/>
  <c r="BR15" i="47"/>
  <c r="BR39" i="47"/>
  <c r="BR9" i="47"/>
  <c r="BR23" i="47"/>
  <c r="BR13" i="47"/>
  <c r="BR44" i="47"/>
  <c r="BR12" i="47"/>
  <c r="BO27" i="47"/>
  <c r="BO13" i="47"/>
  <c r="BO8" i="47"/>
  <c r="BO39" i="47"/>
  <c r="BO15" i="47"/>
  <c r="BO9" i="47"/>
  <c r="BO22" i="47"/>
  <c r="BO41" i="47"/>
  <c r="BO42" i="47"/>
  <c r="BO43" i="47"/>
  <c r="BO20" i="47"/>
  <c r="BO12" i="47"/>
  <c r="BO23" i="47"/>
  <c r="BO14" i="47"/>
  <c r="BO21" i="47"/>
  <c r="BO44" i="47"/>
  <c r="BI21" i="18"/>
  <c r="BI20" i="18"/>
  <c r="BI24" i="18"/>
  <c r="BI12" i="18"/>
  <c r="BI16" i="18"/>
  <c r="BI14" i="18"/>
  <c r="BI31" i="18"/>
  <c r="BI18" i="18"/>
  <c r="BI26" i="18"/>
  <c r="BI30" i="18"/>
  <c r="BI19" i="18"/>
  <c r="BI15" i="18"/>
  <c r="BI11" i="18"/>
  <c r="BI27" i="18"/>
  <c r="BI10" i="18"/>
  <c r="BI29" i="18"/>
  <c r="BI13" i="18"/>
  <c r="BI23" i="18"/>
  <c r="BI17" i="18"/>
  <c r="BI22" i="18"/>
  <c r="BI32" i="18"/>
  <c r="BE27" i="18"/>
  <c r="BE10" i="18"/>
  <c r="BE30" i="18"/>
  <c r="BE15" i="18"/>
  <c r="BE16" i="18"/>
  <c r="BE32" i="18"/>
  <c r="BE13" i="18"/>
  <c r="BE26" i="18"/>
  <c r="BE22" i="18"/>
  <c r="BE11" i="18"/>
  <c r="BE21" i="18"/>
  <c r="BE29" i="18"/>
  <c r="BE23" i="18"/>
  <c r="BE31" i="18"/>
  <c r="BE14" i="18"/>
  <c r="BE19" i="18"/>
  <c r="BE20" i="18"/>
  <c r="BE24" i="18"/>
  <c r="BE18" i="18"/>
  <c r="BE12" i="18"/>
  <c r="BT44" i="47"/>
  <c r="BT12" i="47"/>
  <c r="BT9" i="47"/>
  <c r="BT39" i="47"/>
  <c r="BT42" i="47"/>
  <c r="BT43" i="47"/>
  <c r="BT41" i="47"/>
  <c r="BT23" i="47"/>
  <c r="BT20" i="47"/>
  <c r="BT13" i="47"/>
  <c r="BT22" i="47"/>
  <c r="BT15" i="47"/>
  <c r="BT27" i="47"/>
  <c r="BT14" i="47"/>
  <c r="BT21" i="47"/>
  <c r="BT8" i="47"/>
  <c r="BJ39" i="60"/>
  <c r="BJ11" i="60"/>
  <c r="BJ16" i="60"/>
  <c r="BJ15" i="60"/>
  <c r="BC23" i="18"/>
  <c r="BC26" i="18"/>
  <c r="BC13" i="18"/>
  <c r="BC12" i="18"/>
  <c r="BC32" i="18"/>
  <c r="BC17" i="18"/>
  <c r="BC14" i="18"/>
  <c r="BC22" i="18"/>
  <c r="BC19" i="18"/>
  <c r="BC15" i="18"/>
  <c r="BC24" i="18"/>
  <c r="BC11" i="18"/>
  <c r="BC29" i="18"/>
  <c r="BC16" i="18"/>
  <c r="BC18" i="18"/>
  <c r="BC21" i="18"/>
  <c r="BC20" i="18"/>
  <c r="BC27" i="18"/>
  <c r="BC10" i="18"/>
  <c r="BC31" i="18"/>
  <c r="BC30" i="18"/>
  <c r="BF13" i="18"/>
  <c r="BF12" i="18"/>
  <c r="BF32" i="18"/>
  <c r="BF18" i="18"/>
  <c r="BF29" i="18"/>
  <c r="BF26" i="18"/>
  <c r="BF15" i="18"/>
  <c r="BF11" i="18"/>
  <c r="BF31" i="18"/>
  <c r="BF16" i="18"/>
  <c r="BF21" i="18"/>
  <c r="BF24" i="18"/>
  <c r="BF10" i="18"/>
  <c r="BF27" i="18"/>
  <c r="BF17" i="18"/>
  <c r="BF19" i="18"/>
  <c r="BF30" i="18"/>
  <c r="BF14" i="18"/>
  <c r="BF20" i="18"/>
  <c r="BF23" i="18"/>
  <c r="BF22" i="18"/>
  <c r="BV41" i="47"/>
  <c r="BV20" i="47"/>
  <c r="BV39" i="47"/>
  <c r="BV44" i="47"/>
  <c r="BV21" i="47"/>
  <c r="BV22" i="47"/>
  <c r="BV13" i="47"/>
  <c r="BV8" i="47"/>
  <c r="BV43" i="47"/>
  <c r="BV14" i="47"/>
  <c r="BV15" i="47"/>
  <c r="BV9" i="47"/>
  <c r="BV12" i="47"/>
  <c r="BV23" i="47"/>
  <c r="BV27" i="47"/>
  <c r="BV42" i="47"/>
  <c r="BG16" i="60"/>
  <c r="BG39" i="60"/>
  <c r="BG15" i="60"/>
  <c r="BG11" i="60"/>
  <c r="AT12" i="1"/>
  <c r="AU12" i="1"/>
  <c r="AR12" i="1"/>
  <c r="BG25" i="18"/>
  <c r="BC25" i="18"/>
  <c r="AO12" i="1"/>
  <c r="AS12" i="1"/>
  <c r="BG13" i="18"/>
  <c r="BG22" i="18"/>
  <c r="BG32" i="18"/>
  <c r="BG23" i="18"/>
  <c r="BG31" i="18"/>
  <c r="BG29" i="18"/>
  <c r="BG14" i="18"/>
  <c r="BG27" i="18"/>
  <c r="BG15" i="18"/>
  <c r="BG10" i="18"/>
  <c r="BG21" i="18"/>
  <c r="BG16" i="18"/>
  <c r="BG11" i="18"/>
  <c r="BG19" i="18"/>
  <c r="BG24" i="18"/>
  <c r="BG20" i="18"/>
  <c r="BG18" i="18"/>
  <c r="BG12" i="18"/>
  <c r="BG26" i="18"/>
  <c r="BG30" i="18"/>
  <c r="AZ18" i="18"/>
  <c r="AZ23" i="18"/>
  <c r="AZ11" i="18"/>
  <c r="AZ13" i="18"/>
  <c r="AZ31" i="18"/>
  <c r="AZ27" i="18"/>
  <c r="AZ22" i="18"/>
  <c r="AZ30" i="18"/>
  <c r="AZ19" i="18"/>
  <c r="AZ15" i="18"/>
  <c r="AZ24" i="18"/>
  <c r="AZ20" i="18"/>
  <c r="AZ17" i="18"/>
  <c r="AZ16" i="18"/>
  <c r="AZ14" i="18"/>
  <c r="AZ10" i="18"/>
  <c r="AZ12" i="18"/>
  <c r="AZ26" i="18"/>
  <c r="AZ21" i="18"/>
  <c r="AZ32" i="18"/>
  <c r="AZ29" i="18"/>
  <c r="BF16" i="60"/>
  <c r="BF11" i="60"/>
  <c r="BF39" i="60"/>
  <c r="BF15" i="60"/>
  <c r="BF25" i="18"/>
  <c r="BB25" i="18"/>
  <c r="BI25" i="18"/>
  <c r="BJ24" i="18"/>
  <c r="BJ13" i="18"/>
  <c r="BJ20" i="18"/>
  <c r="BJ10" i="18"/>
  <c r="BJ19" i="18"/>
  <c r="BJ21" i="18"/>
  <c r="BJ29" i="18"/>
  <c r="BJ11" i="18"/>
  <c r="BJ14" i="18"/>
  <c r="BJ26" i="18"/>
  <c r="BJ27" i="18"/>
  <c r="BJ32" i="18"/>
  <c r="BJ23" i="18"/>
  <c r="BJ30" i="18"/>
  <c r="BJ22" i="18"/>
  <c r="BJ18" i="18"/>
  <c r="BJ31" i="18"/>
  <c r="BJ15" i="18"/>
  <c r="BJ12" i="18"/>
  <c r="BJ16" i="18"/>
  <c r="BS12" i="47"/>
  <c r="BS27" i="47"/>
  <c r="BS23" i="47"/>
  <c r="BS9" i="47"/>
  <c r="BS15" i="47"/>
  <c r="BS39" i="47"/>
  <c r="BS41" i="47"/>
  <c r="BS43" i="47"/>
  <c r="BS21" i="47"/>
  <c r="BS42" i="47"/>
  <c r="BS20" i="47"/>
  <c r="BS44" i="47"/>
  <c r="BS13" i="47"/>
  <c r="BS14" i="47"/>
  <c r="BS8" i="47"/>
  <c r="BS22" i="47"/>
  <c r="BX41" i="47"/>
  <c r="BX12" i="47"/>
  <c r="BX39" i="47"/>
  <c r="BX42" i="47"/>
  <c r="BX22" i="47"/>
  <c r="BX9" i="47"/>
  <c r="BX14" i="47"/>
  <c r="BX20" i="47"/>
  <c r="BX43" i="47"/>
  <c r="BX13" i="47"/>
  <c r="BX23" i="47"/>
  <c r="BX15" i="47"/>
  <c r="BX27" i="47"/>
  <c r="BX8" i="47"/>
  <c r="BX44" i="47"/>
  <c r="BX21" i="47"/>
  <c r="BD39" i="60"/>
  <c r="BD16" i="60"/>
  <c r="BD11" i="60"/>
  <c r="BD15" i="60"/>
  <c r="AZ33" i="1"/>
  <c r="H32" i="20"/>
  <c r="H34" i="20" s="1"/>
  <c r="BI39" i="60"/>
  <c r="BI16" i="60"/>
  <c r="BI15" i="60"/>
  <c r="BI11" i="60"/>
  <c r="BB12" i="18"/>
  <c r="BB18" i="18"/>
  <c r="BB26" i="18"/>
  <c r="BB32" i="18"/>
  <c r="BB10" i="18"/>
  <c r="BB14" i="18"/>
  <c r="BB19" i="18"/>
  <c r="BB23" i="18"/>
  <c r="BB31" i="18"/>
  <c r="BB15" i="18"/>
  <c r="BB9" i="18"/>
  <c r="BB30" i="18"/>
  <c r="BB20" i="18"/>
  <c r="BB24" i="18"/>
  <c r="BB11" i="18"/>
  <c r="BB13" i="18"/>
  <c r="BB16" i="18"/>
  <c r="BB22" i="18"/>
  <c r="BB27" i="18"/>
  <c r="BB29" i="18"/>
  <c r="BB21" i="18"/>
  <c r="BU39" i="47"/>
  <c r="BU21" i="47"/>
  <c r="BU42" i="47"/>
  <c r="BU8" i="47"/>
  <c r="BU23" i="47"/>
  <c r="BU14" i="47"/>
  <c r="BU15" i="47"/>
  <c r="BU12" i="47"/>
  <c r="BU43" i="47"/>
  <c r="BU9" i="47"/>
  <c r="BU44" i="47"/>
  <c r="BU13" i="47"/>
  <c r="BU22" i="47"/>
  <c r="BU41" i="47"/>
  <c r="BU27" i="47"/>
  <c r="BU20" i="47"/>
  <c r="BP41" i="47"/>
  <c r="BP22" i="47"/>
  <c r="BP23" i="47"/>
  <c r="BP21" i="47"/>
  <c r="BP13" i="47"/>
  <c r="BP43" i="47"/>
  <c r="BP8" i="47"/>
  <c r="BP44" i="47"/>
  <c r="BP42" i="47"/>
  <c r="BP12" i="47"/>
  <c r="BP15" i="47"/>
  <c r="BP27" i="47"/>
  <c r="BP14" i="47"/>
  <c r="BP39" i="47"/>
  <c r="BP20" i="47"/>
  <c r="BP9" i="47"/>
  <c r="BH18" i="18"/>
  <c r="BH16" i="18"/>
  <c r="BH31" i="18"/>
  <c r="BH10" i="18"/>
  <c r="BH21" i="18"/>
  <c r="BH32" i="18"/>
  <c r="BH26" i="18"/>
  <c r="BH27" i="18"/>
  <c r="BH19" i="18"/>
  <c r="BH14" i="18"/>
  <c r="BH24" i="18"/>
  <c r="BH30" i="18"/>
  <c r="BH12" i="18"/>
  <c r="BH20" i="18"/>
  <c r="BH11" i="18"/>
  <c r="BH23" i="18"/>
  <c r="BH13" i="18"/>
  <c r="BH22" i="18"/>
  <c r="BH15" i="18"/>
  <c r="BH29" i="18"/>
  <c r="AW12" i="1"/>
  <c r="BH25" i="18"/>
  <c r="BA25" i="18"/>
  <c r="AZ25" i="18"/>
  <c r="BN44" i="47"/>
  <c r="BN42" i="47"/>
  <c r="BN14" i="47"/>
  <c r="BN39" i="47"/>
  <c r="BN22" i="47"/>
  <c r="BN27" i="47"/>
  <c r="BN21" i="47"/>
  <c r="BN9" i="47"/>
  <c r="BN8" i="47"/>
  <c r="BN23" i="47"/>
  <c r="BN41" i="47"/>
  <c r="BN13" i="47"/>
  <c r="BN12" i="47"/>
  <c r="BN20" i="47"/>
  <c r="BN43" i="47"/>
  <c r="BN15" i="47"/>
  <c r="BC39" i="60"/>
  <c r="BC11" i="60"/>
  <c r="BC16" i="60"/>
  <c r="BC15" i="60"/>
  <c r="BB16" i="60"/>
  <c r="BB39" i="60"/>
  <c r="BB11" i="60"/>
  <c r="BB15" i="60"/>
  <c r="BD22" i="18"/>
  <c r="BD19" i="18"/>
  <c r="BD15" i="18"/>
  <c r="BD13" i="18"/>
  <c r="BD10" i="18"/>
  <c r="BD24" i="18"/>
  <c r="BD12" i="18"/>
  <c r="BD27" i="18"/>
  <c r="BD11" i="18"/>
  <c r="BD21" i="18"/>
  <c r="BD32" i="18"/>
  <c r="BD20" i="18"/>
  <c r="BD30" i="18"/>
  <c r="BD26" i="18"/>
  <c r="BD29" i="18"/>
  <c r="BD18" i="18"/>
  <c r="BD16" i="18"/>
  <c r="BD14" i="18"/>
  <c r="BD23" i="18"/>
  <c r="BD31" i="18"/>
  <c r="BY41" i="47"/>
  <c r="BY14" i="47"/>
  <c r="BY12" i="47"/>
  <c r="BY27" i="47"/>
  <c r="BY39" i="47"/>
  <c r="BY13" i="47"/>
  <c r="BY44" i="47"/>
  <c r="BY43" i="47"/>
  <c r="BY42" i="47"/>
  <c r="BY22" i="47"/>
  <c r="BY23" i="47"/>
  <c r="BY20" i="47"/>
  <c r="BY8" i="47"/>
  <c r="BY15" i="47"/>
  <c r="BY21" i="47"/>
  <c r="BY9" i="47"/>
  <c r="AX12" i="1"/>
  <c r="AN12" i="1"/>
  <c r="AY12" i="1"/>
  <c r="BA27" i="18"/>
  <c r="BA12" i="18"/>
  <c r="BA29" i="18"/>
  <c r="BA30" i="18"/>
  <c r="BA26" i="18"/>
  <c r="BA13" i="18"/>
  <c r="BA15" i="18"/>
  <c r="BA19" i="18"/>
  <c r="BA16" i="18"/>
  <c r="BA21" i="18"/>
  <c r="BA20" i="18"/>
  <c r="BA31" i="18"/>
  <c r="BA24" i="18"/>
  <c r="BA32" i="18"/>
  <c r="BA11" i="18"/>
  <c r="BA23" i="18"/>
  <c r="BA22" i="18"/>
  <c r="BA10" i="18"/>
  <c r="BA14" i="18"/>
  <c r="BA18" i="18"/>
  <c r="BV8" i="18"/>
  <c r="BP8" i="18"/>
  <c r="BT21" i="13"/>
  <c r="BT23" i="13" s="1"/>
  <c r="BS31" i="1" s="1"/>
  <c r="BS33" i="1" s="1"/>
  <c r="BR8" i="18"/>
  <c r="BX21" i="13"/>
  <c r="BX23" i="13" s="1"/>
  <c r="BW31" i="1" s="1"/>
  <c r="BW33" i="1" s="1"/>
  <c r="BM8" i="18"/>
  <c r="BP21" i="13"/>
  <c r="BP23" i="13" s="1"/>
  <c r="BO31" i="1" s="1"/>
  <c r="BO33" i="1" s="1"/>
  <c r="BQ21" i="13"/>
  <c r="BQ23" i="13" s="1"/>
  <c r="BP31" i="1" s="1"/>
  <c r="BP33" i="1" s="1"/>
  <c r="BT8" i="18"/>
  <c r="BV21" i="13"/>
  <c r="BV23" i="13" s="1"/>
  <c r="BU31" i="1" s="1"/>
  <c r="BU33" i="1" s="1"/>
  <c r="BN21" i="13"/>
  <c r="BN23" i="13" s="1"/>
  <c r="BM31" i="1" s="1"/>
  <c r="BM33" i="1" s="1"/>
  <c r="BQ8" i="18"/>
  <c r="BW8" i="18"/>
  <c r="BS21" i="13"/>
  <c r="BS23" i="13" s="1"/>
  <c r="BR31" i="1" s="1"/>
  <c r="BR33" i="1" s="1"/>
  <c r="BU21" i="13"/>
  <c r="BU23" i="13" s="1"/>
  <c r="BT31" i="1" s="1"/>
  <c r="BT33" i="1" s="1"/>
  <c r="BU8" i="18"/>
  <c r="BO8" i="18"/>
  <c r="BL8" i="18"/>
  <c r="BR21" i="13"/>
  <c r="BR23" i="13" s="1"/>
  <c r="BQ31" i="1" s="1"/>
  <c r="BQ33" i="1" s="1"/>
  <c r="BN8" i="18"/>
  <c r="BS8" i="18"/>
  <c r="BM21" i="13"/>
  <c r="BM23" i="13" s="1"/>
  <c r="BL31" i="1" s="1"/>
  <c r="BW21" i="13"/>
  <c r="BW23" i="13" s="1"/>
  <c r="BV31" i="1" s="1"/>
  <c r="BV33" i="1" s="1"/>
  <c r="BO21" i="13"/>
  <c r="BO23" i="13" s="1"/>
  <c r="BN31" i="1" s="1"/>
  <c r="BN33" i="1" s="1"/>
  <c r="BA39" i="60"/>
  <c r="BA15" i="60"/>
  <c r="BA16" i="60"/>
  <c r="BW21" i="47"/>
  <c r="BW43" i="47"/>
  <c r="BW13" i="47"/>
  <c r="BW42" i="47"/>
  <c r="BW22" i="47"/>
  <c r="BW41" i="47"/>
  <c r="BW12" i="47"/>
  <c r="BW27" i="47"/>
  <c r="BW14" i="47"/>
  <c r="BW23" i="47"/>
  <c r="BW15" i="47"/>
  <c r="BW44" i="47"/>
  <c r="BW8" i="47"/>
  <c r="BW39" i="47"/>
  <c r="BW20" i="47"/>
  <c r="BW9" i="47"/>
  <c r="BK19" i="18"/>
  <c r="BK23" i="18"/>
  <c r="BK29" i="18"/>
  <c r="BK13" i="18"/>
  <c r="BK10" i="18"/>
  <c r="BK16" i="18"/>
  <c r="BK11" i="18"/>
  <c r="BK20" i="18"/>
  <c r="BK15" i="18"/>
  <c r="BK18" i="18"/>
  <c r="BK21" i="18"/>
  <c r="BK31" i="18"/>
  <c r="BK12" i="18"/>
  <c r="BK27" i="18"/>
  <c r="BK30" i="18"/>
  <c r="BK32" i="18"/>
  <c r="BK24" i="18"/>
  <c r="BK22" i="18"/>
  <c r="BK26" i="18"/>
  <c r="BK14" i="18"/>
  <c r="BE16" i="60"/>
  <c r="BE39" i="60"/>
  <c r="BE15" i="60"/>
  <c r="BE11" i="60"/>
  <c r="BK39" i="60"/>
  <c r="BK16" i="60"/>
  <c r="BK15" i="60"/>
  <c r="BK11" i="60"/>
  <c r="BH16" i="60"/>
  <c r="BH15" i="60"/>
  <c r="BH11" i="60"/>
  <c r="BH39" i="60"/>
  <c r="BD25" i="18"/>
  <c r="BE25" i="18"/>
  <c r="BK4" i="13"/>
  <c r="BE4" i="29"/>
  <c r="BG4" i="16"/>
  <c r="BE4" i="18"/>
  <c r="BV4" i="47"/>
  <c r="BF4" i="13"/>
  <c r="BJ4" i="18"/>
  <c r="BG4" i="13"/>
  <c r="AZ4" i="29"/>
  <c r="BW4" i="47"/>
  <c r="BK4" i="16"/>
  <c r="BO4" i="47"/>
  <c r="BF4" i="18"/>
  <c r="BA4" i="29"/>
  <c r="BH4" i="13"/>
  <c r="BI4" i="13"/>
  <c r="BF4" i="60"/>
  <c r="BI4" i="60"/>
  <c r="BA4" i="16"/>
  <c r="BC4" i="13"/>
  <c r="BF4" i="16"/>
  <c r="BI4" i="29"/>
  <c r="BF4" i="29"/>
  <c r="BJ4" i="29"/>
  <c r="BB4" i="60"/>
  <c r="BD4" i="29"/>
  <c r="BD4" i="13"/>
  <c r="BB4" i="29"/>
  <c r="BE4" i="60"/>
  <c r="BJ4" i="16"/>
  <c r="BP4" i="47"/>
  <c r="BA4" i="13"/>
  <c r="BH4" i="29"/>
  <c r="BE4" i="16"/>
  <c r="BL4" i="13"/>
  <c r="BL4" i="16"/>
  <c r="BD4" i="18"/>
  <c r="BC4" i="29"/>
  <c r="BY4" i="47"/>
  <c r="BK4" i="18"/>
  <c r="BC4" i="60"/>
  <c r="BQ4" i="47"/>
  <c r="BX4" i="47"/>
  <c r="BN4" i="47"/>
  <c r="BH4" i="18"/>
  <c r="BG4" i="60"/>
  <c r="BK4" i="29"/>
  <c r="BB4" i="18"/>
  <c r="AZ4" i="18"/>
  <c r="BH4" i="60"/>
  <c r="BB4" i="13"/>
  <c r="BI4" i="16"/>
  <c r="BT4" i="47"/>
  <c r="BA4" i="60"/>
  <c r="BE4" i="13"/>
  <c r="BK4" i="60"/>
  <c r="BJ4" i="13"/>
  <c r="BD4" i="60"/>
  <c r="BI4" i="18"/>
  <c r="BC4" i="18"/>
  <c r="BJ4" i="60"/>
  <c r="BC4" i="16"/>
  <c r="BG4" i="18"/>
  <c r="BD4" i="16"/>
  <c r="BU4" i="47"/>
  <c r="BH4" i="16"/>
  <c r="BR4" i="47"/>
  <c r="BG4" i="29"/>
  <c r="BA4" i="18"/>
  <c r="BS4" i="47"/>
  <c r="BB4" i="16"/>
  <c r="AZ4" i="60"/>
  <c r="BS5" i="13"/>
  <c r="BR5" i="29"/>
  <c r="BM5" i="29"/>
  <c r="BT5" i="16"/>
  <c r="BO5" i="18"/>
  <c r="BW5" i="16"/>
  <c r="BR5" i="18"/>
  <c r="BQ5" i="16"/>
  <c r="BW5" i="29"/>
  <c r="BN5" i="16"/>
  <c r="BV5" i="29"/>
  <c r="BS5" i="29"/>
  <c r="BS5" i="18"/>
  <c r="BS5" i="16"/>
  <c r="BU5" i="13"/>
  <c r="BU5" i="18"/>
  <c r="BU5" i="16"/>
  <c r="BP5" i="13"/>
  <c r="BV5" i="13"/>
  <c r="BR5" i="13"/>
  <c r="BM5" i="13"/>
  <c r="BV5" i="18"/>
  <c r="BL5" i="18"/>
  <c r="BQ5" i="18"/>
  <c r="BP5" i="18"/>
  <c r="BQ5" i="29"/>
  <c r="BT5" i="29"/>
  <c r="BR5" i="16"/>
  <c r="BW5" i="13"/>
  <c r="BN5" i="13"/>
  <c r="BW5" i="18"/>
  <c r="BT5" i="18"/>
  <c r="BL5" i="29"/>
  <c r="BX5" i="13"/>
  <c r="BQ5" i="13"/>
  <c r="BX5" i="16"/>
  <c r="BO5" i="16"/>
  <c r="BV5" i="16"/>
  <c r="BU5" i="29"/>
  <c r="BO5" i="29"/>
  <c r="BO5" i="13"/>
  <c r="BP5" i="29"/>
  <c r="BM5" i="16"/>
  <c r="BP5" i="16"/>
  <c r="BT5" i="13"/>
  <c r="BM5" i="18"/>
  <c r="BN5" i="18"/>
  <c r="BN5" i="29"/>
  <c r="AE12" i="58"/>
  <c r="AF9" i="58" s="1"/>
  <c r="F31" i="74"/>
  <c r="F34" i="74"/>
  <c r="P10" i="1"/>
  <c r="E67" i="86" l="1"/>
  <c r="E52" i="86"/>
  <c r="D50" i="88"/>
  <c r="D67" i="88"/>
  <c r="D50" i="86"/>
  <c r="D67" i="86"/>
  <c r="E52" i="88"/>
  <c r="E67" i="88"/>
  <c r="E52" i="87"/>
  <c r="E67" i="87"/>
  <c r="O31" i="87"/>
  <c r="O34" i="87"/>
  <c r="O34" i="86"/>
  <c r="O31" i="86"/>
  <c r="O34" i="88"/>
  <c r="O31" i="88"/>
  <c r="F39" i="1"/>
  <c r="F17" i="1"/>
  <c r="R17" i="24"/>
  <c r="R7" i="24"/>
  <c r="H35" i="74"/>
  <c r="H19" i="74"/>
  <c r="L60" i="22"/>
  <c r="L51" i="22"/>
  <c r="L55" i="22"/>
  <c r="L59" i="22"/>
  <c r="L57" i="22"/>
  <c r="L28" i="22"/>
  <c r="M19" i="22"/>
  <c r="L56" i="22"/>
  <c r="L23" i="22"/>
  <c r="L27" i="22"/>
  <c r="L58" i="22"/>
  <c r="L52" i="22"/>
  <c r="L32" i="22"/>
  <c r="L50" i="22"/>
  <c r="L49" i="22"/>
  <c r="L54" i="22"/>
  <c r="L53" i="22"/>
  <c r="L24" i="22"/>
  <c r="L39" i="22"/>
  <c r="L31" i="22"/>
  <c r="L40" i="22"/>
  <c r="L22" i="22"/>
  <c r="L33" i="22"/>
  <c r="L35" i="22"/>
  <c r="L37" i="22"/>
  <c r="L42" i="22"/>
  <c r="L30" i="22"/>
  <c r="L36" i="22"/>
  <c r="L48" i="22"/>
  <c r="L34" i="22"/>
  <c r="L44" i="22"/>
  <c r="L47" i="22"/>
  <c r="L45" i="22"/>
  <c r="L41" i="22"/>
  <c r="L46" i="22"/>
  <c r="L43" i="22"/>
  <c r="L38" i="22"/>
  <c r="L29" i="22"/>
  <c r="J16" i="74"/>
  <c r="E18" i="24"/>
  <c r="F11" i="24" s="1"/>
  <c r="BN25" i="18"/>
  <c r="BH12" i="1"/>
  <c r="BC12" i="1"/>
  <c r="BS39" i="60"/>
  <c r="BS15" i="60"/>
  <c r="BS16" i="60"/>
  <c r="BS11" i="60"/>
  <c r="CH42" i="47"/>
  <c r="CH14" i="47"/>
  <c r="CH27" i="47"/>
  <c r="CH15" i="47"/>
  <c r="CH13" i="47"/>
  <c r="CH8" i="47"/>
  <c r="CH12" i="47"/>
  <c r="CH20" i="47"/>
  <c r="CH39" i="47"/>
  <c r="CH43" i="47"/>
  <c r="CH9" i="47"/>
  <c r="CH44" i="47"/>
  <c r="CH22" i="47"/>
  <c r="CH41" i="47"/>
  <c r="CH23" i="47"/>
  <c r="CH21" i="47"/>
  <c r="CD27" i="47"/>
  <c r="CD22" i="47"/>
  <c r="CD23" i="47"/>
  <c r="CD21" i="47"/>
  <c r="CD41" i="47"/>
  <c r="CD43" i="47"/>
  <c r="CD44" i="47"/>
  <c r="CD12" i="47"/>
  <c r="CD20" i="47"/>
  <c r="CD39" i="47"/>
  <c r="CD15" i="47"/>
  <c r="CD8" i="47"/>
  <c r="CD13" i="47"/>
  <c r="CD42" i="47"/>
  <c r="CD9" i="47"/>
  <c r="CD14" i="47"/>
  <c r="BO23" i="18"/>
  <c r="BO22" i="18"/>
  <c r="BO18" i="18"/>
  <c r="BO27" i="18"/>
  <c r="BO26" i="18"/>
  <c r="BO29" i="18"/>
  <c r="BO16" i="18"/>
  <c r="BO19" i="18"/>
  <c r="BO13" i="18"/>
  <c r="BO30" i="18"/>
  <c r="BO20" i="18"/>
  <c r="BO14" i="18"/>
  <c r="BO31" i="18"/>
  <c r="BO24" i="18"/>
  <c r="BO11" i="18"/>
  <c r="BO10" i="18"/>
  <c r="BO21" i="18"/>
  <c r="BO15" i="18"/>
  <c r="BO12" i="18"/>
  <c r="BO32" i="18"/>
  <c r="BO17" i="18"/>
  <c r="BQ15" i="60"/>
  <c r="BQ16" i="60"/>
  <c r="BQ39" i="60"/>
  <c r="BQ11" i="60"/>
  <c r="BL16" i="60"/>
  <c r="BL39" i="60"/>
  <c r="BL15" i="60"/>
  <c r="BP11" i="60"/>
  <c r="BP39" i="60"/>
  <c r="BP16" i="60"/>
  <c r="BP15" i="60"/>
  <c r="CE22" i="47"/>
  <c r="CE43" i="47"/>
  <c r="CE15" i="47"/>
  <c r="CE14" i="47"/>
  <c r="CE39" i="47"/>
  <c r="CE42" i="47"/>
  <c r="CE41" i="47"/>
  <c r="CE13" i="47"/>
  <c r="CE8" i="47"/>
  <c r="CE27" i="47"/>
  <c r="CE12" i="47"/>
  <c r="CE23" i="47"/>
  <c r="CE20" i="47"/>
  <c r="CE44" i="47"/>
  <c r="CE9" i="47"/>
  <c r="CE21" i="47"/>
  <c r="BT16" i="60"/>
  <c r="BT15" i="60"/>
  <c r="BT11" i="60"/>
  <c r="BT39" i="60"/>
  <c r="BT12" i="18"/>
  <c r="BT11" i="18"/>
  <c r="BT32" i="18"/>
  <c r="BT20" i="18"/>
  <c r="BT15" i="18"/>
  <c r="BT30" i="18"/>
  <c r="BT19" i="18"/>
  <c r="BT31" i="18"/>
  <c r="BT21" i="18"/>
  <c r="BT14" i="18"/>
  <c r="BT22" i="18"/>
  <c r="BT26" i="18"/>
  <c r="BT24" i="18"/>
  <c r="BT16" i="18"/>
  <c r="BT18" i="18"/>
  <c r="BT13" i="18"/>
  <c r="BT27" i="18"/>
  <c r="BT29" i="18"/>
  <c r="BT23" i="18"/>
  <c r="BM26" i="18"/>
  <c r="BM10" i="18"/>
  <c r="BM24" i="18"/>
  <c r="BM12" i="18"/>
  <c r="BM14" i="18"/>
  <c r="BM16" i="18"/>
  <c r="BM20" i="18"/>
  <c r="BM21" i="18"/>
  <c r="BM13" i="18"/>
  <c r="BM27" i="18"/>
  <c r="BM11" i="18"/>
  <c r="BM31" i="18"/>
  <c r="BM29" i="18"/>
  <c r="BM22" i="18"/>
  <c r="BM15" i="18"/>
  <c r="BM32" i="18"/>
  <c r="BM19" i="18"/>
  <c r="BM18" i="18"/>
  <c r="BM30" i="18"/>
  <c r="BM23" i="18"/>
  <c r="BO11" i="60"/>
  <c r="BO39" i="60"/>
  <c r="BO15" i="60"/>
  <c r="BO16" i="60"/>
  <c r="G10" i="20"/>
  <c r="BD12" i="1"/>
  <c r="BB12" i="1"/>
  <c r="BQ25" i="18"/>
  <c r="BT25" i="18"/>
  <c r="BR25" i="18"/>
  <c r="BI12" i="1"/>
  <c r="CA12" i="47"/>
  <c r="CA42" i="47"/>
  <c r="CA13" i="47"/>
  <c r="CA15" i="47"/>
  <c r="CA8" i="47"/>
  <c r="CA44" i="47"/>
  <c r="CA39" i="47"/>
  <c r="CA27" i="47"/>
  <c r="CA41" i="47"/>
  <c r="CA14" i="47"/>
  <c r="CA9" i="47"/>
  <c r="CA20" i="47"/>
  <c r="CA22" i="47"/>
  <c r="CA23" i="47"/>
  <c r="CA21" i="47"/>
  <c r="CA43" i="47"/>
  <c r="BL20" i="18"/>
  <c r="BL16" i="18"/>
  <c r="BL32" i="18"/>
  <c r="BL13" i="18"/>
  <c r="BL15" i="18"/>
  <c r="BL27" i="18"/>
  <c r="BL23" i="18"/>
  <c r="BL17" i="18"/>
  <c r="BL29" i="18"/>
  <c r="BL19" i="18"/>
  <c r="BL26" i="18"/>
  <c r="BL30" i="18"/>
  <c r="BL31" i="18"/>
  <c r="BL21" i="18"/>
  <c r="BL12" i="18"/>
  <c r="BL11" i="18"/>
  <c r="BL18" i="18"/>
  <c r="BL24" i="18"/>
  <c r="BL10" i="18"/>
  <c r="BL14" i="18"/>
  <c r="BL22" i="18"/>
  <c r="CC14" i="47"/>
  <c r="CC8" i="47"/>
  <c r="CC21" i="47"/>
  <c r="CC39" i="47"/>
  <c r="CC44" i="47"/>
  <c r="CC41" i="47"/>
  <c r="CC23" i="47"/>
  <c r="CC15" i="47"/>
  <c r="CC9" i="47"/>
  <c r="CC22" i="47"/>
  <c r="CC13" i="47"/>
  <c r="CC42" i="47"/>
  <c r="CC43" i="47"/>
  <c r="CC27" i="47"/>
  <c r="CC12" i="47"/>
  <c r="CC20" i="47"/>
  <c r="BQ12" i="18"/>
  <c r="BQ20" i="18"/>
  <c r="BQ19" i="18"/>
  <c r="BQ32" i="18"/>
  <c r="BQ15" i="18"/>
  <c r="BQ30" i="18"/>
  <c r="BQ21" i="18"/>
  <c r="BQ10" i="18"/>
  <c r="BQ13" i="18"/>
  <c r="BQ22" i="18"/>
  <c r="BQ24" i="18"/>
  <c r="BQ26" i="18"/>
  <c r="BQ18" i="18"/>
  <c r="BQ16" i="18"/>
  <c r="BQ29" i="18"/>
  <c r="BQ14" i="18"/>
  <c r="BQ11" i="18"/>
  <c r="BQ31" i="18"/>
  <c r="BQ23" i="18"/>
  <c r="BQ27" i="18"/>
  <c r="BV14" i="18"/>
  <c r="BV16" i="18"/>
  <c r="BV19" i="18"/>
  <c r="BV18" i="18"/>
  <c r="BV30" i="18"/>
  <c r="BV27" i="18"/>
  <c r="BV26" i="18"/>
  <c r="BV21" i="18"/>
  <c r="BV13" i="18"/>
  <c r="BV24" i="18"/>
  <c r="BV32" i="18"/>
  <c r="BV22" i="18"/>
  <c r="BV29" i="18"/>
  <c r="BV20" i="18"/>
  <c r="BV11" i="18"/>
  <c r="BV15" i="18"/>
  <c r="BV23" i="18"/>
  <c r="BV12" i="18"/>
  <c r="BV31" i="18"/>
  <c r="BK12" i="1"/>
  <c r="BU25" i="18"/>
  <c r="BS21" i="18"/>
  <c r="BS22" i="18"/>
  <c r="BS29" i="18"/>
  <c r="BS24" i="18"/>
  <c r="BS12" i="18"/>
  <c r="BS23" i="18"/>
  <c r="BS13" i="18"/>
  <c r="BS30" i="18"/>
  <c r="BS15" i="18"/>
  <c r="BS14" i="18"/>
  <c r="BS11" i="18"/>
  <c r="BS26" i="18"/>
  <c r="BS27" i="18"/>
  <c r="BS19" i="18"/>
  <c r="BS20" i="18"/>
  <c r="BS18" i="18"/>
  <c r="BS32" i="18"/>
  <c r="BS31" i="18"/>
  <c r="BS16" i="18"/>
  <c r="BW30" i="18"/>
  <c r="BW24" i="18"/>
  <c r="BW21" i="18"/>
  <c r="BW16" i="18"/>
  <c r="BW18" i="18"/>
  <c r="BW22" i="18"/>
  <c r="BW15" i="18"/>
  <c r="BW19" i="18"/>
  <c r="BW26" i="18"/>
  <c r="BW29" i="18"/>
  <c r="BW12" i="18"/>
  <c r="BW13" i="18"/>
  <c r="BW31" i="18"/>
  <c r="BW11" i="18"/>
  <c r="BW20" i="18"/>
  <c r="BW14" i="18"/>
  <c r="BW32" i="18"/>
  <c r="BW23" i="18"/>
  <c r="BW27" i="18"/>
  <c r="CB21" i="13"/>
  <c r="CB23" i="13" s="1"/>
  <c r="CA31" i="1" s="1"/>
  <c r="CA33" i="1" s="1"/>
  <c r="CI8" i="18"/>
  <c r="BY21" i="13"/>
  <c r="BY23" i="13" s="1"/>
  <c r="BX31" i="1" s="1"/>
  <c r="CA8" i="18"/>
  <c r="CF21" i="13"/>
  <c r="CF23" i="13" s="1"/>
  <c r="CE31" i="1" s="1"/>
  <c r="CE33" i="1" s="1"/>
  <c r="BZ8" i="18"/>
  <c r="CG21" i="13"/>
  <c r="CG23" i="13" s="1"/>
  <c r="CF31" i="1" s="1"/>
  <c r="CF33" i="1" s="1"/>
  <c r="CJ21" i="13"/>
  <c r="CJ23" i="13" s="1"/>
  <c r="CI31" i="1" s="1"/>
  <c r="CI33" i="1" s="1"/>
  <c r="CD8" i="18"/>
  <c r="CH8" i="18"/>
  <c r="CF8" i="18"/>
  <c r="CB8" i="18"/>
  <c r="CH21" i="13"/>
  <c r="CH23" i="13" s="1"/>
  <c r="CG31" i="1" s="1"/>
  <c r="CG33" i="1" s="1"/>
  <c r="BY8" i="18"/>
  <c r="BX8" i="18"/>
  <c r="CA21" i="13"/>
  <c r="CA23" i="13" s="1"/>
  <c r="BZ31" i="1" s="1"/>
  <c r="BZ33" i="1" s="1"/>
  <c r="CE8" i="18"/>
  <c r="CE21" i="13"/>
  <c r="CE23" i="13" s="1"/>
  <c r="CD31" i="1" s="1"/>
  <c r="CD33" i="1" s="1"/>
  <c r="CG8" i="18"/>
  <c r="BZ21" i="13"/>
  <c r="BZ23" i="13" s="1"/>
  <c r="BY31" i="1" s="1"/>
  <c r="BY33" i="1" s="1"/>
  <c r="CD21" i="13"/>
  <c r="CD23" i="13" s="1"/>
  <c r="CC31" i="1" s="1"/>
  <c r="CC33" i="1" s="1"/>
  <c r="CI21" i="13"/>
  <c r="CI23" i="13" s="1"/>
  <c r="CH31" i="1" s="1"/>
  <c r="CH33" i="1" s="1"/>
  <c r="CC8" i="18"/>
  <c r="CC21" i="13"/>
  <c r="CC23" i="13" s="1"/>
  <c r="CB31" i="1" s="1"/>
  <c r="CB33" i="1" s="1"/>
  <c r="BN15" i="60"/>
  <c r="BN11" i="60"/>
  <c r="BN39" i="60"/>
  <c r="BN16" i="60"/>
  <c r="BM39" i="60"/>
  <c r="BM16" i="60"/>
  <c r="BM15" i="60"/>
  <c r="CF27" i="47"/>
  <c r="CF9" i="47"/>
  <c r="CF42" i="47"/>
  <c r="CF13" i="47"/>
  <c r="CF21" i="47"/>
  <c r="CF41" i="47"/>
  <c r="CF39" i="47"/>
  <c r="CF44" i="47"/>
  <c r="CF43" i="47"/>
  <c r="CF8" i="47"/>
  <c r="CF23" i="47"/>
  <c r="CF12" i="47"/>
  <c r="CF20" i="47"/>
  <c r="CF22" i="47"/>
  <c r="CF14" i="47"/>
  <c r="CF15" i="47"/>
  <c r="CI8" i="47"/>
  <c r="CI13" i="47"/>
  <c r="CI15" i="47"/>
  <c r="CI23" i="47"/>
  <c r="CI20" i="47"/>
  <c r="CI42" i="47"/>
  <c r="CI43" i="47"/>
  <c r="CI39" i="47"/>
  <c r="CI41" i="47"/>
  <c r="CI21" i="47"/>
  <c r="CI9" i="47"/>
  <c r="CI27" i="47"/>
  <c r="CI44" i="47"/>
  <c r="CI22" i="47"/>
  <c r="CI12" i="47"/>
  <c r="CI14" i="47"/>
  <c r="BP15" i="18"/>
  <c r="BP13" i="18"/>
  <c r="BP10" i="18"/>
  <c r="BP24" i="18"/>
  <c r="BP30" i="18"/>
  <c r="BP22" i="18"/>
  <c r="BP32" i="18"/>
  <c r="BP31" i="18"/>
  <c r="BP18" i="18"/>
  <c r="BP26" i="18"/>
  <c r="BP20" i="18"/>
  <c r="BP23" i="18"/>
  <c r="BP11" i="18"/>
  <c r="BP16" i="18"/>
  <c r="BP29" i="18"/>
  <c r="BP12" i="18"/>
  <c r="BP21" i="18"/>
  <c r="BP19" i="18"/>
  <c r="BP27" i="18"/>
  <c r="BP14" i="18"/>
  <c r="BS25" i="18"/>
  <c r="BG12" i="1"/>
  <c r="BP25" i="18"/>
  <c r="BW11" i="60"/>
  <c r="BW15" i="60"/>
  <c r="BW16" i="60"/>
  <c r="BW39" i="60"/>
  <c r="CJ43" i="47"/>
  <c r="CJ13" i="47"/>
  <c r="CJ14" i="47"/>
  <c r="CJ15" i="47"/>
  <c r="CJ39" i="47"/>
  <c r="CJ44" i="47"/>
  <c r="CJ21" i="47"/>
  <c r="CJ23" i="47"/>
  <c r="CJ22" i="47"/>
  <c r="CJ27" i="47"/>
  <c r="CJ42" i="47"/>
  <c r="CJ41" i="47"/>
  <c r="CJ20" i="47"/>
  <c r="CJ9" i="47"/>
  <c r="CJ8" i="47"/>
  <c r="CJ12" i="47"/>
  <c r="CB41" i="47"/>
  <c r="CB20" i="47"/>
  <c r="CB9" i="47"/>
  <c r="CB39" i="47"/>
  <c r="CB42" i="47"/>
  <c r="CB23" i="47"/>
  <c r="CB21" i="47"/>
  <c r="CB13" i="47"/>
  <c r="CB43" i="47"/>
  <c r="CB14" i="47"/>
  <c r="CB22" i="47"/>
  <c r="CB44" i="47"/>
  <c r="CB8" i="47"/>
  <c r="CB12" i="47"/>
  <c r="CB15" i="47"/>
  <c r="CB27" i="47"/>
  <c r="BU16" i="60"/>
  <c r="BU15" i="60"/>
  <c r="BU39" i="60"/>
  <c r="BU11" i="60"/>
  <c r="BR24" i="18"/>
  <c r="BR13" i="18"/>
  <c r="BR20" i="18"/>
  <c r="BR23" i="18"/>
  <c r="BR31" i="18"/>
  <c r="BR22" i="18"/>
  <c r="BR30" i="18"/>
  <c r="BR16" i="18"/>
  <c r="BR26" i="18"/>
  <c r="BR18" i="18"/>
  <c r="BR32" i="18"/>
  <c r="BR10" i="18"/>
  <c r="BR29" i="18"/>
  <c r="BR11" i="18"/>
  <c r="BR14" i="18"/>
  <c r="BR21" i="18"/>
  <c r="BR12" i="18"/>
  <c r="BR15" i="18"/>
  <c r="BR19" i="18"/>
  <c r="BR17" i="18"/>
  <c r="BR27" i="18"/>
  <c r="BZ41" i="47"/>
  <c r="BZ12" i="47"/>
  <c r="BZ14" i="47"/>
  <c r="BZ23" i="47"/>
  <c r="BZ27" i="47"/>
  <c r="BZ20" i="47"/>
  <c r="BZ39" i="47"/>
  <c r="BZ13" i="47"/>
  <c r="BZ9" i="47"/>
  <c r="BZ44" i="47"/>
  <c r="BZ8" i="47"/>
  <c r="BZ22" i="47"/>
  <c r="BZ43" i="47"/>
  <c r="BZ21" i="47"/>
  <c r="BZ42" i="47"/>
  <c r="BZ15" i="47"/>
  <c r="BN29" i="18"/>
  <c r="BN27" i="18"/>
  <c r="BN11" i="18"/>
  <c r="BN15" i="18"/>
  <c r="BN20" i="18"/>
  <c r="BN24" i="18"/>
  <c r="BN32" i="18"/>
  <c r="BN21" i="18"/>
  <c r="BN18" i="18"/>
  <c r="BN16" i="18"/>
  <c r="BN12" i="18"/>
  <c r="BN22" i="18"/>
  <c r="BN9" i="18"/>
  <c r="BN10" i="18"/>
  <c r="BN13" i="18"/>
  <c r="BN23" i="18"/>
  <c r="BN19" i="18"/>
  <c r="BN26" i="18"/>
  <c r="BN14" i="18"/>
  <c r="BN31" i="18"/>
  <c r="BN30" i="18"/>
  <c r="CK42" i="47"/>
  <c r="CK39" i="47"/>
  <c r="CK22" i="47"/>
  <c r="CK12" i="47"/>
  <c r="CK15" i="47"/>
  <c r="CK9" i="47"/>
  <c r="CK20" i="47"/>
  <c r="CK23" i="47"/>
  <c r="CK41" i="47"/>
  <c r="CK13" i="47"/>
  <c r="CK14" i="47"/>
  <c r="CK21" i="47"/>
  <c r="CK44" i="47"/>
  <c r="CK43" i="47"/>
  <c r="CK8" i="47"/>
  <c r="CK27" i="47"/>
  <c r="BU16" i="18"/>
  <c r="BU11" i="18"/>
  <c r="BU12" i="18"/>
  <c r="BU15" i="18"/>
  <c r="BU20" i="18"/>
  <c r="BU18" i="18"/>
  <c r="BU26" i="18"/>
  <c r="BU14" i="18"/>
  <c r="BU32" i="18"/>
  <c r="BU23" i="18"/>
  <c r="BU27" i="18"/>
  <c r="BU22" i="18"/>
  <c r="BU13" i="18"/>
  <c r="BU17" i="18"/>
  <c r="BU24" i="18"/>
  <c r="BU21" i="18"/>
  <c r="BU29" i="18"/>
  <c r="BU31" i="18"/>
  <c r="BU30" i="18"/>
  <c r="BU19" i="18"/>
  <c r="BR16" i="60"/>
  <c r="BR39" i="60"/>
  <c r="BR15" i="60"/>
  <c r="BR11" i="60"/>
  <c r="CG13" i="47"/>
  <c r="CG15" i="47"/>
  <c r="CG44" i="47"/>
  <c r="CG8" i="47"/>
  <c r="CG20" i="47"/>
  <c r="CG14" i="47"/>
  <c r="CG39" i="47"/>
  <c r="CG41" i="47"/>
  <c r="CG27" i="47"/>
  <c r="CG22" i="47"/>
  <c r="CG9" i="47"/>
  <c r="CG12" i="47"/>
  <c r="CG21" i="47"/>
  <c r="CG42" i="47"/>
  <c r="CG23" i="47"/>
  <c r="CG43" i="47"/>
  <c r="BV15" i="60"/>
  <c r="BV11" i="60"/>
  <c r="BV39" i="60"/>
  <c r="BV16" i="60"/>
  <c r="BA12" i="1"/>
  <c r="BW25" i="18"/>
  <c r="BL25" i="18"/>
  <c r="BV25" i="18"/>
  <c r="BJ12" i="1"/>
  <c r="AZ12" i="1"/>
  <c r="BF12" i="1"/>
  <c r="BE12" i="1"/>
  <c r="BM25" i="18"/>
  <c r="BO25" i="18"/>
  <c r="BP4" i="60"/>
  <c r="BN4" i="60"/>
  <c r="BS4" i="16"/>
  <c r="BQ4" i="18"/>
  <c r="BZ4" i="47"/>
  <c r="BV4" i="29"/>
  <c r="BW4" i="16"/>
  <c r="BT4" i="18"/>
  <c r="BW4" i="13"/>
  <c r="BP4" i="29"/>
  <c r="CK4" i="47"/>
  <c r="BU4" i="60"/>
  <c r="BT4" i="13"/>
  <c r="BV4" i="18"/>
  <c r="CF4" i="47"/>
  <c r="BU4" i="13"/>
  <c r="BO4" i="18"/>
  <c r="BR4" i="18"/>
  <c r="BQ4" i="13"/>
  <c r="BP4" i="16"/>
  <c r="BQ4" i="16"/>
  <c r="CB4" i="47"/>
  <c r="BT4" i="60"/>
  <c r="BS4" i="29"/>
  <c r="BW4" i="29"/>
  <c r="CA4" i="47"/>
  <c r="BU4" i="29"/>
  <c r="BR4" i="16"/>
  <c r="BR4" i="29"/>
  <c r="BM4" i="18"/>
  <c r="BN4" i="13"/>
  <c r="BP4" i="18"/>
  <c r="BX4" i="16"/>
  <c r="BV4" i="13"/>
  <c r="BN4" i="16"/>
  <c r="BL4" i="18"/>
  <c r="BX4" i="13"/>
  <c r="BN4" i="29"/>
  <c r="BM4" i="13"/>
  <c r="CI4" i="47"/>
  <c r="BW4" i="60"/>
  <c r="BU4" i="18"/>
  <c r="CG4" i="47"/>
  <c r="BU4" i="16"/>
  <c r="BM4" i="29"/>
  <c r="BW4" i="18"/>
  <c r="CD4" i="47"/>
  <c r="BO4" i="16"/>
  <c r="CJ4" i="47"/>
  <c r="BO4" i="13"/>
  <c r="BR4" i="13"/>
  <c r="BN4" i="18"/>
  <c r="BM4" i="16"/>
  <c r="BV4" i="60"/>
  <c r="BM4" i="60"/>
  <c r="CH4" i="47"/>
  <c r="BQ4" i="60"/>
  <c r="BT4" i="29"/>
  <c r="BL4" i="60"/>
  <c r="BL4" i="29"/>
  <c r="BS4" i="60"/>
  <c r="BO4" i="29"/>
  <c r="BS4" i="13"/>
  <c r="CE4" i="47"/>
  <c r="BO4" i="60"/>
  <c r="BQ4" i="29"/>
  <c r="BV4" i="16"/>
  <c r="BS4" i="18"/>
  <c r="BT4" i="16"/>
  <c r="CC4" i="47"/>
  <c r="BR4" i="60"/>
  <c r="BP4" i="13"/>
  <c r="AF10" i="58"/>
  <c r="AG40" i="1" s="1"/>
  <c r="CB5" i="13"/>
  <c r="CI5" i="13"/>
  <c r="BZ5" i="29"/>
  <c r="CC5" i="29"/>
  <c r="CI5" i="29"/>
  <c r="CB5" i="16"/>
  <c r="CC5" i="13"/>
  <c r="CE5" i="16"/>
  <c r="BZ5" i="18"/>
  <c r="CB5" i="18"/>
  <c r="CH5" i="16"/>
  <c r="CC5" i="18"/>
  <c r="CC5" i="16"/>
  <c r="CJ5" i="13"/>
  <c r="CH5" i="29"/>
  <c r="CG5" i="29"/>
  <c r="CA5" i="29"/>
  <c r="CE5" i="18"/>
  <c r="CI5" i="16"/>
  <c r="CG5" i="16"/>
  <c r="CG5" i="18"/>
  <c r="BX5" i="18"/>
  <c r="CD5" i="29"/>
  <c r="CH5" i="13"/>
  <c r="CI5" i="18"/>
  <c r="CA5" i="16"/>
  <c r="CF5" i="18"/>
  <c r="BZ5" i="16"/>
  <c r="BY5" i="13"/>
  <c r="BY5" i="29"/>
  <c r="CA5" i="18"/>
  <c r="CD5" i="18"/>
  <c r="CD5" i="16"/>
  <c r="CG5" i="13"/>
  <c r="BX5" i="29"/>
  <c r="CE5" i="29"/>
  <c r="CE5" i="13"/>
  <c r="CD5" i="13"/>
  <c r="CF5" i="16"/>
  <c r="BY5" i="16"/>
  <c r="CH5" i="18"/>
  <c r="CF5" i="13"/>
  <c r="CJ5" i="16"/>
  <c r="BY5" i="18"/>
  <c r="CA5" i="13"/>
  <c r="CB5" i="29"/>
  <c r="CF5" i="29"/>
  <c r="BZ5" i="13"/>
  <c r="BL33" i="1"/>
  <c r="I32" i="20"/>
  <c r="I34" i="20" s="1"/>
  <c r="G24" i="74"/>
  <c r="F39" i="74"/>
  <c r="G14" i="103" l="1"/>
  <c r="G13" i="103"/>
  <c r="D50" i="87"/>
  <c r="D67" i="87"/>
  <c r="D51" i="88"/>
  <c r="D53" i="88" s="1"/>
  <c r="D63" i="88"/>
  <c r="X67" i="72" s="1"/>
  <c r="D50" i="74"/>
  <c r="D67" i="74"/>
  <c r="D51" i="86"/>
  <c r="D53" i="86" s="1"/>
  <c r="D63" i="86"/>
  <c r="R65" i="72" s="1"/>
  <c r="O39" i="86"/>
  <c r="P24" i="86"/>
  <c r="O39" i="87"/>
  <c r="P24" i="87"/>
  <c r="P24" i="88"/>
  <c r="O39" i="88"/>
  <c r="M59" i="22"/>
  <c r="M60" i="22"/>
  <c r="M53" i="22"/>
  <c r="M56" i="22"/>
  <c r="M27" i="22"/>
  <c r="M57" i="22"/>
  <c r="M24" i="22"/>
  <c r="M54" i="22"/>
  <c r="M31" i="22"/>
  <c r="N19" i="22"/>
  <c r="M23" i="22"/>
  <c r="M32" i="22"/>
  <c r="M55" i="22"/>
  <c r="M36" i="22"/>
  <c r="M58" i="22"/>
  <c r="M28" i="22"/>
  <c r="M50" i="22"/>
  <c r="M35" i="22"/>
  <c r="M51" i="22"/>
  <c r="M41" i="22"/>
  <c r="M52" i="22"/>
  <c r="M37" i="22"/>
  <c r="M48" i="22"/>
  <c r="M39" i="22"/>
  <c r="M40" i="22"/>
  <c r="M44" i="22"/>
  <c r="M43" i="22"/>
  <c r="M29" i="22"/>
  <c r="M38" i="22"/>
  <c r="M34" i="22"/>
  <c r="M22" i="22"/>
  <c r="M47" i="22"/>
  <c r="M49" i="22"/>
  <c r="M42" i="22"/>
  <c r="M30" i="22"/>
  <c r="M45" i="22"/>
  <c r="M33" i="22"/>
  <c r="M46" i="22"/>
  <c r="S39" i="1"/>
  <c r="S17" i="1"/>
  <c r="F16" i="24"/>
  <c r="F7" i="24" s="1"/>
  <c r="K16" i="74"/>
  <c r="R8" i="24"/>
  <c r="S37" i="1" s="1"/>
  <c r="R18" i="24"/>
  <c r="S15" i="24" s="1"/>
  <c r="I19" i="74"/>
  <c r="I35" i="74"/>
  <c r="F41" i="1"/>
  <c r="CF25" i="18"/>
  <c r="BR12" i="1"/>
  <c r="BQ12" i="1"/>
  <c r="BL12" i="1"/>
  <c r="H10" i="20"/>
  <c r="CI25" i="18"/>
  <c r="CG16" i="60"/>
  <c r="CG15" i="60"/>
  <c r="CG39" i="60"/>
  <c r="CG11" i="60"/>
  <c r="BY23" i="18"/>
  <c r="BY31" i="18"/>
  <c r="BY16" i="18"/>
  <c r="BY14" i="18"/>
  <c r="BY22" i="18"/>
  <c r="BY19" i="18"/>
  <c r="BY12" i="18"/>
  <c r="BY27" i="18"/>
  <c r="BY24" i="18"/>
  <c r="BY18" i="18"/>
  <c r="BY26" i="18"/>
  <c r="BY21" i="18"/>
  <c r="BY20" i="18"/>
  <c r="BY11" i="18"/>
  <c r="BY32" i="18"/>
  <c r="BY13" i="18"/>
  <c r="BY30" i="18"/>
  <c r="BY15" i="18"/>
  <c r="BY29" i="18"/>
  <c r="CO44" i="47"/>
  <c r="CO12" i="47"/>
  <c r="CO42" i="47"/>
  <c r="CO9" i="47"/>
  <c r="CO22" i="47"/>
  <c r="CO15" i="47"/>
  <c r="CO27" i="47"/>
  <c r="CO8" i="47"/>
  <c r="CO20" i="47"/>
  <c r="CO23" i="47"/>
  <c r="CO21" i="47"/>
  <c r="CO14" i="47"/>
  <c r="CO41" i="47"/>
  <c r="CO13" i="47"/>
  <c r="CO43" i="47"/>
  <c r="CO39" i="47"/>
  <c r="BN12" i="1"/>
  <c r="CA16" i="60"/>
  <c r="CA11" i="60"/>
  <c r="CA15" i="60"/>
  <c r="CA39" i="60"/>
  <c r="CC18" i="18"/>
  <c r="CC26" i="18"/>
  <c r="CC22" i="18"/>
  <c r="CC30" i="18"/>
  <c r="CC31" i="18"/>
  <c r="CC27" i="18"/>
  <c r="CC16" i="18"/>
  <c r="CC20" i="18"/>
  <c r="CC13" i="18"/>
  <c r="CC29" i="18"/>
  <c r="CC21" i="18"/>
  <c r="CC11" i="18"/>
  <c r="CC15" i="18"/>
  <c r="CC24" i="18"/>
  <c r="CC12" i="18"/>
  <c r="CC32" i="18"/>
  <c r="CC14" i="18"/>
  <c r="CC23" i="18"/>
  <c r="CC19" i="18"/>
  <c r="CQ23" i="47"/>
  <c r="CQ15" i="47"/>
  <c r="CQ44" i="47"/>
  <c r="CQ39" i="47"/>
  <c r="CQ27" i="47"/>
  <c r="CQ43" i="47"/>
  <c r="CQ22" i="47"/>
  <c r="CQ8" i="47"/>
  <c r="CQ12" i="47"/>
  <c r="CQ42" i="47"/>
  <c r="CQ9" i="47"/>
  <c r="CQ13" i="47"/>
  <c r="CQ21" i="47"/>
  <c r="CQ20" i="47"/>
  <c r="CQ41" i="47"/>
  <c r="CQ14" i="47"/>
  <c r="CS9" i="47"/>
  <c r="CS20" i="47"/>
  <c r="CS21" i="47"/>
  <c r="CS41" i="47"/>
  <c r="CS27" i="47"/>
  <c r="CS12" i="47"/>
  <c r="CS13" i="47"/>
  <c r="CS43" i="47"/>
  <c r="CS42" i="47"/>
  <c r="CS22" i="47"/>
  <c r="CS8" i="47"/>
  <c r="CS39" i="47"/>
  <c r="CS23" i="47"/>
  <c r="CS14" i="47"/>
  <c r="CS15" i="47"/>
  <c r="CS44" i="47"/>
  <c r="CL21" i="13"/>
  <c r="CL23" i="13" s="1"/>
  <c r="CK31" i="1" s="1"/>
  <c r="CK33" i="1" s="1"/>
  <c r="CR21" i="13"/>
  <c r="CR23" i="13" s="1"/>
  <c r="CQ31" i="1" s="1"/>
  <c r="CQ33" i="1" s="1"/>
  <c r="CP8" i="18"/>
  <c r="CS21" i="13"/>
  <c r="CS23" i="13" s="1"/>
  <c r="CR31" i="1" s="1"/>
  <c r="CR33" i="1" s="1"/>
  <c r="CN21" i="13"/>
  <c r="CN23" i="13" s="1"/>
  <c r="CM31" i="1" s="1"/>
  <c r="CM33" i="1" s="1"/>
  <c r="CL8" i="18"/>
  <c r="CR8" i="18"/>
  <c r="CQ21" i="13"/>
  <c r="CQ23" i="13" s="1"/>
  <c r="CP31" i="1" s="1"/>
  <c r="CP33" i="1" s="1"/>
  <c r="CK8" i="18"/>
  <c r="CP21" i="13"/>
  <c r="CP23" i="13" s="1"/>
  <c r="CO31" i="1" s="1"/>
  <c r="CO33" i="1" s="1"/>
  <c r="CT8" i="18"/>
  <c r="CJ8" i="18"/>
  <c r="CT21" i="13"/>
  <c r="CT23" i="13" s="1"/>
  <c r="CS31" i="1" s="1"/>
  <c r="CS33" i="1" s="1"/>
  <c r="CO8" i="18"/>
  <c r="CS8" i="18"/>
  <c r="CK21" i="13"/>
  <c r="CK23" i="13" s="1"/>
  <c r="CJ31" i="1" s="1"/>
  <c r="CU8" i="18"/>
  <c r="CM21" i="13"/>
  <c r="CM23" i="13" s="1"/>
  <c r="CL31" i="1" s="1"/>
  <c r="CL33" i="1" s="1"/>
  <c r="CU21" i="13"/>
  <c r="CU23" i="13" s="1"/>
  <c r="CT31" i="1" s="1"/>
  <c r="CT33" i="1" s="1"/>
  <c r="CV21" i="13"/>
  <c r="CV23" i="13" s="1"/>
  <c r="CU31" i="1" s="1"/>
  <c r="CU33" i="1" s="1"/>
  <c r="CO21" i="13"/>
  <c r="CO23" i="13" s="1"/>
  <c r="CN31" i="1" s="1"/>
  <c r="CN33" i="1" s="1"/>
  <c r="CQ8" i="18"/>
  <c r="CN8" i="18"/>
  <c r="CM8" i="18"/>
  <c r="CP8" i="47"/>
  <c r="CP9" i="47"/>
  <c r="CP12" i="47"/>
  <c r="CP39" i="47"/>
  <c r="CP13" i="47"/>
  <c r="CP23" i="47"/>
  <c r="CP42" i="47"/>
  <c r="CP21" i="47"/>
  <c r="CP22" i="47"/>
  <c r="CP14" i="47"/>
  <c r="CP15" i="47"/>
  <c r="CP27" i="47"/>
  <c r="CP41" i="47"/>
  <c r="CP43" i="47"/>
  <c r="CP20" i="47"/>
  <c r="CP44" i="47"/>
  <c r="BX16" i="18"/>
  <c r="BX13" i="18"/>
  <c r="BX24" i="18"/>
  <c r="BX32" i="18"/>
  <c r="BX11" i="18"/>
  <c r="BX17" i="18"/>
  <c r="BX18" i="18"/>
  <c r="BX15" i="18"/>
  <c r="BX22" i="18"/>
  <c r="BX30" i="18"/>
  <c r="BX12" i="18"/>
  <c r="BX31" i="18"/>
  <c r="BX29" i="18"/>
  <c r="BX19" i="18"/>
  <c r="BX21" i="18"/>
  <c r="BX27" i="18"/>
  <c r="BX23" i="18"/>
  <c r="BX20" i="18"/>
  <c r="BX14" i="18"/>
  <c r="BX26" i="18"/>
  <c r="CB39" i="60"/>
  <c r="CB11" i="60"/>
  <c r="CB16" i="60"/>
  <c r="CB15" i="60"/>
  <c r="CE16" i="60"/>
  <c r="CE39" i="60"/>
  <c r="CE15" i="60"/>
  <c r="CE11" i="60"/>
  <c r="CL8" i="47"/>
  <c r="CL44" i="47"/>
  <c r="CL42" i="47"/>
  <c r="CL12" i="47"/>
  <c r="CL14" i="47"/>
  <c r="CL41" i="47"/>
  <c r="CL27" i="47"/>
  <c r="CL39" i="47"/>
  <c r="CL22" i="47"/>
  <c r="CL23" i="47"/>
  <c r="CL20" i="47"/>
  <c r="CL15" i="47"/>
  <c r="CL9" i="47"/>
  <c r="CL21" i="47"/>
  <c r="CL43" i="47"/>
  <c r="CL13" i="47"/>
  <c r="BY39" i="60"/>
  <c r="BY16" i="60"/>
  <c r="BY15" i="60"/>
  <c r="CT8" i="47"/>
  <c r="CT23" i="47"/>
  <c r="CT20" i="47"/>
  <c r="CT39" i="47"/>
  <c r="CT15" i="47"/>
  <c r="CT21" i="47"/>
  <c r="CT44" i="47"/>
  <c r="CT9" i="47"/>
  <c r="CT13" i="47"/>
  <c r="CT12" i="47"/>
  <c r="CT41" i="47"/>
  <c r="CT43" i="47"/>
  <c r="CT22" i="47"/>
  <c r="CT27" i="47"/>
  <c r="CT42" i="47"/>
  <c r="CT14" i="47"/>
  <c r="CH11" i="60"/>
  <c r="CH16" i="60"/>
  <c r="CH15" i="60"/>
  <c r="CH39" i="60"/>
  <c r="BX33" i="1"/>
  <c r="J32" i="20"/>
  <c r="J34" i="20" s="1"/>
  <c r="BY25" i="18"/>
  <c r="CC25" i="18"/>
  <c r="BP12" i="1"/>
  <c r="BS12" i="1"/>
  <c r="CE25" i="18"/>
  <c r="BZ25" i="18"/>
  <c r="CG25" i="18"/>
  <c r="CN20" i="47"/>
  <c r="CN8" i="47"/>
  <c r="CN12" i="47"/>
  <c r="CN22" i="47"/>
  <c r="CN13" i="47"/>
  <c r="CN9" i="47"/>
  <c r="CN21" i="47"/>
  <c r="CN43" i="47"/>
  <c r="CN23" i="47"/>
  <c r="CN41" i="47"/>
  <c r="CN27" i="47"/>
  <c r="CN44" i="47"/>
  <c r="CN42" i="47"/>
  <c r="CN15" i="47"/>
  <c r="CN14" i="47"/>
  <c r="CN39" i="47"/>
  <c r="CM22" i="47"/>
  <c r="CM44" i="47"/>
  <c r="CM43" i="47"/>
  <c r="CM23" i="47"/>
  <c r="CM42" i="47"/>
  <c r="CM14" i="47"/>
  <c r="CM20" i="47"/>
  <c r="CM13" i="47"/>
  <c r="CM15" i="47"/>
  <c r="CM8" i="47"/>
  <c r="CM9" i="47"/>
  <c r="CM41" i="47"/>
  <c r="CM12" i="47"/>
  <c r="CM27" i="47"/>
  <c r="CM21" i="47"/>
  <c r="CM39" i="47"/>
  <c r="CG31" i="18"/>
  <c r="CG15" i="18"/>
  <c r="CG17" i="18"/>
  <c r="CG22" i="18"/>
  <c r="CG18" i="18"/>
  <c r="CG30" i="18"/>
  <c r="CG24" i="18"/>
  <c r="CG19" i="18"/>
  <c r="CG13" i="18"/>
  <c r="CG20" i="18"/>
  <c r="CG12" i="18"/>
  <c r="CG11" i="18"/>
  <c r="CG26" i="18"/>
  <c r="CG29" i="18"/>
  <c r="CG16" i="18"/>
  <c r="CG14" i="18"/>
  <c r="CG21" i="18"/>
  <c r="CG32" i="18"/>
  <c r="CG27" i="18"/>
  <c r="CG23" i="18"/>
  <c r="CC11" i="60"/>
  <c r="CC15" i="60"/>
  <c r="CC16" i="60"/>
  <c r="CC39" i="60"/>
  <c r="CW22" i="47"/>
  <c r="CW21" i="47"/>
  <c r="CW43" i="47"/>
  <c r="CW44" i="47"/>
  <c r="CW13" i="47"/>
  <c r="CW14" i="47"/>
  <c r="CW12" i="47"/>
  <c r="CW23" i="47"/>
  <c r="CW41" i="47"/>
  <c r="CW27" i="47"/>
  <c r="CW15" i="47"/>
  <c r="CW42" i="47"/>
  <c r="CW9" i="47"/>
  <c r="CW20" i="47"/>
  <c r="CW39" i="47"/>
  <c r="CW8" i="47"/>
  <c r="CF20" i="18"/>
  <c r="CF16" i="18"/>
  <c r="CF27" i="18"/>
  <c r="CF12" i="18"/>
  <c r="CF30" i="18"/>
  <c r="CF31" i="18"/>
  <c r="CF22" i="18"/>
  <c r="CF13" i="18"/>
  <c r="CF29" i="18"/>
  <c r="CF18" i="18"/>
  <c r="CF23" i="18"/>
  <c r="CF11" i="18"/>
  <c r="CF24" i="18"/>
  <c r="CF15" i="18"/>
  <c r="CF14" i="18"/>
  <c r="CF21" i="18"/>
  <c r="CF26" i="18"/>
  <c r="CF32" i="18"/>
  <c r="CF19" i="18"/>
  <c r="BZ16" i="60"/>
  <c r="BZ15" i="60"/>
  <c r="BZ39" i="60"/>
  <c r="BZ11" i="60"/>
  <c r="CR20" i="47"/>
  <c r="CR14" i="47"/>
  <c r="CR42" i="47"/>
  <c r="CR23" i="47"/>
  <c r="CR8" i="47"/>
  <c r="CR27" i="47"/>
  <c r="CR9" i="47"/>
  <c r="CR13" i="47"/>
  <c r="CR12" i="47"/>
  <c r="CR15" i="47"/>
  <c r="CR39" i="47"/>
  <c r="CR44" i="47"/>
  <c r="CR43" i="47"/>
  <c r="CR41" i="47"/>
  <c r="CR22" i="47"/>
  <c r="CR21" i="47"/>
  <c r="CD12" i="18"/>
  <c r="CD31" i="18"/>
  <c r="CD23" i="18"/>
  <c r="CD30" i="18"/>
  <c r="CD24" i="18"/>
  <c r="CD27" i="18"/>
  <c r="CD22" i="18"/>
  <c r="CD11" i="18"/>
  <c r="CD20" i="18"/>
  <c r="CD14" i="18"/>
  <c r="CD13" i="18"/>
  <c r="CD16" i="18"/>
  <c r="CD32" i="18"/>
  <c r="CD26" i="18"/>
  <c r="CD15" i="18"/>
  <c r="CD19" i="18"/>
  <c r="CD21" i="18"/>
  <c r="CD29" i="18"/>
  <c r="CD17" i="18"/>
  <c r="CD18" i="18"/>
  <c r="CU21" i="47"/>
  <c r="CU23" i="47"/>
  <c r="CU15" i="47"/>
  <c r="CU8" i="47"/>
  <c r="CU14" i="47"/>
  <c r="CU43" i="47"/>
  <c r="CU39" i="47"/>
  <c r="CU20" i="47"/>
  <c r="CU42" i="47"/>
  <c r="CU44" i="47"/>
  <c r="CU41" i="47"/>
  <c r="CU13" i="47"/>
  <c r="CU27" i="47"/>
  <c r="CU12" i="47"/>
  <c r="CU22" i="47"/>
  <c r="CU9" i="47"/>
  <c r="BW12" i="1"/>
  <c r="BM12" i="1"/>
  <c r="BO12" i="1"/>
  <c r="CF11" i="60"/>
  <c r="CF16" i="60"/>
  <c r="CF39" i="60"/>
  <c r="CF15" i="60"/>
  <c r="CB30" i="18"/>
  <c r="CB23" i="18"/>
  <c r="CB20" i="18"/>
  <c r="CB21" i="18"/>
  <c r="CB29" i="18"/>
  <c r="CB32" i="18"/>
  <c r="CB15" i="18"/>
  <c r="CB13" i="18"/>
  <c r="CB22" i="18"/>
  <c r="CB27" i="18"/>
  <c r="CB11" i="18"/>
  <c r="CB26" i="18"/>
  <c r="CB24" i="18"/>
  <c r="CB18" i="18"/>
  <c r="CB12" i="18"/>
  <c r="CB14" i="18"/>
  <c r="CB19" i="18"/>
  <c r="CB31" i="18"/>
  <c r="CB16" i="18"/>
  <c r="CH14" i="18"/>
  <c r="CH16" i="18"/>
  <c r="CH27" i="18"/>
  <c r="CH13" i="18"/>
  <c r="CH22" i="18"/>
  <c r="CH15" i="18"/>
  <c r="CH26" i="18"/>
  <c r="CH24" i="18"/>
  <c r="CH23" i="18"/>
  <c r="CH11" i="18"/>
  <c r="CH29" i="18"/>
  <c r="CH12" i="18"/>
  <c r="CH18" i="18"/>
  <c r="CH32" i="18"/>
  <c r="CH19" i="18"/>
  <c r="CH20" i="18"/>
  <c r="CH21" i="18"/>
  <c r="CH30" i="18"/>
  <c r="CH31" i="18"/>
  <c r="BU12" i="1"/>
  <c r="BX25" i="18"/>
  <c r="CH25" i="18"/>
  <c r="CD25" i="18"/>
  <c r="CV9" i="47"/>
  <c r="CV21" i="47"/>
  <c r="CV41" i="47"/>
  <c r="CV27" i="47"/>
  <c r="CV12" i="47"/>
  <c r="CV15" i="47"/>
  <c r="CV39" i="47"/>
  <c r="CV8" i="47"/>
  <c r="CV44" i="47"/>
  <c r="CV23" i="47"/>
  <c r="CV42" i="47"/>
  <c r="CV22" i="47"/>
  <c r="CV13" i="47"/>
  <c r="CV20" i="47"/>
  <c r="CV43" i="47"/>
  <c r="CV14" i="47"/>
  <c r="CI11" i="60"/>
  <c r="CI15" i="60"/>
  <c r="CI39" i="60"/>
  <c r="CI16" i="60"/>
  <c r="BX15" i="60"/>
  <c r="BX16" i="60"/>
  <c r="BX39" i="60"/>
  <c r="CE12" i="18"/>
  <c r="CE27" i="18"/>
  <c r="CE16" i="18"/>
  <c r="CE15" i="18"/>
  <c r="CE23" i="18"/>
  <c r="CE30" i="18"/>
  <c r="CE22" i="18"/>
  <c r="CE13" i="18"/>
  <c r="CE26" i="18"/>
  <c r="CE29" i="18"/>
  <c r="CE19" i="18"/>
  <c r="CE32" i="18"/>
  <c r="CE31" i="18"/>
  <c r="CE11" i="18"/>
  <c r="CE14" i="18"/>
  <c r="CE20" i="18"/>
  <c r="CE21" i="18"/>
  <c r="CE24" i="18"/>
  <c r="CE18" i="18"/>
  <c r="CD16" i="60"/>
  <c r="CD39" i="60"/>
  <c r="CD15" i="60"/>
  <c r="CD11" i="60"/>
  <c r="BZ26" i="18"/>
  <c r="BZ24" i="18"/>
  <c r="BZ29" i="18"/>
  <c r="BZ18" i="18"/>
  <c r="BZ19" i="18"/>
  <c r="BZ21" i="18"/>
  <c r="BZ15" i="18"/>
  <c r="BZ11" i="18"/>
  <c r="BZ31" i="18"/>
  <c r="BZ16" i="18"/>
  <c r="BZ30" i="18"/>
  <c r="BZ20" i="18"/>
  <c r="BZ32" i="18"/>
  <c r="BZ22" i="18"/>
  <c r="BZ9" i="18"/>
  <c r="BZ12" i="18"/>
  <c r="BZ13" i="18"/>
  <c r="BZ23" i="18"/>
  <c r="BZ27" i="18"/>
  <c r="BZ14" i="18"/>
  <c r="CA19" i="18"/>
  <c r="CA22" i="18"/>
  <c r="CA31" i="18"/>
  <c r="CA13" i="18"/>
  <c r="CA15" i="18"/>
  <c r="CA20" i="18"/>
  <c r="CA18" i="18"/>
  <c r="CA32" i="18"/>
  <c r="CA30" i="18"/>
  <c r="CA21" i="18"/>
  <c r="CA16" i="18"/>
  <c r="CA14" i="18"/>
  <c r="CA17" i="18"/>
  <c r="CA24" i="18"/>
  <c r="CA12" i="18"/>
  <c r="CA27" i="18"/>
  <c r="CA11" i="18"/>
  <c r="CA23" i="18"/>
  <c r="CA29" i="18"/>
  <c r="CA26" i="18"/>
  <c r="CI22" i="18"/>
  <c r="CI23" i="18"/>
  <c r="CI29" i="18"/>
  <c r="CI16" i="18"/>
  <c r="CI24" i="18"/>
  <c r="CI14" i="18"/>
  <c r="CI18" i="18"/>
  <c r="CI20" i="18"/>
  <c r="CI11" i="18"/>
  <c r="CI27" i="18"/>
  <c r="CI31" i="18"/>
  <c r="CI12" i="18"/>
  <c r="CI26" i="18"/>
  <c r="CI32" i="18"/>
  <c r="CI19" i="18"/>
  <c r="CI30" i="18"/>
  <c r="CI15" i="18"/>
  <c r="CI13" i="18"/>
  <c r="CI21" i="18"/>
  <c r="BV12" i="1"/>
  <c r="CA25" i="18"/>
  <c r="BT12" i="1"/>
  <c r="CB25" i="18"/>
  <c r="CG4" i="13"/>
  <c r="CJ4" i="16"/>
  <c r="BZ4" i="13"/>
  <c r="CR4" i="47"/>
  <c r="CI4" i="13"/>
  <c r="CA4" i="29"/>
  <c r="BZ4" i="16"/>
  <c r="CI4" i="60"/>
  <c r="CI4" i="16"/>
  <c r="CW4" i="47"/>
  <c r="BZ4" i="60"/>
  <c r="CE4" i="60"/>
  <c r="CH4" i="16"/>
  <c r="BZ4" i="29"/>
  <c r="CT4" i="47"/>
  <c r="CP4" i="47"/>
  <c r="CI4" i="18"/>
  <c r="CD4" i="18"/>
  <c r="CD4" i="60"/>
  <c r="BY4" i="18"/>
  <c r="CD4" i="29"/>
  <c r="CB4" i="18"/>
  <c r="BY4" i="29"/>
  <c r="BX4" i="60"/>
  <c r="CF4" i="16"/>
  <c r="CG4" i="16"/>
  <c r="CG4" i="18"/>
  <c r="CA4" i="13"/>
  <c r="CH4" i="18"/>
  <c r="CF4" i="13"/>
  <c r="BY4" i="16"/>
  <c r="CB4" i="16"/>
  <c r="CG4" i="60"/>
  <c r="CC4" i="60"/>
  <c r="CL4" i="47"/>
  <c r="CU4" i="47"/>
  <c r="CO4" i="47"/>
  <c r="CJ4" i="13"/>
  <c r="CH4" i="29"/>
  <c r="CE4" i="18"/>
  <c r="CD4" i="16"/>
  <c r="CS4" i="47"/>
  <c r="CA4" i="60"/>
  <c r="CA4" i="18"/>
  <c r="CB4" i="29"/>
  <c r="BY4" i="60"/>
  <c r="CH4" i="60"/>
  <c r="CN4" i="47"/>
  <c r="CC4" i="13"/>
  <c r="CD4" i="13"/>
  <c r="CF4" i="18"/>
  <c r="CF4" i="29"/>
  <c r="CE4" i="13"/>
  <c r="BY4" i="13"/>
  <c r="CM4" i="47"/>
  <c r="CF4" i="60"/>
  <c r="CB4" i="60"/>
  <c r="BX4" i="29"/>
  <c r="CE4" i="16"/>
  <c r="CC4" i="18"/>
  <c r="BZ4" i="18"/>
  <c r="CV4" i="47"/>
  <c r="CI4" i="29"/>
  <c r="CQ4" i="47"/>
  <c r="CH4" i="13"/>
  <c r="CC4" i="16"/>
  <c r="CC4" i="29"/>
  <c r="CB4" i="13"/>
  <c r="BX4" i="18"/>
  <c r="CA4" i="16"/>
  <c r="CE4" i="29"/>
  <c r="CG4" i="29"/>
  <c r="AF12" i="58"/>
  <c r="AG9" i="58" s="1"/>
  <c r="CV5" i="13"/>
  <c r="CM5" i="13"/>
  <c r="CO5" i="13"/>
  <c r="CL5" i="29"/>
  <c r="CN5" i="16"/>
  <c r="CS5" i="13"/>
  <c r="CQ5" i="16"/>
  <c r="CL5" i="18"/>
  <c r="CO5" i="16"/>
  <c r="CM5" i="29"/>
  <c r="CS5" i="18"/>
  <c r="CS5" i="16"/>
  <c r="CP5" i="29"/>
  <c r="CS5" i="29"/>
  <c r="CV5" i="16"/>
  <c r="CM5" i="18"/>
  <c r="CM5" i="16"/>
  <c r="CU5" i="29"/>
  <c r="CO5" i="18"/>
  <c r="CR5" i="18"/>
  <c r="CU5" i="13"/>
  <c r="CR5" i="16"/>
  <c r="CN5" i="29"/>
  <c r="CK5" i="13"/>
  <c r="CT5" i="16"/>
  <c r="CR5" i="29"/>
  <c r="CN5" i="13"/>
  <c r="CO5" i="29"/>
  <c r="CQ5" i="18"/>
  <c r="CP5" i="18"/>
  <c r="CP5" i="16"/>
  <c r="CJ5" i="18"/>
  <c r="CQ5" i="13"/>
  <c r="CT5" i="13"/>
  <c r="CQ5" i="29"/>
  <c r="CU5" i="16"/>
  <c r="CN5" i="18"/>
  <c r="CK5" i="18"/>
  <c r="CT5" i="29"/>
  <c r="CL5" i="16"/>
  <c r="CK5" i="29"/>
  <c r="CJ5" i="29"/>
  <c r="CU5" i="18"/>
  <c r="CP5" i="13"/>
  <c r="CR5" i="13"/>
  <c r="CT5" i="18"/>
  <c r="CK5" i="16"/>
  <c r="CL5" i="13"/>
  <c r="G31" i="74"/>
  <c r="G34" i="74"/>
  <c r="F18" i="24" l="1"/>
  <c r="G11" i="24" s="1"/>
  <c r="D51" i="74"/>
  <c r="D53" i="74" s="1"/>
  <c r="D63" i="74"/>
  <c r="O64" i="72" s="1"/>
  <c r="O68" i="72" s="1"/>
  <c r="D63" i="87"/>
  <c r="U66" i="72" s="1"/>
  <c r="D51" i="87"/>
  <c r="D53" i="87" s="1"/>
  <c r="P31" i="88"/>
  <c r="Q24" i="88" s="1"/>
  <c r="P34" i="88"/>
  <c r="P31" i="86"/>
  <c r="Q24" i="86" s="1"/>
  <c r="P34" i="86"/>
  <c r="P34" i="87"/>
  <c r="P31" i="87"/>
  <c r="Q24" i="87" s="1"/>
  <c r="S16" i="24"/>
  <c r="G16" i="24"/>
  <c r="G7" i="24" s="1"/>
  <c r="S41" i="1"/>
  <c r="G39" i="1"/>
  <c r="G17" i="1"/>
  <c r="L16" i="74"/>
  <c r="N59" i="22"/>
  <c r="N58" i="22"/>
  <c r="N31" i="22"/>
  <c r="N57" i="22"/>
  <c r="N23" i="22"/>
  <c r="N28" i="22"/>
  <c r="O19" i="22"/>
  <c r="N60" i="22"/>
  <c r="N36" i="22"/>
  <c r="N32" i="22"/>
  <c r="N27" i="22"/>
  <c r="N24" i="22"/>
  <c r="N40" i="22"/>
  <c r="N35" i="22"/>
  <c r="N42" i="22"/>
  <c r="N54" i="22"/>
  <c r="N38" i="22"/>
  <c r="N34" i="22"/>
  <c r="N30" i="22"/>
  <c r="N41" i="22"/>
  <c r="N52" i="22"/>
  <c r="N44" i="22"/>
  <c r="N43" i="22"/>
  <c r="N51" i="22"/>
  <c r="N53" i="22"/>
  <c r="N45" i="22"/>
  <c r="N22" i="22"/>
  <c r="N49" i="22"/>
  <c r="N48" i="22"/>
  <c r="N55" i="22"/>
  <c r="N47" i="22"/>
  <c r="N29" i="22"/>
  <c r="N50" i="22"/>
  <c r="N37" i="22"/>
  <c r="N33" i="22"/>
  <c r="N39" i="22"/>
  <c r="N56" i="22"/>
  <c r="N46" i="22"/>
  <c r="J19" i="74"/>
  <c r="J35" i="74"/>
  <c r="CU25" i="18"/>
  <c r="CL25" i="18"/>
  <c r="CQ25" i="18"/>
  <c r="CM25" i="18"/>
  <c r="CK25" i="18"/>
  <c r="CS25" i="18"/>
  <c r="CJ25" i="18"/>
  <c r="CF12" i="1"/>
  <c r="BX12" i="1"/>
  <c r="I10" i="20"/>
  <c r="CM19" i="18"/>
  <c r="CM21" i="18"/>
  <c r="CM13" i="18"/>
  <c r="CM30" i="18"/>
  <c r="CM29" i="18"/>
  <c r="CM11" i="18"/>
  <c r="CM22" i="18"/>
  <c r="CM18" i="18"/>
  <c r="CM12" i="18"/>
  <c r="CM20" i="18"/>
  <c r="CM32" i="18"/>
  <c r="CM16" i="18"/>
  <c r="CM26" i="18"/>
  <c r="CM24" i="18"/>
  <c r="CM14" i="18"/>
  <c r="CM27" i="18"/>
  <c r="CM15" i="18"/>
  <c r="CM31" i="18"/>
  <c r="CM23" i="18"/>
  <c r="CM17" i="18"/>
  <c r="DH27" i="47"/>
  <c r="DH44" i="47"/>
  <c r="DH13" i="47"/>
  <c r="DH22" i="47"/>
  <c r="DH41" i="47"/>
  <c r="DH8" i="47"/>
  <c r="DH9" i="47"/>
  <c r="DH15" i="47"/>
  <c r="DH20" i="47"/>
  <c r="DH12" i="47"/>
  <c r="DH14" i="47"/>
  <c r="DH42" i="47"/>
  <c r="DH21" i="47"/>
  <c r="DH43" i="47"/>
  <c r="DH39" i="47"/>
  <c r="DH23" i="47"/>
  <c r="CQ11" i="60"/>
  <c r="CQ39" i="60"/>
  <c r="CQ16" i="60"/>
  <c r="CQ15" i="60"/>
  <c r="DE43" i="47"/>
  <c r="DE8" i="47"/>
  <c r="DE20" i="47"/>
  <c r="DE13" i="47"/>
  <c r="DE21" i="47"/>
  <c r="DE12" i="47"/>
  <c r="DE14" i="47"/>
  <c r="DE23" i="47"/>
  <c r="DE15" i="47"/>
  <c r="DE42" i="47"/>
  <c r="DE41" i="47"/>
  <c r="DE22" i="47"/>
  <c r="DE39" i="47"/>
  <c r="DE44" i="47"/>
  <c r="DE9" i="47"/>
  <c r="DE27" i="47"/>
  <c r="CK18" i="18"/>
  <c r="CK19" i="18"/>
  <c r="CK21" i="18"/>
  <c r="CK32" i="18"/>
  <c r="CK13" i="18"/>
  <c r="CK23" i="18"/>
  <c r="CK29" i="18"/>
  <c r="CK26" i="18"/>
  <c r="CK16" i="18"/>
  <c r="CK27" i="18"/>
  <c r="CK14" i="18"/>
  <c r="CK12" i="18"/>
  <c r="CK22" i="18"/>
  <c r="CK11" i="18"/>
  <c r="CK24" i="18"/>
  <c r="CK20" i="18"/>
  <c r="CK30" i="18"/>
  <c r="CK31" i="18"/>
  <c r="CK15" i="18"/>
  <c r="CR24" i="18"/>
  <c r="CR26" i="18"/>
  <c r="CR32" i="18"/>
  <c r="CR16" i="18"/>
  <c r="CR30" i="18"/>
  <c r="CR15" i="18"/>
  <c r="CR23" i="18"/>
  <c r="CR27" i="18"/>
  <c r="CR18" i="18"/>
  <c r="CR31" i="18"/>
  <c r="CR11" i="18"/>
  <c r="CR21" i="18"/>
  <c r="CR22" i="18"/>
  <c r="CR12" i="18"/>
  <c r="CR20" i="18"/>
  <c r="CR13" i="18"/>
  <c r="CR14" i="18"/>
  <c r="CR29" i="18"/>
  <c r="CR19" i="18"/>
  <c r="CI12" i="1"/>
  <c r="CA12" i="1"/>
  <c r="BZ12" i="1"/>
  <c r="CE12" i="1"/>
  <c r="CT25" i="18"/>
  <c r="CP25" i="18"/>
  <c r="CG12" i="1"/>
  <c r="CR25" i="18"/>
  <c r="CX27" i="47"/>
  <c r="CX12" i="47"/>
  <c r="CX20" i="47"/>
  <c r="CX23" i="47"/>
  <c r="CX22" i="47"/>
  <c r="CX9" i="47"/>
  <c r="CX13" i="47"/>
  <c r="CX15" i="47"/>
  <c r="CX42" i="47"/>
  <c r="CX21" i="47"/>
  <c r="CX41" i="47"/>
  <c r="CX44" i="47"/>
  <c r="CX8" i="47"/>
  <c r="CX43" i="47"/>
  <c r="CX14" i="47"/>
  <c r="CX39" i="47"/>
  <c r="DG22" i="47"/>
  <c r="DG23" i="47"/>
  <c r="DG20" i="47"/>
  <c r="DG27" i="47"/>
  <c r="DG9" i="47"/>
  <c r="DG43" i="47"/>
  <c r="DG41" i="47"/>
  <c r="DG14" i="47"/>
  <c r="DG21" i="47"/>
  <c r="DG42" i="47"/>
  <c r="DG13" i="47"/>
  <c r="DG15" i="47"/>
  <c r="DG44" i="47"/>
  <c r="DG8" i="47"/>
  <c r="DG39" i="47"/>
  <c r="DG12" i="47"/>
  <c r="CK39" i="60"/>
  <c r="CK16" i="60"/>
  <c r="CK15" i="60"/>
  <c r="CU16" i="60"/>
  <c r="CU39" i="60"/>
  <c r="CU15" i="60"/>
  <c r="CU11" i="60"/>
  <c r="K32" i="20"/>
  <c r="K34" i="20" s="1"/>
  <c r="CJ33" i="1"/>
  <c r="CL16" i="60"/>
  <c r="CL15" i="60"/>
  <c r="CL11" i="60"/>
  <c r="CL39" i="60"/>
  <c r="CP16" i="60"/>
  <c r="CP11" i="60"/>
  <c r="CP39" i="60"/>
  <c r="CP15" i="60"/>
  <c r="CL21" i="18"/>
  <c r="CL9" i="18"/>
  <c r="CL24" i="18"/>
  <c r="CL30" i="18"/>
  <c r="CL20" i="18"/>
  <c r="CL13" i="18"/>
  <c r="CL29" i="18"/>
  <c r="CL31" i="18"/>
  <c r="CL23" i="18"/>
  <c r="CL18" i="18"/>
  <c r="CL12" i="18"/>
  <c r="CL16" i="18"/>
  <c r="CL27" i="18"/>
  <c r="CL32" i="18"/>
  <c r="CL14" i="18"/>
  <c r="CL19" i="18"/>
  <c r="CL26" i="18"/>
  <c r="CL15" i="18"/>
  <c r="CL22" i="18"/>
  <c r="CL11" i="18"/>
  <c r="CP29" i="18"/>
  <c r="CP15" i="18"/>
  <c r="CP20" i="18"/>
  <c r="CP24" i="18"/>
  <c r="CP30" i="18"/>
  <c r="CP17" i="18"/>
  <c r="CP26" i="18"/>
  <c r="CP31" i="18"/>
  <c r="CP11" i="18"/>
  <c r="CP23" i="18"/>
  <c r="CP13" i="18"/>
  <c r="CP32" i="18"/>
  <c r="CP27" i="18"/>
  <c r="CP12" i="18"/>
  <c r="CP21" i="18"/>
  <c r="CP18" i="18"/>
  <c r="CP19" i="18"/>
  <c r="CP22" i="18"/>
  <c r="CP14" i="18"/>
  <c r="CP16" i="18"/>
  <c r="BY12" i="1"/>
  <c r="CB12" i="1"/>
  <c r="CD12" i="1"/>
  <c r="CO15" i="60"/>
  <c r="CO11" i="60"/>
  <c r="CO16" i="60"/>
  <c r="CO39" i="60"/>
  <c r="CU19" i="18"/>
  <c r="CU24" i="18"/>
  <c r="CU13" i="18"/>
  <c r="CU23" i="18"/>
  <c r="CU12" i="18"/>
  <c r="CU21" i="18"/>
  <c r="CU31" i="18"/>
  <c r="CU26" i="18"/>
  <c r="CU18" i="18"/>
  <c r="CU29" i="18"/>
  <c r="CU20" i="18"/>
  <c r="CU11" i="18"/>
  <c r="CU27" i="18"/>
  <c r="CU32" i="18"/>
  <c r="CU14" i="18"/>
  <c r="CU22" i="18"/>
  <c r="CU30" i="18"/>
  <c r="CU15" i="18"/>
  <c r="CU16" i="18"/>
  <c r="CJ23" i="18"/>
  <c r="CJ31" i="18"/>
  <c r="CJ24" i="18"/>
  <c r="CJ20" i="18"/>
  <c r="CJ32" i="18"/>
  <c r="CJ15" i="18"/>
  <c r="CJ16" i="18"/>
  <c r="CJ12" i="18"/>
  <c r="CJ29" i="18"/>
  <c r="CJ13" i="18"/>
  <c r="CJ11" i="18"/>
  <c r="CJ26" i="18"/>
  <c r="CJ18" i="18"/>
  <c r="CJ19" i="18"/>
  <c r="CJ14" i="18"/>
  <c r="CJ17" i="18"/>
  <c r="CJ27" i="18"/>
  <c r="CJ21" i="18"/>
  <c r="CJ22" i="18"/>
  <c r="CJ30" i="18"/>
  <c r="DC14" i="47"/>
  <c r="DC15" i="47"/>
  <c r="DC22" i="47"/>
  <c r="DC21" i="47"/>
  <c r="DC12" i="47"/>
  <c r="DC27" i="47"/>
  <c r="DC39" i="47"/>
  <c r="DC42" i="47"/>
  <c r="DC41" i="47"/>
  <c r="DC20" i="47"/>
  <c r="DC44" i="47"/>
  <c r="DC9" i="47"/>
  <c r="DC23" i="47"/>
  <c r="DC8" i="47"/>
  <c r="DC43" i="47"/>
  <c r="DC13" i="47"/>
  <c r="CH12" i="1"/>
  <c r="CN25" i="18"/>
  <c r="CY9" i="47"/>
  <c r="CY14" i="47"/>
  <c r="CY27" i="47"/>
  <c r="CY12" i="47"/>
  <c r="CY20" i="47"/>
  <c r="CY22" i="47"/>
  <c r="CY15" i="47"/>
  <c r="CY43" i="47"/>
  <c r="CY39" i="47"/>
  <c r="CY21" i="47"/>
  <c r="CY23" i="47"/>
  <c r="CY8" i="47"/>
  <c r="CY13" i="47"/>
  <c r="CY44" i="47"/>
  <c r="CY41" i="47"/>
  <c r="CY42" i="47"/>
  <c r="CN11" i="18"/>
  <c r="CN16" i="18"/>
  <c r="CN20" i="18"/>
  <c r="CN21" i="18"/>
  <c r="CN32" i="18"/>
  <c r="CN12" i="18"/>
  <c r="CN27" i="18"/>
  <c r="CN30" i="18"/>
  <c r="CN15" i="18"/>
  <c r="CN31" i="18"/>
  <c r="CN22" i="18"/>
  <c r="CN19" i="18"/>
  <c r="CN13" i="18"/>
  <c r="CN14" i="18"/>
  <c r="CN26" i="18"/>
  <c r="CN24" i="18"/>
  <c r="CN18" i="18"/>
  <c r="CN23" i="18"/>
  <c r="CN29" i="18"/>
  <c r="DA23" i="47"/>
  <c r="DA44" i="47"/>
  <c r="DA22" i="47"/>
  <c r="DA14" i="47"/>
  <c r="DA39" i="47"/>
  <c r="DA12" i="47"/>
  <c r="DA21" i="47"/>
  <c r="DA13" i="47"/>
  <c r="DA42" i="47"/>
  <c r="DA43" i="47"/>
  <c r="DA15" i="47"/>
  <c r="DA27" i="47"/>
  <c r="DA41" i="47"/>
  <c r="DA8" i="47"/>
  <c r="DA9" i="47"/>
  <c r="DA20" i="47"/>
  <c r="CZ15" i="47"/>
  <c r="CZ8" i="47"/>
  <c r="CZ14" i="47"/>
  <c r="CZ43" i="47"/>
  <c r="CZ20" i="47"/>
  <c r="CZ39" i="47"/>
  <c r="CZ13" i="47"/>
  <c r="CZ42" i="47"/>
  <c r="CZ44" i="47"/>
  <c r="CZ27" i="47"/>
  <c r="CZ41" i="47"/>
  <c r="CZ23" i="47"/>
  <c r="CZ22" i="47"/>
  <c r="CZ12" i="47"/>
  <c r="CZ21" i="47"/>
  <c r="CZ9" i="47"/>
  <c r="CV8" i="18"/>
  <c r="DH21" i="13"/>
  <c r="DH23" i="13" s="1"/>
  <c r="DG31" i="1" s="1"/>
  <c r="DG33" i="1" s="1"/>
  <c r="DD21" i="13"/>
  <c r="DD23" i="13" s="1"/>
  <c r="DC31" i="1" s="1"/>
  <c r="DC33" i="1" s="1"/>
  <c r="CY8" i="18"/>
  <c r="DF8" i="18"/>
  <c r="CZ8" i="18"/>
  <c r="CY21" i="13"/>
  <c r="CY23" i="13" s="1"/>
  <c r="CX31" i="1" s="1"/>
  <c r="CX33" i="1" s="1"/>
  <c r="DD8" i="18"/>
  <c r="CW21" i="13"/>
  <c r="CW23" i="13" s="1"/>
  <c r="CV31" i="1" s="1"/>
  <c r="DG21" i="13"/>
  <c r="DG23" i="13" s="1"/>
  <c r="DF31" i="1" s="1"/>
  <c r="DF33" i="1" s="1"/>
  <c r="DA21" i="13"/>
  <c r="DA23" i="13" s="1"/>
  <c r="CZ31" i="1" s="1"/>
  <c r="CZ33" i="1" s="1"/>
  <c r="CZ21" i="13"/>
  <c r="CZ23" i="13" s="1"/>
  <c r="CY31" i="1" s="1"/>
  <c r="CY33" i="1" s="1"/>
  <c r="DG8" i="18"/>
  <c r="DB8" i="18"/>
  <c r="DE21" i="13"/>
  <c r="DE23" i="13" s="1"/>
  <c r="DD31" i="1" s="1"/>
  <c r="DD33" i="1" s="1"/>
  <c r="DB21" i="13"/>
  <c r="DB23" i="13" s="1"/>
  <c r="DA31" i="1" s="1"/>
  <c r="DA33" i="1" s="1"/>
  <c r="DA8" i="18"/>
  <c r="DC8" i="18"/>
  <c r="CX21" i="13"/>
  <c r="CX23" i="13" s="1"/>
  <c r="CW31" i="1" s="1"/>
  <c r="CW33" i="1" s="1"/>
  <c r="CW8" i="18"/>
  <c r="DF21" i="13"/>
  <c r="DF23" i="13" s="1"/>
  <c r="DE31" i="1" s="1"/>
  <c r="DE33" i="1" s="1"/>
  <c r="DC21" i="13"/>
  <c r="DC23" i="13" s="1"/>
  <c r="DB31" i="1" s="1"/>
  <c r="DB33" i="1" s="1"/>
  <c r="DE8" i="18"/>
  <c r="CX8" i="18"/>
  <c r="CS27" i="18"/>
  <c r="CS13" i="18"/>
  <c r="CS17" i="18"/>
  <c r="CS29" i="18"/>
  <c r="CS23" i="18"/>
  <c r="CS21" i="18"/>
  <c r="CS19" i="18"/>
  <c r="CS16" i="18"/>
  <c r="CS18" i="18"/>
  <c r="CS12" i="18"/>
  <c r="CS32" i="18"/>
  <c r="CS26" i="18"/>
  <c r="CS30" i="18"/>
  <c r="CS22" i="18"/>
  <c r="CS31" i="18"/>
  <c r="CS24" i="18"/>
  <c r="CS20" i="18"/>
  <c r="CS15" i="18"/>
  <c r="CS11" i="18"/>
  <c r="CS14" i="18"/>
  <c r="CN11" i="60"/>
  <c r="CN39" i="60"/>
  <c r="CN16" i="60"/>
  <c r="CN15" i="60"/>
  <c r="CM15" i="60"/>
  <c r="CM39" i="60"/>
  <c r="CM16" i="60"/>
  <c r="CM11" i="60"/>
  <c r="CJ15" i="60"/>
  <c r="CJ39" i="60"/>
  <c r="CJ16" i="60"/>
  <c r="DI8" i="47"/>
  <c r="DI14" i="47"/>
  <c r="DI22" i="47"/>
  <c r="DI41" i="47"/>
  <c r="DI44" i="47"/>
  <c r="DI42" i="47"/>
  <c r="DI12" i="47"/>
  <c r="DI27" i="47"/>
  <c r="DI21" i="47"/>
  <c r="DI43" i="47"/>
  <c r="DI13" i="47"/>
  <c r="DI15" i="47"/>
  <c r="DI23" i="47"/>
  <c r="DI20" i="47"/>
  <c r="DI39" i="47"/>
  <c r="DI9" i="47"/>
  <c r="DD20" i="47"/>
  <c r="DD12" i="47"/>
  <c r="DD44" i="47"/>
  <c r="DD9" i="47"/>
  <c r="DD21" i="47"/>
  <c r="DD41" i="47"/>
  <c r="DD22" i="47"/>
  <c r="DD23" i="47"/>
  <c r="DD27" i="47"/>
  <c r="DD42" i="47"/>
  <c r="DD43" i="47"/>
  <c r="DD13" i="47"/>
  <c r="DD14" i="47"/>
  <c r="DD8" i="47"/>
  <c r="DD15" i="47"/>
  <c r="DD39" i="47"/>
  <c r="CR11" i="60"/>
  <c r="CR39" i="60"/>
  <c r="CR15" i="60"/>
  <c r="CR16" i="60"/>
  <c r="CO25" i="18"/>
  <c r="CT11" i="60"/>
  <c r="CT39" i="60"/>
  <c r="CT15" i="60"/>
  <c r="CT16" i="60"/>
  <c r="CQ21" i="18"/>
  <c r="CQ31" i="18"/>
  <c r="CQ12" i="18"/>
  <c r="CQ29" i="18"/>
  <c r="CQ19" i="18"/>
  <c r="CQ11" i="18"/>
  <c r="CQ27" i="18"/>
  <c r="CQ13" i="18"/>
  <c r="CQ18" i="18"/>
  <c r="CQ26" i="18"/>
  <c r="CQ16" i="18"/>
  <c r="CQ15" i="18"/>
  <c r="CQ24" i="18"/>
  <c r="CQ20" i="18"/>
  <c r="CQ23" i="18"/>
  <c r="CQ30" i="18"/>
  <c r="CQ22" i="18"/>
  <c r="CQ32" i="18"/>
  <c r="CQ14" i="18"/>
  <c r="DF13" i="47"/>
  <c r="DF8" i="47"/>
  <c r="DF23" i="47"/>
  <c r="DF9" i="47"/>
  <c r="DF39" i="47"/>
  <c r="DF20" i="47"/>
  <c r="DF14" i="47"/>
  <c r="DF44" i="47"/>
  <c r="DF41" i="47"/>
  <c r="DF42" i="47"/>
  <c r="DF15" i="47"/>
  <c r="DF43" i="47"/>
  <c r="DF27" i="47"/>
  <c r="DF21" i="47"/>
  <c r="DF22" i="47"/>
  <c r="DF12" i="47"/>
  <c r="CO24" i="18"/>
  <c r="CO14" i="18"/>
  <c r="CO21" i="18"/>
  <c r="CO30" i="18"/>
  <c r="CO19" i="18"/>
  <c r="CO29" i="18"/>
  <c r="CO32" i="18"/>
  <c r="CO16" i="18"/>
  <c r="CO12" i="18"/>
  <c r="CO18" i="18"/>
  <c r="CO20" i="18"/>
  <c r="CO31" i="18"/>
  <c r="CO23" i="18"/>
  <c r="CO13" i="18"/>
  <c r="CO22" i="18"/>
  <c r="CO27" i="18"/>
  <c r="CO11" i="18"/>
  <c r="CO15" i="18"/>
  <c r="CO26" i="18"/>
  <c r="CT12" i="18"/>
  <c r="CT30" i="18"/>
  <c r="CT14" i="18"/>
  <c r="CT29" i="18"/>
  <c r="CT24" i="18"/>
  <c r="CT15" i="18"/>
  <c r="CT11" i="18"/>
  <c r="CT22" i="18"/>
  <c r="CT20" i="18"/>
  <c r="CT32" i="18"/>
  <c r="CT18" i="18"/>
  <c r="CT16" i="18"/>
  <c r="CT31" i="18"/>
  <c r="CT26" i="18"/>
  <c r="CT27" i="18"/>
  <c r="CT19" i="18"/>
  <c r="CT23" i="18"/>
  <c r="CT21" i="18"/>
  <c r="CT13" i="18"/>
  <c r="CS15" i="60"/>
  <c r="CS39" i="60"/>
  <c r="CS11" i="60"/>
  <c r="CS16" i="60"/>
  <c r="DB41" i="47"/>
  <c r="DB14" i="47"/>
  <c r="DB44" i="47"/>
  <c r="DB43" i="47"/>
  <c r="DB12" i="47"/>
  <c r="DB22" i="47"/>
  <c r="DB42" i="47"/>
  <c r="DB27" i="47"/>
  <c r="DB21" i="47"/>
  <c r="DB20" i="47"/>
  <c r="DB9" i="47"/>
  <c r="DB39" i="47"/>
  <c r="DB13" i="47"/>
  <c r="DB15" i="47"/>
  <c r="DB23" i="47"/>
  <c r="DB8" i="47"/>
  <c r="CC12" i="1"/>
  <c r="CN4" i="13"/>
  <c r="CL4" i="13"/>
  <c r="CN4" i="29"/>
  <c r="CP4" i="16"/>
  <c r="CQ4" i="13"/>
  <c r="CN4" i="16"/>
  <c r="CT4" i="16"/>
  <c r="CZ4" i="47"/>
  <c r="CS4" i="29"/>
  <c r="CL4" i="16"/>
  <c r="CR4" i="60"/>
  <c r="CL4" i="18"/>
  <c r="DA4" i="47"/>
  <c r="CU4" i="16"/>
  <c r="DE4" i="47"/>
  <c r="DC4" i="47"/>
  <c r="DB4" i="47"/>
  <c r="CS4" i="13"/>
  <c r="CV4" i="16"/>
  <c r="CR4" i="18"/>
  <c r="CP4" i="18"/>
  <c r="CM4" i="13"/>
  <c r="DG4" i="47"/>
  <c r="CN4" i="18"/>
  <c r="CM4" i="16"/>
  <c r="CS4" i="18"/>
  <c r="CQ4" i="18"/>
  <c r="CR4" i="13"/>
  <c r="CS4" i="16"/>
  <c r="CJ4" i="29"/>
  <c r="CM4" i="18"/>
  <c r="CQ4" i="29"/>
  <c r="CU4" i="29"/>
  <c r="CU4" i="13"/>
  <c r="CO4" i="29"/>
  <c r="CT4" i="18"/>
  <c r="CK4" i="18"/>
  <c r="CO4" i="13"/>
  <c r="CK4" i="60"/>
  <c r="CR4" i="29"/>
  <c r="CV4" i="13"/>
  <c r="CU4" i="18"/>
  <c r="CJ4" i="18"/>
  <c r="CM4" i="60"/>
  <c r="CM4" i="29"/>
  <c r="CJ4" i="60"/>
  <c r="CK4" i="16"/>
  <c r="CU4" i="60"/>
  <c r="CT4" i="60"/>
  <c r="CP4" i="60"/>
  <c r="CO4" i="60"/>
  <c r="CQ4" i="60"/>
  <c r="CS4" i="60"/>
  <c r="CT4" i="13"/>
  <c r="DH4" i="47"/>
  <c r="CQ4" i="16"/>
  <c r="CL4" i="60"/>
  <c r="CL4" i="29"/>
  <c r="CO4" i="18"/>
  <c r="CR4" i="16"/>
  <c r="CN4" i="60"/>
  <c r="CT4" i="29"/>
  <c r="CP4" i="13"/>
  <c r="CK4" i="29"/>
  <c r="DD4" i="47"/>
  <c r="CP4" i="29"/>
  <c r="CX4" i="47"/>
  <c r="DI4" i="47"/>
  <c r="DF4" i="47"/>
  <c r="CO4" i="16"/>
  <c r="CK4" i="13"/>
  <c r="CY4" i="47"/>
  <c r="DF5" i="16"/>
  <c r="CY5" i="29"/>
  <c r="DE5" i="16"/>
  <c r="CX5" i="18"/>
  <c r="DG5" i="29"/>
  <c r="CX5" i="16"/>
  <c r="DG5" i="16"/>
  <c r="DE5" i="29"/>
  <c r="DA5" i="16"/>
  <c r="DH5" i="16"/>
  <c r="DE5" i="13"/>
  <c r="DA5" i="18"/>
  <c r="DC5" i="13"/>
  <c r="CV5" i="18"/>
  <c r="CY5" i="16"/>
  <c r="CZ5" i="29"/>
  <c r="DE5" i="18"/>
  <c r="CW5" i="16"/>
  <c r="DD5" i="13"/>
  <c r="DB5" i="16"/>
  <c r="DC5" i="18"/>
  <c r="CY5" i="13"/>
  <c r="DD5" i="29"/>
  <c r="CZ5" i="16"/>
  <c r="CZ5" i="13"/>
  <c r="DB5" i="29"/>
  <c r="CV5" i="29"/>
  <c r="DB5" i="13"/>
  <c r="DA5" i="29"/>
  <c r="DD5" i="16"/>
  <c r="CW5" i="18"/>
  <c r="CZ5" i="18"/>
  <c r="DD5" i="18"/>
  <c r="DG5" i="13"/>
  <c r="DB5" i="18"/>
  <c r="DF5" i="18"/>
  <c r="CW5" i="29"/>
  <c r="DC5" i="16"/>
  <c r="CY5" i="18"/>
  <c r="CX5" i="13"/>
  <c r="DC5" i="29"/>
  <c r="DF5" i="13"/>
  <c r="DG5" i="18"/>
  <c r="DA5" i="13"/>
  <c r="DH5" i="13"/>
  <c r="CW5" i="13"/>
  <c r="DF5" i="29"/>
  <c r="CX5" i="29"/>
  <c r="AG10" i="58"/>
  <c r="AH40" i="1" s="1"/>
  <c r="H24" i="74"/>
  <c r="G39" i="74"/>
  <c r="G18" i="24" l="1"/>
  <c r="H11" i="24" s="1"/>
  <c r="H16" i="24" s="1"/>
  <c r="O78" i="72"/>
  <c r="AA69" i="72"/>
  <c r="AM70" i="72" s="1"/>
  <c r="AY71" i="72" s="1"/>
  <c r="BK72" i="72" s="1"/>
  <c r="BW73" i="72" s="1"/>
  <c r="CI74" i="72" s="1"/>
  <c r="CU75" i="72" s="1"/>
  <c r="DG76" i="72" s="1"/>
  <c r="Q34" i="87"/>
  <c r="Q31" i="87"/>
  <c r="R24" i="87" s="1"/>
  <c r="Q34" i="86"/>
  <c r="Q31" i="86"/>
  <c r="R24" i="86" s="1"/>
  <c r="Q31" i="88"/>
  <c r="R24" i="88" s="1"/>
  <c r="Q34" i="88"/>
  <c r="O40" i="22"/>
  <c r="O23" i="22"/>
  <c r="O32" i="22"/>
  <c r="O39" i="22"/>
  <c r="O28" i="22"/>
  <c r="O31" i="22"/>
  <c r="O35" i="22"/>
  <c r="O27" i="22"/>
  <c r="O44" i="22"/>
  <c r="O36" i="22"/>
  <c r="O24" i="22"/>
  <c r="O58" i="22"/>
  <c r="O46" i="22"/>
  <c r="O60" i="22"/>
  <c r="O30" i="22"/>
  <c r="O34" i="22"/>
  <c r="O49" i="22"/>
  <c r="O55" i="22"/>
  <c r="O43" i="22"/>
  <c r="O48" i="22"/>
  <c r="O33" i="22"/>
  <c r="O57" i="22"/>
  <c r="O56" i="22"/>
  <c r="O38" i="22"/>
  <c r="O22" i="22"/>
  <c r="O54" i="22"/>
  <c r="O42" i="22"/>
  <c r="O53" i="22"/>
  <c r="O50" i="22"/>
  <c r="O37" i="22"/>
  <c r="O47" i="22"/>
  <c r="O59" i="22"/>
  <c r="O52" i="22"/>
  <c r="O45" i="22"/>
  <c r="O51" i="22"/>
  <c r="O29" i="22"/>
  <c r="O41" i="22"/>
  <c r="K19" i="74"/>
  <c r="K35" i="74"/>
  <c r="G41" i="1"/>
  <c r="H39" i="1"/>
  <c r="H41" i="1" s="1"/>
  <c r="H17" i="1"/>
  <c r="M16" i="74"/>
  <c r="S17" i="24"/>
  <c r="S7" i="24"/>
  <c r="DB25" i="18"/>
  <c r="DG25" i="18"/>
  <c r="CJ12" i="1"/>
  <c r="CP12" i="1"/>
  <c r="J10" i="20"/>
  <c r="DG11" i="60"/>
  <c r="DG15" i="60"/>
  <c r="DG39" i="60"/>
  <c r="DG16" i="60"/>
  <c r="DD12" i="18"/>
  <c r="DD15" i="18"/>
  <c r="DD29" i="18"/>
  <c r="DD30" i="18"/>
  <c r="DD32" i="18"/>
  <c r="DD13" i="18"/>
  <c r="DD22" i="18"/>
  <c r="DD14" i="18"/>
  <c r="DD23" i="18"/>
  <c r="DD16" i="18"/>
  <c r="DD21" i="18"/>
  <c r="DD11" i="18"/>
  <c r="DD26" i="18"/>
  <c r="DD20" i="18"/>
  <c r="DD31" i="18"/>
  <c r="DD27" i="18"/>
  <c r="DD24" i="18"/>
  <c r="DD18" i="18"/>
  <c r="DD19" i="18"/>
  <c r="CY23" i="18"/>
  <c r="CY18" i="18"/>
  <c r="CY12" i="18"/>
  <c r="CY19" i="18"/>
  <c r="CY14" i="18"/>
  <c r="CY17" i="18"/>
  <c r="CY13" i="18"/>
  <c r="CY24" i="18"/>
  <c r="CY11" i="18"/>
  <c r="CY30" i="18"/>
  <c r="CY27" i="18"/>
  <c r="CY16" i="18"/>
  <c r="CY26" i="18"/>
  <c r="CY32" i="18"/>
  <c r="CY29" i="18"/>
  <c r="CY20" i="18"/>
  <c r="CY21" i="18"/>
  <c r="CY15" i="18"/>
  <c r="CY22" i="18"/>
  <c r="CY31" i="18"/>
  <c r="CX16" i="60"/>
  <c r="CX11" i="60"/>
  <c r="CX15" i="60"/>
  <c r="CX39" i="60"/>
  <c r="CQ12" i="1"/>
  <c r="DE18" i="18"/>
  <c r="DE15" i="18"/>
  <c r="DE14" i="18"/>
  <c r="DE13" i="18"/>
  <c r="DE26" i="18"/>
  <c r="DE21" i="18"/>
  <c r="DE11" i="18"/>
  <c r="DE32" i="18"/>
  <c r="DE29" i="18"/>
  <c r="DE24" i="18"/>
  <c r="DE17" i="18"/>
  <c r="DE19" i="18"/>
  <c r="DE27" i="18"/>
  <c r="DE22" i="18"/>
  <c r="DE30" i="18"/>
  <c r="DE12" i="18"/>
  <c r="DE20" i="18"/>
  <c r="DE23" i="18"/>
  <c r="DE16" i="18"/>
  <c r="DE31" i="18"/>
  <c r="DT20" i="47"/>
  <c r="DT27" i="47"/>
  <c r="DT41" i="47"/>
  <c r="DT8" i="47"/>
  <c r="DT15" i="47"/>
  <c r="DT42" i="47"/>
  <c r="DT23" i="47"/>
  <c r="DT13" i="47"/>
  <c r="DT9" i="47"/>
  <c r="DT39" i="47"/>
  <c r="DT43" i="47"/>
  <c r="DT14" i="47"/>
  <c r="DT12" i="47"/>
  <c r="DT22" i="47"/>
  <c r="DT21" i="47"/>
  <c r="DT44" i="47"/>
  <c r="CW15" i="18"/>
  <c r="CW13" i="18"/>
  <c r="CW16" i="18"/>
  <c r="CW20" i="18"/>
  <c r="CW18" i="18"/>
  <c r="CW23" i="18"/>
  <c r="CW11" i="18"/>
  <c r="CW21" i="18"/>
  <c r="CW26" i="18"/>
  <c r="CW24" i="18"/>
  <c r="CW22" i="18"/>
  <c r="CW12" i="18"/>
  <c r="CW32" i="18"/>
  <c r="CW31" i="18"/>
  <c r="CW29" i="18"/>
  <c r="CW27" i="18"/>
  <c r="CW19" i="18"/>
  <c r="CW14" i="18"/>
  <c r="CW30" i="18"/>
  <c r="DA15" i="60"/>
  <c r="DA39" i="60"/>
  <c r="DA11" i="60"/>
  <c r="DA16" i="60"/>
  <c r="DP22" i="47"/>
  <c r="DP15" i="47"/>
  <c r="DP20" i="47"/>
  <c r="DP27" i="47"/>
  <c r="DP12" i="47"/>
  <c r="DP13" i="47"/>
  <c r="DP41" i="47"/>
  <c r="DP39" i="47"/>
  <c r="DP14" i="47"/>
  <c r="DP9" i="47"/>
  <c r="DP44" i="47"/>
  <c r="DP43" i="47"/>
  <c r="DP21" i="47"/>
  <c r="DP23" i="47"/>
  <c r="DP42" i="47"/>
  <c r="DP8" i="47"/>
  <c r="DS8" i="18"/>
  <c r="DN21" i="13"/>
  <c r="DN23" i="13" s="1"/>
  <c r="DM31" i="1" s="1"/>
  <c r="DM33" i="1" s="1"/>
  <c r="DM8" i="18"/>
  <c r="DM21" i="13"/>
  <c r="DM23" i="13" s="1"/>
  <c r="DL31" i="1" s="1"/>
  <c r="DL33" i="1" s="1"/>
  <c r="DS21" i="13"/>
  <c r="DS23" i="13" s="1"/>
  <c r="DR31" i="1" s="1"/>
  <c r="DR33" i="1" s="1"/>
  <c r="DO8" i="18"/>
  <c r="DO21" i="13"/>
  <c r="DO23" i="13" s="1"/>
  <c r="DN31" i="1" s="1"/>
  <c r="DN33" i="1" s="1"/>
  <c r="DQ8" i="18"/>
  <c r="DP8" i="18"/>
  <c r="DR8" i="18"/>
  <c r="DH8" i="18"/>
  <c r="DL21" i="13"/>
  <c r="DL23" i="13" s="1"/>
  <c r="DK31" i="1" s="1"/>
  <c r="DK33" i="1" s="1"/>
  <c r="DJ8" i="18"/>
  <c r="DR21" i="13"/>
  <c r="DR23" i="13" s="1"/>
  <c r="DQ31" i="1" s="1"/>
  <c r="DQ33" i="1" s="1"/>
  <c r="DL8" i="18"/>
  <c r="DQ21" i="13"/>
  <c r="DQ23" i="13" s="1"/>
  <c r="DP31" i="1" s="1"/>
  <c r="DP33" i="1" s="1"/>
  <c r="DJ21" i="13"/>
  <c r="DJ23" i="13" s="1"/>
  <c r="DI31" i="1" s="1"/>
  <c r="DI33" i="1" s="1"/>
  <c r="DK21" i="13"/>
  <c r="DK23" i="13" s="1"/>
  <c r="DJ31" i="1" s="1"/>
  <c r="DJ33" i="1" s="1"/>
  <c r="DI21" i="13"/>
  <c r="DI23" i="13" s="1"/>
  <c r="DH31" i="1" s="1"/>
  <c r="DT21" i="13"/>
  <c r="DT23" i="13" s="1"/>
  <c r="DS31" i="1" s="1"/>
  <c r="DS33" i="1" s="1"/>
  <c r="DI8" i="18"/>
  <c r="DN8" i="18"/>
  <c r="DP21" i="13"/>
  <c r="DP23" i="13" s="1"/>
  <c r="DO31" i="1" s="1"/>
  <c r="DO33" i="1" s="1"/>
  <c r="DK8" i="18"/>
  <c r="DR39" i="47"/>
  <c r="DR14" i="47"/>
  <c r="DR43" i="47"/>
  <c r="DR8" i="47"/>
  <c r="DR27" i="47"/>
  <c r="DR9" i="47"/>
  <c r="DR23" i="47"/>
  <c r="DR13" i="47"/>
  <c r="DR20" i="47"/>
  <c r="DR44" i="47"/>
  <c r="DR42" i="47"/>
  <c r="DR15" i="47"/>
  <c r="DR22" i="47"/>
  <c r="DR21" i="47"/>
  <c r="DR12" i="47"/>
  <c r="DR41" i="47"/>
  <c r="DB11" i="60"/>
  <c r="DB39" i="60"/>
  <c r="DB16" i="60"/>
  <c r="DB15" i="60"/>
  <c r="CY39" i="60"/>
  <c r="CY16" i="60"/>
  <c r="CY15" i="60"/>
  <c r="CY11" i="60"/>
  <c r="CV39" i="60"/>
  <c r="CV16" i="60"/>
  <c r="CV15" i="60"/>
  <c r="DE25" i="18"/>
  <c r="CV25" i="18"/>
  <c r="DC25" i="18"/>
  <c r="DM43" i="47"/>
  <c r="DM12" i="47"/>
  <c r="DM8" i="47"/>
  <c r="DM21" i="47"/>
  <c r="DM9" i="47"/>
  <c r="DM15" i="47"/>
  <c r="DM44" i="47"/>
  <c r="DM39" i="47"/>
  <c r="DM27" i="47"/>
  <c r="DM41" i="47"/>
  <c r="DM14" i="47"/>
  <c r="DM13" i="47"/>
  <c r="DM42" i="47"/>
  <c r="DM22" i="47"/>
  <c r="DM20" i="47"/>
  <c r="DM23" i="47"/>
  <c r="CZ25" i="18"/>
  <c r="CT12" i="1"/>
  <c r="DD25" i="18"/>
  <c r="DU21" i="47"/>
  <c r="DU15" i="47"/>
  <c r="DU44" i="47"/>
  <c r="DU20" i="47"/>
  <c r="DU42" i="47"/>
  <c r="DU39" i="47"/>
  <c r="DU12" i="47"/>
  <c r="DU27" i="47"/>
  <c r="DU14" i="47"/>
  <c r="DU8" i="47"/>
  <c r="DU9" i="47"/>
  <c r="DU13" i="47"/>
  <c r="DU23" i="47"/>
  <c r="DU41" i="47"/>
  <c r="DU43" i="47"/>
  <c r="DU22" i="47"/>
  <c r="DA23" i="18"/>
  <c r="DA20" i="18"/>
  <c r="DA24" i="18"/>
  <c r="DA31" i="18"/>
  <c r="DA13" i="18"/>
  <c r="DA27" i="18"/>
  <c r="DA26" i="18"/>
  <c r="DA30" i="18"/>
  <c r="DA18" i="18"/>
  <c r="DA21" i="18"/>
  <c r="DA14" i="18"/>
  <c r="DA22" i="18"/>
  <c r="DA12" i="18"/>
  <c r="DA16" i="18"/>
  <c r="DA11" i="18"/>
  <c r="DA32" i="18"/>
  <c r="DA29" i="18"/>
  <c r="DA15" i="18"/>
  <c r="DA19" i="18"/>
  <c r="DE16" i="60"/>
  <c r="DE15" i="60"/>
  <c r="DE39" i="60"/>
  <c r="DE11" i="60"/>
  <c r="DB22" i="18"/>
  <c r="DB23" i="18"/>
  <c r="DB17" i="18"/>
  <c r="DB15" i="18"/>
  <c r="DB24" i="18"/>
  <c r="DB29" i="18"/>
  <c r="DB12" i="18"/>
  <c r="DB20" i="18"/>
  <c r="DB30" i="18"/>
  <c r="DB21" i="18"/>
  <c r="DB19" i="18"/>
  <c r="DB27" i="18"/>
  <c r="DB16" i="18"/>
  <c r="DB26" i="18"/>
  <c r="DB32" i="18"/>
  <c r="DB18" i="18"/>
  <c r="DB31" i="18"/>
  <c r="DB11" i="18"/>
  <c r="DB14" i="18"/>
  <c r="DB13" i="18"/>
  <c r="DO43" i="47"/>
  <c r="DO23" i="47"/>
  <c r="DO22" i="47"/>
  <c r="DO41" i="47"/>
  <c r="DO21" i="47"/>
  <c r="DO9" i="47"/>
  <c r="DO13" i="47"/>
  <c r="DO12" i="47"/>
  <c r="DO14" i="47"/>
  <c r="DO39" i="47"/>
  <c r="DO42" i="47"/>
  <c r="DO8" i="47"/>
  <c r="DO27" i="47"/>
  <c r="DO15" i="47"/>
  <c r="DO44" i="47"/>
  <c r="DO20" i="47"/>
  <c r="DC39" i="60"/>
  <c r="DC11" i="60"/>
  <c r="DC16" i="60"/>
  <c r="DC15" i="60"/>
  <c r="CZ29" i="18"/>
  <c r="CZ12" i="18"/>
  <c r="CZ24" i="18"/>
  <c r="CZ14" i="18"/>
  <c r="CZ26" i="18"/>
  <c r="CZ22" i="18"/>
  <c r="CZ32" i="18"/>
  <c r="CZ18" i="18"/>
  <c r="CZ31" i="18"/>
  <c r="CZ27" i="18"/>
  <c r="CZ30" i="18"/>
  <c r="CZ20" i="18"/>
  <c r="CZ15" i="18"/>
  <c r="CZ11" i="18"/>
  <c r="CZ19" i="18"/>
  <c r="CZ21" i="18"/>
  <c r="CZ23" i="18"/>
  <c r="CZ13" i="18"/>
  <c r="CZ16" i="18"/>
  <c r="DN8" i="47"/>
  <c r="DN27" i="47"/>
  <c r="DN39" i="47"/>
  <c r="DN43" i="47"/>
  <c r="DN14" i="47"/>
  <c r="DN41" i="47"/>
  <c r="DN42" i="47"/>
  <c r="DN9" i="47"/>
  <c r="DN12" i="47"/>
  <c r="DN44" i="47"/>
  <c r="DN23" i="47"/>
  <c r="DN21" i="47"/>
  <c r="DN13" i="47"/>
  <c r="DN22" i="47"/>
  <c r="DN20" i="47"/>
  <c r="DN15" i="47"/>
  <c r="DF16" i="60"/>
  <c r="DF39" i="60"/>
  <c r="DF15" i="60"/>
  <c r="DF11" i="60"/>
  <c r="DQ15" i="47"/>
  <c r="DQ39" i="47"/>
  <c r="DQ8" i="47"/>
  <c r="DQ14" i="47"/>
  <c r="DQ41" i="47"/>
  <c r="DQ21" i="47"/>
  <c r="DQ20" i="47"/>
  <c r="DQ13" i="47"/>
  <c r="DQ9" i="47"/>
  <c r="DQ27" i="47"/>
  <c r="DQ23" i="47"/>
  <c r="DQ42" i="47"/>
  <c r="DQ12" i="47"/>
  <c r="DQ22" i="47"/>
  <c r="DQ44" i="47"/>
  <c r="DQ43" i="47"/>
  <c r="DL44" i="47"/>
  <c r="DL21" i="47"/>
  <c r="DL14" i="47"/>
  <c r="DL39" i="47"/>
  <c r="DL20" i="47"/>
  <c r="DL15" i="47"/>
  <c r="DL9" i="47"/>
  <c r="DL23" i="47"/>
  <c r="DL8" i="47"/>
  <c r="DL12" i="47"/>
  <c r="DL42" i="47"/>
  <c r="DL43" i="47"/>
  <c r="DL13" i="47"/>
  <c r="DL27" i="47"/>
  <c r="DL41" i="47"/>
  <c r="DL22" i="47"/>
  <c r="DD11" i="60"/>
  <c r="DD39" i="60"/>
  <c r="DD15" i="60"/>
  <c r="DD16" i="60"/>
  <c r="CN12" i="1"/>
  <c r="CW25" i="18"/>
  <c r="CL12" i="1"/>
  <c r="CK12" i="1"/>
  <c r="CZ15" i="60"/>
  <c r="CZ39" i="60"/>
  <c r="CZ16" i="60"/>
  <c r="CZ11" i="60"/>
  <c r="DF27" i="18"/>
  <c r="DF26" i="18"/>
  <c r="DF21" i="18"/>
  <c r="DF32" i="18"/>
  <c r="DF20" i="18"/>
  <c r="DF12" i="18"/>
  <c r="DF16" i="18"/>
  <c r="DF19" i="18"/>
  <c r="DF31" i="18"/>
  <c r="DF18" i="18"/>
  <c r="DF13" i="18"/>
  <c r="DF29" i="18"/>
  <c r="DF22" i="18"/>
  <c r="DF14" i="18"/>
  <c r="DF11" i="18"/>
  <c r="DF23" i="18"/>
  <c r="DF24" i="18"/>
  <c r="DF15" i="18"/>
  <c r="DF30" i="18"/>
  <c r="CW15" i="60"/>
  <c r="CW39" i="60"/>
  <c r="CW16" i="60"/>
  <c r="CV16" i="18"/>
  <c r="CV29" i="18"/>
  <c r="CV11" i="18"/>
  <c r="CV18" i="18"/>
  <c r="CV32" i="18"/>
  <c r="CV14" i="18"/>
  <c r="CV27" i="18"/>
  <c r="CV23" i="18"/>
  <c r="CV15" i="18"/>
  <c r="CV22" i="18"/>
  <c r="CV12" i="18"/>
  <c r="CV21" i="18"/>
  <c r="CV31" i="18"/>
  <c r="CV20" i="18"/>
  <c r="CV17" i="18"/>
  <c r="CV30" i="18"/>
  <c r="CV13" i="18"/>
  <c r="CV26" i="18"/>
  <c r="CV19" i="18"/>
  <c r="CV24" i="18"/>
  <c r="CO12" i="1"/>
  <c r="CS12" i="1"/>
  <c r="CX31" i="18"/>
  <c r="CX13" i="18"/>
  <c r="CX27" i="18"/>
  <c r="CX18" i="18"/>
  <c r="CX30" i="18"/>
  <c r="CX20" i="18"/>
  <c r="CX21" i="18"/>
  <c r="CX9" i="18"/>
  <c r="CX15" i="18"/>
  <c r="CX29" i="18"/>
  <c r="CX32" i="18"/>
  <c r="CX11" i="18"/>
  <c r="CX26" i="18"/>
  <c r="CX22" i="18"/>
  <c r="CX19" i="18"/>
  <c r="CX23" i="18"/>
  <c r="CX24" i="18"/>
  <c r="CX14" i="18"/>
  <c r="CX12" i="18"/>
  <c r="CX16" i="18"/>
  <c r="DC23" i="18"/>
  <c r="DC19" i="18"/>
  <c r="DC18" i="18"/>
  <c r="DC14" i="18"/>
  <c r="DC11" i="18"/>
  <c r="DC29" i="18"/>
  <c r="DC16" i="18"/>
  <c r="DC20" i="18"/>
  <c r="DC31" i="18"/>
  <c r="DC27" i="18"/>
  <c r="DC22" i="18"/>
  <c r="DC30" i="18"/>
  <c r="DC15" i="18"/>
  <c r="DC12" i="18"/>
  <c r="DC26" i="18"/>
  <c r="DC32" i="18"/>
  <c r="DC13" i="18"/>
  <c r="DC24" i="18"/>
  <c r="DC21" i="18"/>
  <c r="DG30" i="18"/>
  <c r="DG27" i="18"/>
  <c r="DG26" i="18"/>
  <c r="DG16" i="18"/>
  <c r="DG21" i="18"/>
  <c r="DG15" i="18"/>
  <c r="DG31" i="18"/>
  <c r="DG11" i="18"/>
  <c r="DG23" i="18"/>
  <c r="DG18" i="18"/>
  <c r="DG29" i="18"/>
  <c r="DG24" i="18"/>
  <c r="DG13" i="18"/>
  <c r="DG22" i="18"/>
  <c r="DG19" i="18"/>
  <c r="DG14" i="18"/>
  <c r="DG32" i="18"/>
  <c r="DG12" i="18"/>
  <c r="DG20" i="18"/>
  <c r="DK42" i="47"/>
  <c r="DK15" i="47"/>
  <c r="DK14" i="47"/>
  <c r="DK39" i="47"/>
  <c r="DK41" i="47"/>
  <c r="DK8" i="47"/>
  <c r="DK27" i="47"/>
  <c r="DK9" i="47"/>
  <c r="DK13" i="47"/>
  <c r="DK21" i="47"/>
  <c r="DK43" i="47"/>
  <c r="DK22" i="47"/>
  <c r="DK23" i="47"/>
  <c r="DK20" i="47"/>
  <c r="DK44" i="47"/>
  <c r="DK12" i="47"/>
  <c r="DS43" i="47"/>
  <c r="DS23" i="47"/>
  <c r="DS14" i="47"/>
  <c r="DS27" i="47"/>
  <c r="DS8" i="47"/>
  <c r="DS13" i="47"/>
  <c r="DS41" i="47"/>
  <c r="DS42" i="47"/>
  <c r="DS15" i="47"/>
  <c r="DS39" i="47"/>
  <c r="DS9" i="47"/>
  <c r="DS21" i="47"/>
  <c r="DS12" i="47"/>
  <c r="DS44" i="47"/>
  <c r="DS22" i="47"/>
  <c r="DS20" i="47"/>
  <c r="DJ12" i="47"/>
  <c r="DJ42" i="47"/>
  <c r="DJ39" i="47"/>
  <c r="DJ21" i="47"/>
  <c r="DJ15" i="47"/>
  <c r="DJ8" i="47"/>
  <c r="DJ44" i="47"/>
  <c r="DJ9" i="47"/>
  <c r="DJ22" i="47"/>
  <c r="DJ13" i="47"/>
  <c r="DJ41" i="47"/>
  <c r="DJ20" i="47"/>
  <c r="DJ43" i="47"/>
  <c r="DJ14" i="47"/>
  <c r="DJ23" i="47"/>
  <c r="DJ27" i="47"/>
  <c r="CX25" i="18"/>
  <c r="CY25" i="18"/>
  <c r="DA25" i="18"/>
  <c r="CU12" i="1"/>
  <c r="CR12" i="1"/>
  <c r="DF25" i="18"/>
  <c r="CM12" i="1"/>
  <c r="CZ4" i="60"/>
  <c r="DB4" i="60"/>
  <c r="CV4" i="29"/>
  <c r="DE4" i="18"/>
  <c r="DE4" i="60"/>
  <c r="DD4" i="29"/>
  <c r="CW4" i="16"/>
  <c r="DG4" i="13"/>
  <c r="DA4" i="60"/>
  <c r="CZ4" i="13"/>
  <c r="DG4" i="18"/>
  <c r="CV4" i="18"/>
  <c r="CW4" i="60"/>
  <c r="DT4" i="47"/>
  <c r="DG4" i="16"/>
  <c r="CX4" i="29"/>
  <c r="CY4" i="18"/>
  <c r="DN4" i="47"/>
  <c r="DE4" i="13"/>
  <c r="DH4" i="16"/>
  <c r="DA4" i="16"/>
  <c r="DD4" i="60"/>
  <c r="DF4" i="60"/>
  <c r="DF4" i="13"/>
  <c r="DK4" i="47"/>
  <c r="DE4" i="29"/>
  <c r="DB4" i="29"/>
  <c r="CZ4" i="18"/>
  <c r="DL4" i="47"/>
  <c r="CZ4" i="29"/>
  <c r="DC4" i="13"/>
  <c r="DP4" i="47"/>
  <c r="DJ4" i="47"/>
  <c r="CY4" i="60"/>
  <c r="DS4" i="47"/>
  <c r="DF4" i="29"/>
  <c r="DC4" i="18"/>
  <c r="DG4" i="60"/>
  <c r="DA4" i="13"/>
  <c r="DD4" i="13"/>
  <c r="DA4" i="29"/>
  <c r="CV4" i="60"/>
  <c r="DG4" i="29"/>
  <c r="CY4" i="13"/>
  <c r="CX4" i="13"/>
  <c r="DF4" i="18"/>
  <c r="DE4" i="16"/>
  <c r="DB4" i="13"/>
  <c r="DB4" i="18"/>
  <c r="DO4" i="47"/>
  <c r="CW4" i="13"/>
  <c r="CX4" i="18"/>
  <c r="DC4" i="60"/>
  <c r="DC4" i="16"/>
  <c r="DU4" i="47"/>
  <c r="DD4" i="16"/>
  <c r="DQ4" i="47"/>
  <c r="DB4" i="16"/>
  <c r="CX4" i="60"/>
  <c r="DM4" i="47"/>
  <c r="CW4" i="18"/>
  <c r="DF4" i="16"/>
  <c r="DH4" i="13"/>
  <c r="DC4" i="29"/>
  <c r="CZ4" i="16"/>
  <c r="CX4" i="16"/>
  <c r="CY4" i="29"/>
  <c r="CW4" i="29"/>
  <c r="DA4" i="18"/>
  <c r="DD4" i="18"/>
  <c r="DR4" i="47"/>
  <c r="CY4" i="16"/>
  <c r="L32" i="20"/>
  <c r="L34" i="20" s="1"/>
  <c r="CV33" i="1"/>
  <c r="AG12" i="58"/>
  <c r="AH9" i="58" s="1"/>
  <c r="DT5" i="13"/>
  <c r="DK5" i="18"/>
  <c r="DQ5" i="16"/>
  <c r="DN5" i="18"/>
  <c r="DN5" i="16"/>
  <c r="DM5" i="18"/>
  <c r="DO5" i="18"/>
  <c r="DR5" i="29"/>
  <c r="DQ5" i="18"/>
  <c r="DK5" i="16"/>
  <c r="DQ5" i="29"/>
  <c r="DS5" i="29"/>
  <c r="DI5" i="13"/>
  <c r="DJ5" i="29"/>
  <c r="DP5" i="16"/>
  <c r="DO5" i="13"/>
  <c r="DL5" i="18"/>
  <c r="DJ5" i="13"/>
  <c r="DQ5" i="13"/>
  <c r="DR5" i="13"/>
  <c r="DP5" i="29"/>
  <c r="DJ5" i="16"/>
  <c r="DL5" i="16"/>
  <c r="DK5" i="13"/>
  <c r="DS5" i="16"/>
  <c r="DR5" i="16"/>
  <c r="DI5" i="16"/>
  <c r="DO5" i="16"/>
  <c r="DN5" i="29"/>
  <c r="DI5" i="29"/>
  <c r="DT5" i="16"/>
  <c r="DL5" i="13"/>
  <c r="DH5" i="29"/>
  <c r="DS5" i="18"/>
  <c r="DP5" i="13"/>
  <c r="DM5" i="16"/>
  <c r="DH5" i="18"/>
  <c r="DS5" i="13"/>
  <c r="DR5" i="18"/>
  <c r="DN5" i="13"/>
  <c r="DM5" i="29"/>
  <c r="DK5" i="29"/>
  <c r="DM5" i="13"/>
  <c r="DI5" i="18"/>
  <c r="DP5" i="18"/>
  <c r="DO5" i="29"/>
  <c r="DJ5" i="18"/>
  <c r="DL5" i="29"/>
  <c r="H31" i="74"/>
  <c r="H34" i="74"/>
  <c r="H7" i="24" l="1"/>
  <c r="H18" i="24"/>
  <c r="I11" i="24" s="1"/>
  <c r="R31" i="88"/>
  <c r="S24" i="88" s="1"/>
  <c r="R34" i="88"/>
  <c r="R31" i="86"/>
  <c r="S24" i="86" s="1"/>
  <c r="R34" i="86"/>
  <c r="R31" i="87"/>
  <c r="S24" i="87" s="1"/>
  <c r="R34" i="87"/>
  <c r="T39" i="1"/>
  <c r="T17" i="1"/>
  <c r="S8" i="24"/>
  <c r="T37" i="1" s="1"/>
  <c r="S18" i="24"/>
  <c r="T15" i="24" s="1"/>
  <c r="I16" i="24"/>
  <c r="I7" i="24" s="1"/>
  <c r="N16" i="74"/>
  <c r="L35" i="74"/>
  <c r="L19" i="74"/>
  <c r="I17" i="1"/>
  <c r="I39" i="1"/>
  <c r="I41" i="1" s="1"/>
  <c r="DO25" i="18"/>
  <c r="DF12" i="1"/>
  <c r="K10" i="20"/>
  <c r="M32" i="20"/>
  <c r="M34" i="20" s="1"/>
  <c r="DH33" i="1"/>
  <c r="DO16" i="60"/>
  <c r="DO11" i="60"/>
  <c r="DO15" i="60"/>
  <c r="DO39" i="60"/>
  <c r="DQ25" i="18"/>
  <c r="DI25" i="18"/>
  <c r="DG12" i="1"/>
  <c r="DL25" i="18"/>
  <c r="DA12" i="1"/>
  <c r="DS25" i="18"/>
  <c r="DQ11" i="60"/>
  <c r="DQ15" i="60"/>
  <c r="DQ16" i="60"/>
  <c r="DQ39" i="60"/>
  <c r="DH16" i="60"/>
  <c r="DH15" i="60"/>
  <c r="DH39" i="60"/>
  <c r="DS11" i="60"/>
  <c r="DS15" i="60"/>
  <c r="DS16" i="60"/>
  <c r="DS39" i="60"/>
  <c r="DN16" i="60"/>
  <c r="DN39" i="60"/>
  <c r="DN11" i="60"/>
  <c r="DN15" i="60"/>
  <c r="DO27" i="18"/>
  <c r="DO24" i="18"/>
  <c r="DO15" i="18"/>
  <c r="DO14" i="18"/>
  <c r="DO20" i="18"/>
  <c r="DO23" i="18"/>
  <c r="DO18" i="18"/>
  <c r="DO22" i="18"/>
  <c r="DO31" i="18"/>
  <c r="DO16" i="18"/>
  <c r="DO26" i="18"/>
  <c r="DO32" i="18"/>
  <c r="DO13" i="18"/>
  <c r="DO12" i="18"/>
  <c r="DO11" i="18"/>
  <c r="DO30" i="18"/>
  <c r="DO19" i="18"/>
  <c r="DO29" i="18"/>
  <c r="DO21" i="18"/>
  <c r="DS27" i="18"/>
  <c r="DS12" i="18"/>
  <c r="DS29" i="18"/>
  <c r="DS30" i="18"/>
  <c r="DS26" i="18"/>
  <c r="DS14" i="18"/>
  <c r="DS32" i="18"/>
  <c r="DS16" i="18"/>
  <c r="DS22" i="18"/>
  <c r="DS23" i="18"/>
  <c r="DS31" i="18"/>
  <c r="DS24" i="18"/>
  <c r="DS11" i="18"/>
  <c r="DS13" i="18"/>
  <c r="DS21" i="18"/>
  <c r="DS18" i="18"/>
  <c r="DS15" i="18"/>
  <c r="DS20" i="18"/>
  <c r="DS19" i="18"/>
  <c r="DN25" i="18"/>
  <c r="CY12" i="1"/>
  <c r="DI32" i="18"/>
  <c r="DI15" i="18"/>
  <c r="DI23" i="18"/>
  <c r="DI18" i="18"/>
  <c r="DI14" i="18"/>
  <c r="DI26" i="18"/>
  <c r="DI30" i="18"/>
  <c r="DI22" i="18"/>
  <c r="DI11" i="18"/>
  <c r="DI19" i="18"/>
  <c r="DI31" i="18"/>
  <c r="DI13" i="18"/>
  <c r="DI27" i="18"/>
  <c r="DI20" i="18"/>
  <c r="DI29" i="18"/>
  <c r="DI21" i="18"/>
  <c r="DI16" i="18"/>
  <c r="DI24" i="18"/>
  <c r="DI12" i="18"/>
  <c r="DP16" i="18"/>
  <c r="DP18" i="18"/>
  <c r="DP20" i="18"/>
  <c r="DP15" i="18"/>
  <c r="DP22" i="18"/>
  <c r="DP14" i="18"/>
  <c r="DP11" i="18"/>
  <c r="DP12" i="18"/>
  <c r="DP24" i="18"/>
  <c r="DP32" i="18"/>
  <c r="DP29" i="18"/>
  <c r="DP26" i="18"/>
  <c r="DP23" i="18"/>
  <c r="DP27" i="18"/>
  <c r="DP31" i="18"/>
  <c r="DP13" i="18"/>
  <c r="DP19" i="18"/>
  <c r="DP30" i="18"/>
  <c r="DP21" i="18"/>
  <c r="DP39" i="60"/>
  <c r="DP16" i="60"/>
  <c r="DP15" i="60"/>
  <c r="DP11" i="60"/>
  <c r="C21" i="13"/>
  <c r="DH25" i="18"/>
  <c r="CX12" i="1"/>
  <c r="CV12" i="1"/>
  <c r="DB12" i="1"/>
  <c r="DP25" i="18"/>
  <c r="DN17" i="18"/>
  <c r="DN30" i="18"/>
  <c r="DN18" i="18"/>
  <c r="DN16" i="18"/>
  <c r="DN13" i="18"/>
  <c r="DN20" i="18"/>
  <c r="DN27" i="18"/>
  <c r="DN19" i="18"/>
  <c r="DN14" i="18"/>
  <c r="DN11" i="18"/>
  <c r="DN21" i="18"/>
  <c r="DN24" i="18"/>
  <c r="DN23" i="18"/>
  <c r="DN31" i="18"/>
  <c r="DN32" i="18"/>
  <c r="DN12" i="18"/>
  <c r="DN15" i="18"/>
  <c r="DN29" i="18"/>
  <c r="DN26" i="18"/>
  <c r="DN22" i="18"/>
  <c r="DL15" i="60"/>
  <c r="DL39" i="60"/>
  <c r="DL16" i="60"/>
  <c r="DL11" i="60"/>
  <c r="DK39" i="60"/>
  <c r="DK11" i="60"/>
  <c r="DK16" i="60"/>
  <c r="DK15" i="60"/>
  <c r="DR25" i="18"/>
  <c r="DD12" i="1"/>
  <c r="DM16" i="60"/>
  <c r="DM39" i="60"/>
  <c r="DM15" i="60"/>
  <c r="DM11" i="60"/>
  <c r="DI15" i="60"/>
  <c r="DI16" i="60"/>
  <c r="DI39" i="60"/>
  <c r="DH23" i="18"/>
  <c r="DH31" i="18"/>
  <c r="DH15" i="18"/>
  <c r="DH12" i="18"/>
  <c r="DH19" i="18"/>
  <c r="DH26" i="18"/>
  <c r="DH27" i="18"/>
  <c r="DH14" i="18"/>
  <c r="DH30" i="18"/>
  <c r="DH32" i="18"/>
  <c r="DH22" i="18"/>
  <c r="DH29" i="18"/>
  <c r="DH24" i="18"/>
  <c r="DH13" i="18"/>
  <c r="DH17" i="18"/>
  <c r="DH11" i="18"/>
  <c r="DH21" i="18"/>
  <c r="DH18" i="18"/>
  <c r="DH20" i="18"/>
  <c r="DH16" i="18"/>
  <c r="DC12" i="1"/>
  <c r="DJ25" i="18"/>
  <c r="CZ12" i="1"/>
  <c r="DM25" i="18"/>
  <c r="DK25" i="18"/>
  <c r="DK20" i="18"/>
  <c r="DK19" i="18"/>
  <c r="DK27" i="18"/>
  <c r="DK12" i="18"/>
  <c r="DK30" i="18"/>
  <c r="DK22" i="18"/>
  <c r="DK16" i="18"/>
  <c r="DK13" i="18"/>
  <c r="DK14" i="18"/>
  <c r="DK15" i="18"/>
  <c r="DK17" i="18"/>
  <c r="DK29" i="18"/>
  <c r="DK18" i="18"/>
  <c r="DK23" i="18"/>
  <c r="DK31" i="18"/>
  <c r="DK11" i="18"/>
  <c r="DK24" i="18"/>
  <c r="DK26" i="18"/>
  <c r="DK21" i="18"/>
  <c r="DK32" i="18"/>
  <c r="DR15" i="60"/>
  <c r="DR11" i="60"/>
  <c r="DR16" i="60"/>
  <c r="DR39" i="60"/>
  <c r="DL23" i="18"/>
  <c r="DL11" i="18"/>
  <c r="DL15" i="18"/>
  <c r="DL24" i="18"/>
  <c r="DL19" i="18"/>
  <c r="DL14" i="18"/>
  <c r="DL31" i="18"/>
  <c r="DL30" i="18"/>
  <c r="DL21" i="18"/>
  <c r="DL27" i="18"/>
  <c r="DL18" i="18"/>
  <c r="DL13" i="18"/>
  <c r="DL32" i="18"/>
  <c r="DL20" i="18"/>
  <c r="DL26" i="18"/>
  <c r="DL22" i="18"/>
  <c r="DL12" i="18"/>
  <c r="DL29" i="18"/>
  <c r="DL16" i="18"/>
  <c r="DJ29" i="18"/>
  <c r="DJ18" i="18"/>
  <c r="DJ15" i="18"/>
  <c r="DJ12" i="18"/>
  <c r="DJ11" i="18"/>
  <c r="DJ9" i="18"/>
  <c r="DJ20" i="18"/>
  <c r="DJ14" i="18"/>
  <c r="DJ30" i="18"/>
  <c r="DJ21" i="18"/>
  <c r="DJ22" i="18"/>
  <c r="DJ32" i="18"/>
  <c r="DJ13" i="18"/>
  <c r="DJ19" i="18"/>
  <c r="DJ24" i="18"/>
  <c r="DJ16" i="18"/>
  <c r="DJ23" i="18"/>
  <c r="DJ26" i="18"/>
  <c r="DJ27" i="18"/>
  <c r="DJ31" i="18"/>
  <c r="DR12" i="18"/>
  <c r="DR23" i="18"/>
  <c r="DR29" i="18"/>
  <c r="DR11" i="18"/>
  <c r="DR22" i="18"/>
  <c r="DR14" i="18"/>
  <c r="DR13" i="18"/>
  <c r="DR16" i="18"/>
  <c r="DR19" i="18"/>
  <c r="DR15" i="18"/>
  <c r="DR24" i="18"/>
  <c r="DR30" i="18"/>
  <c r="DR31" i="18"/>
  <c r="DR27" i="18"/>
  <c r="DR32" i="18"/>
  <c r="DR21" i="18"/>
  <c r="DR18" i="18"/>
  <c r="DR26" i="18"/>
  <c r="DR20" i="18"/>
  <c r="DQ27" i="18"/>
  <c r="DQ17" i="18"/>
  <c r="DQ30" i="18"/>
  <c r="DQ13" i="18"/>
  <c r="DQ12" i="18"/>
  <c r="DQ23" i="18"/>
  <c r="DQ19" i="18"/>
  <c r="DQ22" i="18"/>
  <c r="DQ18" i="18"/>
  <c r="DQ29" i="18"/>
  <c r="DQ26" i="18"/>
  <c r="DQ15" i="18"/>
  <c r="DQ21" i="18"/>
  <c r="DQ31" i="18"/>
  <c r="DQ11" i="18"/>
  <c r="DQ14" i="18"/>
  <c r="DQ16" i="18"/>
  <c r="DQ24" i="18"/>
  <c r="DQ20" i="18"/>
  <c r="DQ32" i="18"/>
  <c r="DM13" i="18"/>
  <c r="DM27" i="18"/>
  <c r="DM11" i="18"/>
  <c r="DM20" i="18"/>
  <c r="DM14" i="18"/>
  <c r="DM31" i="18"/>
  <c r="DM15" i="18"/>
  <c r="DM12" i="18"/>
  <c r="DM32" i="18"/>
  <c r="DM19" i="18"/>
  <c r="DM26" i="18"/>
  <c r="DM16" i="18"/>
  <c r="DM21" i="18"/>
  <c r="DM22" i="18"/>
  <c r="DM23" i="18"/>
  <c r="DM30" i="18"/>
  <c r="DM24" i="18"/>
  <c r="DM18" i="18"/>
  <c r="DM29" i="18"/>
  <c r="DJ15" i="60"/>
  <c r="DJ39" i="60"/>
  <c r="DJ11" i="60"/>
  <c r="DJ16" i="60"/>
  <c r="CW12" i="1"/>
  <c r="DE12" i="1"/>
  <c r="DP4" i="13"/>
  <c r="DR4" i="13"/>
  <c r="DQ4" i="60"/>
  <c r="DS4" i="29"/>
  <c r="DK4" i="60"/>
  <c r="DI4" i="13"/>
  <c r="DQ4" i="18"/>
  <c r="DL4" i="13"/>
  <c r="DO4" i="18"/>
  <c r="DM4" i="16"/>
  <c r="DM4" i="13"/>
  <c r="DJ4" i="18"/>
  <c r="DP4" i="18"/>
  <c r="DS4" i="16"/>
  <c r="DN4" i="13"/>
  <c r="DI4" i="18"/>
  <c r="DQ4" i="29"/>
  <c r="DK4" i="16"/>
  <c r="DJ4" i="16"/>
  <c r="DR4" i="18"/>
  <c r="DL4" i="18"/>
  <c r="DK4" i="13"/>
  <c r="DR4" i="60"/>
  <c r="DP4" i="60"/>
  <c r="DK4" i="29"/>
  <c r="DN4" i="18"/>
  <c r="DS4" i="60"/>
  <c r="DO4" i="29"/>
  <c r="DQ4" i="13"/>
  <c r="DH4" i="29"/>
  <c r="DT4" i="13"/>
  <c r="DM4" i="29"/>
  <c r="DP4" i="29"/>
  <c r="DN4" i="29"/>
  <c r="DQ4" i="16"/>
  <c r="DT4" i="16"/>
  <c r="DM4" i="18"/>
  <c r="DJ4" i="13"/>
  <c r="DO4" i="13"/>
  <c r="DN4" i="16"/>
  <c r="DL4" i="16"/>
  <c r="DM4" i="60"/>
  <c r="DI4" i="16"/>
  <c r="DS4" i="13"/>
  <c r="DN4" i="60"/>
  <c r="DR4" i="16"/>
  <c r="DL4" i="29"/>
  <c r="DJ4" i="60"/>
  <c r="DH4" i="60"/>
  <c r="DJ4" i="29"/>
  <c r="DO4" i="16"/>
  <c r="DH4" i="18"/>
  <c r="DR4" i="29"/>
  <c r="DS4" i="18"/>
  <c r="DP4" i="16"/>
  <c r="DI4" i="29"/>
  <c r="DL4" i="60"/>
  <c r="DK4" i="18"/>
  <c r="DO4" i="60"/>
  <c r="DI4" i="60"/>
  <c r="AH10" i="58"/>
  <c r="AI40" i="1" s="1"/>
  <c r="I24" i="74"/>
  <c r="H39" i="74"/>
  <c r="S31" i="86" l="1"/>
  <c r="T24" i="86" s="1"/>
  <c r="S34" i="86"/>
  <c r="S31" i="87"/>
  <c r="T24" i="87" s="1"/>
  <c r="S34" i="87"/>
  <c r="S34" i="88"/>
  <c r="S31" i="88"/>
  <c r="T24" i="88" s="1"/>
  <c r="T41" i="1"/>
  <c r="J39" i="1"/>
  <c r="J17" i="1"/>
  <c r="O16" i="74"/>
  <c r="I18" i="24"/>
  <c r="J11" i="24" s="1"/>
  <c r="M35" i="74"/>
  <c r="M19" i="74"/>
  <c r="T16" i="24"/>
  <c r="AH12" i="58"/>
  <c r="AI9" i="58" s="1"/>
  <c r="AI10" i="58" s="1"/>
  <c r="AJ40" i="1" s="1"/>
  <c r="DP12" i="1"/>
  <c r="DO12" i="1"/>
  <c r="DQ12" i="1"/>
  <c r="DH12" i="1"/>
  <c r="L10" i="20"/>
  <c r="DI12" i="1"/>
  <c r="DK12" i="1"/>
  <c r="DM12" i="1"/>
  <c r="DL12" i="1"/>
  <c r="DR12" i="1"/>
  <c r="DJ12" i="1"/>
  <c r="DN12" i="1"/>
  <c r="DS12" i="1"/>
  <c r="I31" i="74"/>
  <c r="I34" i="74"/>
  <c r="T31" i="88" l="1"/>
  <c r="U24" i="88" s="1"/>
  <c r="T34" i="88"/>
  <c r="T34" i="87"/>
  <c r="T31" i="87"/>
  <c r="U24" i="87" s="1"/>
  <c r="T31" i="86"/>
  <c r="U24" i="86" s="1"/>
  <c r="T34" i="86"/>
  <c r="J16" i="24"/>
  <c r="J7" i="24" s="1"/>
  <c r="J41" i="1"/>
  <c r="T7" i="24"/>
  <c r="T17" i="24"/>
  <c r="P16" i="74"/>
  <c r="N19" i="74"/>
  <c r="N35" i="74"/>
  <c r="AI12" i="58"/>
  <c r="AJ9" i="58" s="1"/>
  <c r="AJ10" i="58" s="1"/>
  <c r="AK40" i="1" s="1"/>
  <c r="M10" i="20"/>
  <c r="I39" i="74"/>
  <c r="J24" i="74"/>
  <c r="J18" i="24" l="1"/>
  <c r="K11" i="24" s="1"/>
  <c r="U34" i="86"/>
  <c r="U31" i="86"/>
  <c r="V24" i="86" s="1"/>
  <c r="U31" i="87"/>
  <c r="V24" i="87" s="1"/>
  <c r="U34" i="87"/>
  <c r="U31" i="88"/>
  <c r="V24" i="88" s="1"/>
  <c r="U34" i="88"/>
  <c r="O35" i="74"/>
  <c r="O19" i="74"/>
  <c r="Q16" i="74"/>
  <c r="T8" i="24"/>
  <c r="U37" i="1" s="1"/>
  <c r="T18" i="24"/>
  <c r="U15" i="24" s="1"/>
  <c r="K16" i="24"/>
  <c r="K7" i="24" s="1"/>
  <c r="U17" i="1"/>
  <c r="U39" i="1"/>
  <c r="K17" i="1"/>
  <c r="K39" i="1"/>
  <c r="K41" i="1" s="1"/>
  <c r="AJ12" i="58"/>
  <c r="AK9" i="58" s="1"/>
  <c r="AK10" i="58" s="1"/>
  <c r="J34" i="74"/>
  <c r="J31" i="74"/>
  <c r="V31" i="87" l="1"/>
  <c r="W24" i="87" s="1"/>
  <c r="V34" i="87"/>
  <c r="V34" i="88"/>
  <c r="V31" i="88"/>
  <c r="W24" i="88" s="1"/>
  <c r="V34" i="86"/>
  <c r="V31" i="86"/>
  <c r="W24" i="86" s="1"/>
  <c r="U16" i="24"/>
  <c r="P35" i="74"/>
  <c r="P19" i="74"/>
  <c r="U41" i="1"/>
  <c r="L39" i="1"/>
  <c r="L41" i="1" s="1"/>
  <c r="L17" i="1"/>
  <c r="K18" i="24"/>
  <c r="L11" i="24" s="1"/>
  <c r="R16" i="74"/>
  <c r="AL40" i="1"/>
  <c r="AK12" i="58"/>
  <c r="AL9" i="58" s="1"/>
  <c r="AL10" i="58" s="1"/>
  <c r="AM40" i="1" s="1"/>
  <c r="J39" i="74"/>
  <c r="K24" i="74"/>
  <c r="W31" i="88" l="1"/>
  <c r="X24" i="88" s="1"/>
  <c r="W34" i="88"/>
  <c r="W34" i="86"/>
  <c r="W31" i="86"/>
  <c r="X24" i="86" s="1"/>
  <c r="W31" i="87"/>
  <c r="X24" i="87" s="1"/>
  <c r="W34" i="87"/>
  <c r="Q19" i="74"/>
  <c r="Q35" i="74"/>
  <c r="S16" i="74"/>
  <c r="L16" i="24"/>
  <c r="L7" i="24" s="1"/>
  <c r="U7" i="24"/>
  <c r="U17" i="24"/>
  <c r="AL12" i="58"/>
  <c r="AM9" i="58" s="1"/>
  <c r="AM10" i="58" s="1"/>
  <c r="AN40" i="1" s="1"/>
  <c r="F41" i="20"/>
  <c r="K34" i="74"/>
  <c r="K31" i="74"/>
  <c r="X34" i="87" l="1"/>
  <c r="X31" i="87"/>
  <c r="X34" i="88"/>
  <c r="X31" i="88"/>
  <c r="X31" i="86"/>
  <c r="X34" i="86"/>
  <c r="V39" i="1"/>
  <c r="V17" i="1"/>
  <c r="R19" i="74"/>
  <c r="R35" i="74"/>
  <c r="M39" i="1"/>
  <c r="M41" i="1" s="1"/>
  <c r="M17" i="1"/>
  <c r="L18" i="24"/>
  <c r="M11" i="24" s="1"/>
  <c r="U8" i="24"/>
  <c r="V37" i="1" s="1"/>
  <c r="U18" i="24"/>
  <c r="V15" i="24" s="1"/>
  <c r="T16" i="74"/>
  <c r="AM12" i="58"/>
  <c r="AN9" i="58" s="1"/>
  <c r="K39" i="74"/>
  <c r="L24" i="74"/>
  <c r="V41" i="1" l="1"/>
  <c r="S19" i="74"/>
  <c r="S35" i="74"/>
  <c r="U16" i="74"/>
  <c r="M16" i="24"/>
  <c r="M7" i="24" s="1"/>
  <c r="V16" i="24"/>
  <c r="AN10" i="58"/>
  <c r="AO40" i="1" s="1"/>
  <c r="L34" i="74"/>
  <c r="L31" i="74"/>
  <c r="M18" i="24" l="1"/>
  <c r="N11" i="24" s="1"/>
  <c r="T35" i="74"/>
  <c r="T19" i="74"/>
  <c r="V17" i="24"/>
  <c r="V7" i="24"/>
  <c r="V16" i="74"/>
  <c r="N16" i="24"/>
  <c r="N7" i="24" s="1"/>
  <c r="N17" i="1"/>
  <c r="N39" i="1"/>
  <c r="N41" i="1" s="1"/>
  <c r="AN12" i="58"/>
  <c r="AO9" i="58" s="1"/>
  <c r="AO10" i="58" s="1"/>
  <c r="AP40" i="1" s="1"/>
  <c r="L39" i="74"/>
  <c r="M24" i="74"/>
  <c r="N18" i="24" l="1"/>
  <c r="O39" i="1"/>
  <c r="O17" i="1"/>
  <c r="V8" i="24"/>
  <c r="W37" i="1" s="1"/>
  <c r="V18" i="24"/>
  <c r="W15" i="24" s="1"/>
  <c r="W39" i="1"/>
  <c r="W17" i="1"/>
  <c r="W16" i="74"/>
  <c r="U35" i="74"/>
  <c r="U19" i="74"/>
  <c r="AO12" i="58"/>
  <c r="AP9" i="58" s="1"/>
  <c r="M31" i="74"/>
  <c r="M34" i="74"/>
  <c r="W41" i="1" l="1"/>
  <c r="D15" i="20"/>
  <c r="V19" i="74"/>
  <c r="V35" i="74"/>
  <c r="O41" i="1"/>
  <c r="D40" i="20"/>
  <c r="D42" i="20" s="1"/>
  <c r="X16" i="74"/>
  <c r="W16" i="24"/>
  <c r="AP10" i="58"/>
  <c r="AQ40" i="1" s="1"/>
  <c r="M39" i="74"/>
  <c r="N24" i="74"/>
  <c r="W35" i="74" l="1"/>
  <c r="W19" i="74"/>
  <c r="X35" i="74"/>
  <c r="W17" i="24"/>
  <c r="W7" i="24"/>
  <c r="AP12" i="58"/>
  <c r="AQ9" i="58" s="1"/>
  <c r="N31" i="74"/>
  <c r="N34" i="74"/>
  <c r="X39" i="1" l="1"/>
  <c r="X17" i="1"/>
  <c r="W8" i="24"/>
  <c r="X37" i="1" s="1"/>
  <c r="W18" i="24"/>
  <c r="X15" i="24" s="1"/>
  <c r="AQ10" i="58"/>
  <c r="AR40" i="1" s="1"/>
  <c r="N39" i="74"/>
  <c r="O24" i="74"/>
  <c r="X41" i="1" l="1"/>
  <c r="X16" i="24"/>
  <c r="AQ12" i="58"/>
  <c r="AR9" i="58" s="1"/>
  <c r="AR10" i="58" s="1"/>
  <c r="O34" i="74"/>
  <c r="O31" i="74"/>
  <c r="X7" i="24" l="1"/>
  <c r="X17" i="24"/>
  <c r="AS40" i="1"/>
  <c r="AR12" i="58"/>
  <c r="AS9" i="58" s="1"/>
  <c r="AS10" i="58" s="1"/>
  <c r="AT40" i="1" s="1"/>
  <c r="O39" i="74"/>
  <c r="P24" i="74"/>
  <c r="X8" i="24" l="1"/>
  <c r="Y37" i="1" s="1"/>
  <c r="X18" i="24"/>
  <c r="Y15" i="24" s="1"/>
  <c r="Y39" i="1"/>
  <c r="Y17" i="1"/>
  <c r="AS12" i="58"/>
  <c r="AT9" i="58" s="1"/>
  <c r="P31" i="74"/>
  <c r="Q24" i="74" s="1"/>
  <c r="P34" i="74"/>
  <c r="Y16" i="24" l="1"/>
  <c r="Y41" i="1"/>
  <c r="AT10" i="58"/>
  <c r="AU40" i="1" s="1"/>
  <c r="Q31" i="74"/>
  <c r="R24" i="74" s="1"/>
  <c r="Q34" i="74"/>
  <c r="Y17" i="24" l="1"/>
  <c r="Y7" i="24"/>
  <c r="AT12" i="58"/>
  <c r="AU9" i="58" s="1"/>
  <c r="AU10" i="58" s="1"/>
  <c r="AV40" i="1" s="1"/>
  <c r="R34" i="74"/>
  <c r="R31" i="74"/>
  <c r="S24" i="74" s="1"/>
  <c r="Z17" i="1" l="1"/>
  <c r="Z39" i="1"/>
  <c r="Y8" i="24"/>
  <c r="Z37" i="1" s="1"/>
  <c r="Y18" i="24"/>
  <c r="Z15" i="24" s="1"/>
  <c r="AU12" i="58"/>
  <c r="AV9" i="58" s="1"/>
  <c r="S31" i="74"/>
  <c r="T24" i="74" s="1"/>
  <c r="S34" i="74"/>
  <c r="Z41" i="1" l="1"/>
  <c r="Z16" i="24"/>
  <c r="AV10" i="58"/>
  <c r="AW40" i="1" s="1"/>
  <c r="T34" i="74"/>
  <c r="T31" i="74"/>
  <c r="U24" i="74" s="1"/>
  <c r="Z17" i="24" l="1"/>
  <c r="Z7" i="24"/>
  <c r="AV12" i="58"/>
  <c r="AW9" i="58" s="1"/>
  <c r="U31" i="74"/>
  <c r="V24" i="74" s="1"/>
  <c r="U34" i="74"/>
  <c r="AA17" i="1" l="1"/>
  <c r="E15" i="20" s="1"/>
  <c r="AA39" i="1"/>
  <c r="E40" i="20" s="1"/>
  <c r="Z8" i="24"/>
  <c r="AA37" i="1" s="1"/>
  <c r="Z18" i="24"/>
  <c r="AA15" i="24" s="1"/>
  <c r="AW10" i="58"/>
  <c r="AX40" i="1" s="1"/>
  <c r="E26" i="20"/>
  <c r="V34" i="74"/>
  <c r="V31" i="74"/>
  <c r="W24" i="74" s="1"/>
  <c r="AA41" i="1" l="1"/>
  <c r="E38" i="20"/>
  <c r="E42" i="20" s="1"/>
  <c r="AA16" i="24"/>
  <c r="AW12" i="58"/>
  <c r="AX9" i="58" s="1"/>
  <c r="AX10" i="58" s="1"/>
  <c r="AY40" i="1" s="1"/>
  <c r="W34" i="74"/>
  <c r="W31" i="74"/>
  <c r="X24" i="74" s="1"/>
  <c r="D7" i="23"/>
  <c r="AA7" i="24" l="1"/>
  <c r="AA17" i="24"/>
  <c r="G41" i="20"/>
  <c r="AX12" i="58"/>
  <c r="AY9" i="58" s="1"/>
  <c r="AY10" i="58" s="1"/>
  <c r="AZ40" i="1" s="1"/>
  <c r="X31" i="74"/>
  <c r="X34" i="74"/>
  <c r="AA8" i="24" l="1"/>
  <c r="AB37" i="1" s="1"/>
  <c r="AA18" i="24"/>
  <c r="AB15" i="24" s="1"/>
  <c r="AB17" i="1"/>
  <c r="AB39" i="1"/>
  <c r="AY12" i="58"/>
  <c r="AZ9" i="58" s="1"/>
  <c r="AB16" i="24" l="1"/>
  <c r="AB41" i="1"/>
  <c r="AZ10" i="58"/>
  <c r="BA40" i="1" s="1"/>
  <c r="AB7" i="24" l="1"/>
  <c r="AB17" i="24"/>
  <c r="AZ12" i="58"/>
  <c r="BA9" i="58" s="1"/>
  <c r="BA10" i="58" s="1"/>
  <c r="BB40" i="1" s="1"/>
  <c r="AB8" i="24" l="1"/>
  <c r="AC37" i="1" s="1"/>
  <c r="AB18" i="24"/>
  <c r="AC15" i="24" s="1"/>
  <c r="AC17" i="1"/>
  <c r="AC39" i="1"/>
  <c r="BA12" i="58"/>
  <c r="BB9" i="58" s="1"/>
  <c r="BB10" i="58" s="1"/>
  <c r="BC40" i="1" s="1"/>
  <c r="AC16" i="24" l="1"/>
  <c r="AC41" i="1"/>
  <c r="BB12" i="58"/>
  <c r="BC9" i="58" s="1"/>
  <c r="AC17" i="24" l="1"/>
  <c r="AC7" i="24"/>
  <c r="BC10" i="58"/>
  <c r="BD40" i="1" s="1"/>
  <c r="AD39" i="1" l="1"/>
  <c r="AD17" i="1"/>
  <c r="AC8" i="24"/>
  <c r="AD37" i="1" s="1"/>
  <c r="AC18" i="24"/>
  <c r="AD15" i="24" s="1"/>
  <c r="BC12" i="58"/>
  <c r="BD9" i="58" s="1"/>
  <c r="AD16" i="24" l="1"/>
  <c r="AD41" i="1"/>
  <c r="BD10" i="58"/>
  <c r="BE40" i="1" s="1"/>
  <c r="AD17" i="24" l="1"/>
  <c r="AD7" i="24"/>
  <c r="BD12" i="58"/>
  <c r="BE9" i="58" s="1"/>
  <c r="AE17" i="1" l="1"/>
  <c r="AE39" i="1"/>
  <c r="AD8" i="24"/>
  <c r="AE37" i="1" s="1"/>
  <c r="AD18" i="24"/>
  <c r="AE15" i="24" s="1"/>
  <c r="BE10" i="58"/>
  <c r="BF40" i="1" s="1"/>
  <c r="AE41" i="1" l="1"/>
  <c r="AE16" i="24"/>
  <c r="BE12" i="58"/>
  <c r="BF9" i="58" s="1"/>
  <c r="AE17" i="24" l="1"/>
  <c r="AE7" i="24"/>
  <c r="BF10" i="58"/>
  <c r="BG40" i="1" s="1"/>
  <c r="AF17" i="1" l="1"/>
  <c r="AF39" i="1"/>
  <c r="AE8" i="24"/>
  <c r="AF37" i="1" s="1"/>
  <c r="AE18" i="24"/>
  <c r="AF15" i="24" s="1"/>
  <c r="BF12" i="58"/>
  <c r="BG9" i="58" s="1"/>
  <c r="AH14" i="44"/>
  <c r="AF41" i="1" l="1"/>
  <c r="AF16" i="24"/>
  <c r="BG10" i="58"/>
  <c r="BH40" i="1" s="1"/>
  <c r="AF17" i="24" l="1"/>
  <c r="AF7" i="24"/>
  <c r="BG12" i="58"/>
  <c r="BH9" i="58" s="1"/>
  <c r="BH10" i="58" s="1"/>
  <c r="AG17" i="1" l="1"/>
  <c r="AG39" i="1"/>
  <c r="AF8" i="24"/>
  <c r="AG37" i="1" s="1"/>
  <c r="AG41" i="1" s="1"/>
  <c r="AF18" i="24"/>
  <c r="AG15" i="24" s="1"/>
  <c r="BI40" i="1"/>
  <c r="BH12" i="58"/>
  <c r="BI9" i="58" s="1"/>
  <c r="BI10" i="58" s="1"/>
  <c r="BJ40" i="1" s="1"/>
  <c r="AG16" i="24" l="1"/>
  <c r="BI12" i="58"/>
  <c r="BJ9" i="58" s="1"/>
  <c r="AG17" i="24" l="1"/>
  <c r="AG7" i="24"/>
  <c r="BJ10" i="58"/>
  <c r="BK40" i="1" s="1"/>
  <c r="AH17" i="1" l="1"/>
  <c r="AH39" i="1"/>
  <c r="AG8" i="24"/>
  <c r="AH37" i="1" s="1"/>
  <c r="AH41" i="1" s="1"/>
  <c r="AG18" i="24"/>
  <c r="AH15" i="24" s="1"/>
  <c r="H41" i="20"/>
  <c r="BJ12" i="58"/>
  <c r="BK9" i="58" s="1"/>
  <c r="AH16" i="24" l="1"/>
  <c r="BK10" i="58"/>
  <c r="BL40" i="1" s="1"/>
  <c r="AH7" i="24" l="1"/>
  <c r="AH17" i="24"/>
  <c r="BK12" i="58"/>
  <c r="BL9" i="58" s="1"/>
  <c r="BL10" i="58" s="1"/>
  <c r="BM40" i="1" s="1"/>
  <c r="AH8" i="24" l="1"/>
  <c r="AI37" i="1" s="1"/>
  <c r="AH18" i="24"/>
  <c r="AI15" i="24" s="1"/>
  <c r="AI17" i="1"/>
  <c r="AI39" i="1"/>
  <c r="BL12" i="58"/>
  <c r="BM9" i="58" s="1"/>
  <c r="AI16" i="24" l="1"/>
  <c r="AI41" i="1"/>
  <c r="BM10" i="58"/>
  <c r="BN40" i="1" s="1"/>
  <c r="AI17" i="24" l="1"/>
  <c r="AI7" i="24"/>
  <c r="BM12" i="58"/>
  <c r="BN9" i="58" s="1"/>
  <c r="AJ39" i="1" l="1"/>
  <c r="AJ17" i="1"/>
  <c r="AI8" i="24"/>
  <c r="AJ37" i="1" s="1"/>
  <c r="AI18" i="24"/>
  <c r="AJ15" i="24" s="1"/>
  <c r="BN10" i="58"/>
  <c r="BO40" i="1" s="1"/>
  <c r="AJ41" i="1" l="1"/>
  <c r="AJ16" i="24"/>
  <c r="BN12" i="58"/>
  <c r="BO9" i="58" s="1"/>
  <c r="BO10" i="58" s="1"/>
  <c r="BP40" i="1" s="1"/>
  <c r="AJ17" i="24" l="1"/>
  <c r="AJ7" i="24"/>
  <c r="BO12" i="58"/>
  <c r="BP9" i="58" s="1"/>
  <c r="AK17" i="1" l="1"/>
  <c r="AK39" i="1"/>
  <c r="AJ8" i="24"/>
  <c r="AK37" i="1" s="1"/>
  <c r="AK41" i="1" s="1"/>
  <c r="AJ18" i="24"/>
  <c r="AK15" i="24" s="1"/>
  <c r="BP10" i="58"/>
  <c r="BQ40" i="1" s="1"/>
  <c r="AK16" i="24" l="1"/>
  <c r="BP12" i="58"/>
  <c r="BQ9" i="58" s="1"/>
  <c r="AK7" i="24" l="1"/>
  <c r="AK17" i="24"/>
  <c r="BQ10" i="58"/>
  <c r="BR40" i="1" s="1"/>
  <c r="AK8" i="24" l="1"/>
  <c r="AL37" i="1" s="1"/>
  <c r="AK18" i="24"/>
  <c r="AL15" i="24" s="1"/>
  <c r="AL39" i="1"/>
  <c r="AL17" i="1"/>
  <c r="BQ12" i="58"/>
  <c r="BR9" i="58" s="1"/>
  <c r="AL16" i="24" l="1"/>
  <c r="AL41" i="1"/>
  <c r="BR10" i="58"/>
  <c r="BS40" i="1" s="1"/>
  <c r="AL17" i="24" l="1"/>
  <c r="AL7" i="24"/>
  <c r="BR12" i="58"/>
  <c r="BS9" i="58" s="1"/>
  <c r="AM39" i="1" l="1"/>
  <c r="F40" i="20" s="1"/>
  <c r="AM17" i="1"/>
  <c r="F15" i="20" s="1"/>
  <c r="AL8" i="24"/>
  <c r="AM37" i="1" s="1"/>
  <c r="AL18" i="24"/>
  <c r="AM15" i="24" s="1"/>
  <c r="BS10" i="58"/>
  <c r="BT40" i="1" s="1"/>
  <c r="AM16" i="24" l="1"/>
  <c r="AM41" i="1"/>
  <c r="F38" i="20"/>
  <c r="F42" i="20" s="1"/>
  <c r="BS12" i="58"/>
  <c r="BT9" i="58" s="1"/>
  <c r="AM17" i="24" l="1"/>
  <c r="AM7" i="24"/>
  <c r="BT10" i="58"/>
  <c r="BU40" i="1" s="1"/>
  <c r="AN17" i="1" l="1"/>
  <c r="AN39" i="1"/>
  <c r="AM8" i="24"/>
  <c r="AN37" i="1" s="1"/>
  <c r="AM18" i="24"/>
  <c r="AN15" i="24" s="1"/>
  <c r="BT12" i="58"/>
  <c r="BU9" i="58" s="1"/>
  <c r="AN41" i="1" l="1"/>
  <c r="AN16" i="24"/>
  <c r="BU10" i="58"/>
  <c r="BV40" i="1" s="1"/>
  <c r="AN7" i="24" l="1"/>
  <c r="AN17" i="24"/>
  <c r="BU12" i="58"/>
  <c r="BV9" i="58" s="1"/>
  <c r="AN8" i="24" l="1"/>
  <c r="AO37" i="1" s="1"/>
  <c r="AN18" i="24"/>
  <c r="AO15" i="24" s="1"/>
  <c r="AO39" i="1"/>
  <c r="AO17" i="1"/>
  <c r="BV10" i="58"/>
  <c r="BW40" i="1" s="1"/>
  <c r="AO16" i="24" l="1"/>
  <c r="AO41" i="1"/>
  <c r="BV12" i="58"/>
  <c r="BW9" i="58" s="1"/>
  <c r="BW10" i="58" s="1"/>
  <c r="BX40" i="1" s="1"/>
  <c r="I41" i="20"/>
  <c r="AO7" i="24" l="1"/>
  <c r="AO17" i="24"/>
  <c r="BW12" i="58"/>
  <c r="BX9" i="58" s="1"/>
  <c r="BX41" i="1"/>
  <c r="AO8" i="24" l="1"/>
  <c r="AP37" i="1" s="1"/>
  <c r="AO18" i="24"/>
  <c r="AP15" i="24" s="1"/>
  <c r="AP17" i="1"/>
  <c r="AP39" i="1"/>
  <c r="BX10" i="58"/>
  <c r="BY40" i="1" s="1"/>
  <c r="AP16" i="24" l="1"/>
  <c r="AP41" i="1"/>
  <c r="BY41" i="1"/>
  <c r="BX12" i="58"/>
  <c r="BY9" i="58" s="1"/>
  <c r="AP7" i="24" l="1"/>
  <c r="AP17" i="24"/>
  <c r="BY10" i="58"/>
  <c r="BZ40" i="1" s="1"/>
  <c r="AP8" i="24" l="1"/>
  <c r="AQ37" i="1" s="1"/>
  <c r="AP18" i="24"/>
  <c r="AQ15" i="24" s="1"/>
  <c r="AQ17" i="1"/>
  <c r="AQ39" i="1"/>
  <c r="BY12" i="58"/>
  <c r="BZ9" i="58" s="1"/>
  <c r="BZ10" i="58" s="1"/>
  <c r="CA40" i="1" s="1"/>
  <c r="CA41" i="1" s="1"/>
  <c r="BZ41" i="1"/>
  <c r="AQ16" i="24" l="1"/>
  <c r="AQ41" i="1"/>
  <c r="BZ12" i="58"/>
  <c r="CA9" i="58" s="1"/>
  <c r="AQ17" i="24" l="1"/>
  <c r="AQ7" i="24"/>
  <c r="CA10" i="58"/>
  <c r="CB40" i="1" s="1"/>
  <c r="AR17" i="1" l="1"/>
  <c r="AR39" i="1"/>
  <c r="AQ8" i="24"/>
  <c r="AR37" i="1" s="1"/>
  <c r="AQ18" i="24"/>
  <c r="AR15" i="24" s="1"/>
  <c r="CA12" i="58"/>
  <c r="CB9" i="58" s="1"/>
  <c r="CB10" i="58" s="1"/>
  <c r="CB41" i="1"/>
  <c r="AR16" i="24" l="1"/>
  <c r="AR41" i="1"/>
  <c r="CC40" i="1"/>
  <c r="CC41" i="1" s="1"/>
  <c r="CB12" i="58"/>
  <c r="CC9" i="58" s="1"/>
  <c r="CC10" i="58" s="1"/>
  <c r="CD40" i="1" s="1"/>
  <c r="AR17" i="24" l="1"/>
  <c r="AR7" i="24"/>
  <c r="CD41" i="1"/>
  <c r="CC12" i="58"/>
  <c r="CD9" i="58" s="1"/>
  <c r="AS17" i="1" l="1"/>
  <c r="AS39" i="1"/>
  <c r="AR8" i="24"/>
  <c r="AS37" i="1" s="1"/>
  <c r="AR18" i="24"/>
  <c r="AS15" i="24" s="1"/>
  <c r="CD10" i="58"/>
  <c r="CE40" i="1" s="1"/>
  <c r="CE41" i="1" s="1"/>
  <c r="AS41" i="1" l="1"/>
  <c r="AS16" i="24"/>
  <c r="CD12" i="58"/>
  <c r="CE9" i="58" s="1"/>
  <c r="AS17" i="24" l="1"/>
  <c r="AS7" i="24"/>
  <c r="CE10" i="58"/>
  <c r="CF40" i="1" s="1"/>
  <c r="CF41" i="1" s="1"/>
  <c r="AT39" i="1" l="1"/>
  <c r="AT17" i="1"/>
  <c r="AS8" i="24"/>
  <c r="AT37" i="1" s="1"/>
  <c r="AT41" i="1" s="1"/>
  <c r="AS18" i="24"/>
  <c r="AT15" i="24" s="1"/>
  <c r="CE12" i="58"/>
  <c r="CF9" i="58" s="1"/>
  <c r="AT16" i="24" l="1"/>
  <c r="CF10" i="58"/>
  <c r="CG40" i="1" s="1"/>
  <c r="CG41" i="1" s="1"/>
  <c r="AT7" i="24" l="1"/>
  <c r="AT17" i="24"/>
  <c r="CF12" i="58"/>
  <c r="CG9" i="58" s="1"/>
  <c r="AT8" i="24" l="1"/>
  <c r="AU37" i="1" s="1"/>
  <c r="AT18" i="24"/>
  <c r="AU15" i="24" s="1"/>
  <c r="AU39" i="1"/>
  <c r="AU17" i="1"/>
  <c r="CG10" i="58"/>
  <c r="CH40" i="1" s="1"/>
  <c r="CH41" i="1" s="1"/>
  <c r="AU41" i="1" l="1"/>
  <c r="AU16" i="24"/>
  <c r="CG12" i="58"/>
  <c r="CH9" i="58" s="1"/>
  <c r="AU17" i="24" l="1"/>
  <c r="AU7" i="24"/>
  <c r="CH10" i="58"/>
  <c r="CI40" i="1" s="1"/>
  <c r="AV17" i="1" l="1"/>
  <c r="AV39" i="1"/>
  <c r="AU8" i="24"/>
  <c r="AV37" i="1" s="1"/>
  <c r="AV41" i="1" s="1"/>
  <c r="AU18" i="24"/>
  <c r="AV15" i="24" s="1"/>
  <c r="CH12" i="58"/>
  <c r="CI9" i="58" s="1"/>
  <c r="CI10" i="58" s="1"/>
  <c r="CJ40" i="1" s="1"/>
  <c r="CI41" i="1"/>
  <c r="J41" i="20"/>
  <c r="J42" i="20" s="1"/>
  <c r="AV16" i="24" l="1"/>
  <c r="CJ41" i="1"/>
  <c r="CI12" i="58"/>
  <c r="CJ9" i="58" s="1"/>
  <c r="AV17" i="24" l="1"/>
  <c r="AV7" i="24"/>
  <c r="CJ10" i="58"/>
  <c r="CK40" i="1" s="1"/>
  <c r="AW17" i="1" l="1"/>
  <c r="AW39" i="1"/>
  <c r="AV8" i="24"/>
  <c r="AW37" i="1" s="1"/>
  <c r="AV18" i="24"/>
  <c r="AW15" i="24" s="1"/>
  <c r="CK41" i="1"/>
  <c r="CJ12" i="58"/>
  <c r="CK9" i="58" s="1"/>
  <c r="AW41" i="1" l="1"/>
  <c r="AW16" i="24"/>
  <c r="CK10" i="58"/>
  <c r="CL40" i="1" s="1"/>
  <c r="AW7" i="24" l="1"/>
  <c r="AW17" i="24"/>
  <c r="CK12" i="58"/>
  <c r="CL9" i="58" s="1"/>
  <c r="CL41" i="1"/>
  <c r="AW8" i="24" l="1"/>
  <c r="AX37" i="1" s="1"/>
  <c r="AW18" i="24"/>
  <c r="AX15" i="24" s="1"/>
  <c r="AX39" i="1"/>
  <c r="AX17" i="1"/>
  <c r="CL10" i="58"/>
  <c r="CM40" i="1" s="1"/>
  <c r="AX41" i="1" l="1"/>
  <c r="AX16" i="24"/>
  <c r="CM41" i="1"/>
  <c r="CL12" i="58"/>
  <c r="CM9" i="58" s="1"/>
  <c r="AX17" i="24" l="1"/>
  <c r="AX7" i="24"/>
  <c r="CM10" i="58"/>
  <c r="CN40" i="1" s="1"/>
  <c r="AY39" i="1" l="1"/>
  <c r="G40" i="20" s="1"/>
  <c r="AY17" i="1"/>
  <c r="G15" i="20" s="1"/>
  <c r="AX8" i="24"/>
  <c r="AY37" i="1" s="1"/>
  <c r="AX18" i="24"/>
  <c r="AY15" i="24" s="1"/>
  <c r="CM12" i="58"/>
  <c r="CN9" i="58" s="1"/>
  <c r="CN10" i="58" s="1"/>
  <c r="CO40" i="1" s="1"/>
  <c r="CO41" i="1" s="1"/>
  <c r="CN41" i="1"/>
  <c r="AY16" i="24" l="1"/>
  <c r="AY41" i="1"/>
  <c r="G38" i="20"/>
  <c r="G42" i="20" s="1"/>
  <c r="CN12" i="58"/>
  <c r="CO9" i="58" s="1"/>
  <c r="AY7" i="24" l="1"/>
  <c r="AY17" i="24"/>
  <c r="CO10" i="58"/>
  <c r="CP40" i="1" s="1"/>
  <c r="CP41" i="1" s="1"/>
  <c r="AY8" i="24" l="1"/>
  <c r="AZ37" i="1" s="1"/>
  <c r="AY18" i="24"/>
  <c r="AZ15" i="24" s="1"/>
  <c r="AZ17" i="1"/>
  <c r="AZ39" i="1"/>
  <c r="CO12" i="58"/>
  <c r="CP9" i="58" s="1"/>
  <c r="CP10" i="58" s="1"/>
  <c r="CQ40" i="1" s="1"/>
  <c r="CQ41" i="1" s="1"/>
  <c r="AZ16" i="24" l="1"/>
  <c r="AZ41" i="1"/>
  <c r="CP12" i="58"/>
  <c r="CQ9" i="58" s="1"/>
  <c r="CQ10" i="58" s="1"/>
  <c r="CR40" i="1" s="1"/>
  <c r="CR41" i="1" s="1"/>
  <c r="AZ7" i="24" l="1"/>
  <c r="AZ17" i="24"/>
  <c r="CQ12" i="58"/>
  <c r="CR9" i="58" s="1"/>
  <c r="AZ8" i="24" l="1"/>
  <c r="BA37" i="1" s="1"/>
  <c r="AZ18" i="24"/>
  <c r="BA15" i="24" s="1"/>
  <c r="BA17" i="1"/>
  <c r="BA39" i="1"/>
  <c r="CR10" i="58"/>
  <c r="CS40" i="1" s="1"/>
  <c r="CS41" i="1" s="1"/>
  <c r="BA16" i="24" l="1"/>
  <c r="BA41" i="1"/>
  <c r="CR12" i="58"/>
  <c r="CS9" i="58" s="1"/>
  <c r="CS10" i="58" s="1"/>
  <c r="CT40" i="1" s="1"/>
  <c r="CT41" i="1" s="1"/>
  <c r="BA7" i="24" l="1"/>
  <c r="BA17" i="24"/>
  <c r="CS12" i="58"/>
  <c r="CT9" i="58" s="1"/>
  <c r="CT10" i="58" s="1"/>
  <c r="CU40" i="1" s="1"/>
  <c r="BB39" i="1" l="1"/>
  <c r="BB17" i="1"/>
  <c r="BA8" i="24"/>
  <c r="BB37" i="1" s="1"/>
  <c r="BA18" i="24"/>
  <c r="BB15" i="24" s="1"/>
  <c r="CT12" i="58"/>
  <c r="CU9" i="58" s="1"/>
  <c r="CU10" i="58" s="1"/>
  <c r="CV40" i="1" s="1"/>
  <c r="CU41" i="1"/>
  <c r="K41" i="20"/>
  <c r="K42" i="20" s="1"/>
  <c r="BB16" i="24" l="1"/>
  <c r="BB41" i="1"/>
  <c r="CV41" i="1"/>
  <c r="CU12" i="58"/>
  <c r="CV9" i="58" s="1"/>
  <c r="BB17" i="24" l="1"/>
  <c r="BB7" i="24"/>
  <c r="CV10" i="58"/>
  <c r="CW40" i="1" s="1"/>
  <c r="BC39" i="1" l="1"/>
  <c r="BC17" i="1"/>
  <c r="BB8" i="24"/>
  <c r="BC37" i="1" s="1"/>
  <c r="BB18" i="24"/>
  <c r="BC15" i="24" s="1"/>
  <c r="CV12" i="58"/>
  <c r="CW9" i="58" s="1"/>
  <c r="CW41" i="1"/>
  <c r="BC16" i="24" l="1"/>
  <c r="BC41" i="1"/>
  <c r="CW10" i="58"/>
  <c r="CX40" i="1" s="1"/>
  <c r="BC7" i="24" l="1"/>
  <c r="BC17" i="24"/>
  <c r="CX41" i="1"/>
  <c r="CW12" i="58"/>
  <c r="CX9" i="58" s="1"/>
  <c r="BC8" i="24" l="1"/>
  <c r="BD37" i="1" s="1"/>
  <c r="BC18" i="24"/>
  <c r="BD15" i="24" s="1"/>
  <c r="BD17" i="1"/>
  <c r="BD39" i="1"/>
  <c r="CX10" i="58"/>
  <c r="CY40" i="1" s="1"/>
  <c r="BD16" i="24" l="1"/>
  <c r="BD41" i="1"/>
  <c r="CX12" i="58"/>
  <c r="CY9" i="58" s="1"/>
  <c r="CY10" i="58" s="1"/>
  <c r="CZ40" i="1" s="1"/>
  <c r="CZ41" i="1" s="1"/>
  <c r="CY41" i="1"/>
  <c r="BD7" i="24" l="1"/>
  <c r="BD17" i="24"/>
  <c r="CY12" i="58"/>
  <c r="CZ9" i="58" s="1"/>
  <c r="BD8" i="24" l="1"/>
  <c r="BE37" i="1" s="1"/>
  <c r="BD18" i="24"/>
  <c r="BE15" i="24" s="1"/>
  <c r="BE39" i="1"/>
  <c r="BE17" i="1"/>
  <c r="CZ10" i="58"/>
  <c r="DA40" i="1" s="1"/>
  <c r="DA41" i="1" s="1"/>
  <c r="BE41" i="1" l="1"/>
  <c r="BE16" i="24"/>
  <c r="CZ12" i="58"/>
  <c r="DA9" i="58" s="1"/>
  <c r="BE7" i="24" l="1"/>
  <c r="BE17" i="24"/>
  <c r="DA10" i="58"/>
  <c r="DB40" i="1" s="1"/>
  <c r="DB41" i="1" s="1"/>
  <c r="BE8" i="24" l="1"/>
  <c r="BF37" i="1" s="1"/>
  <c r="BE18" i="24"/>
  <c r="BF15" i="24" s="1"/>
  <c r="BF39" i="1"/>
  <c r="BF17" i="1"/>
  <c r="DA12" i="58"/>
  <c r="DB9" i="58" s="1"/>
  <c r="BF41" i="1" l="1"/>
  <c r="BF16" i="24"/>
  <c r="DB10" i="58"/>
  <c r="DC40" i="1" s="1"/>
  <c r="DC41" i="1" s="1"/>
  <c r="BF17" i="24" l="1"/>
  <c r="BF7" i="24"/>
  <c r="DB12" i="58"/>
  <c r="DC9" i="58" s="1"/>
  <c r="BG39" i="1" l="1"/>
  <c r="BG17" i="1"/>
  <c r="BF8" i="24"/>
  <c r="BG37" i="1" s="1"/>
  <c r="BF18" i="24"/>
  <c r="BG15" i="24" s="1"/>
  <c r="DC10" i="58"/>
  <c r="DD40" i="1" s="1"/>
  <c r="DD41" i="1" s="1"/>
  <c r="BG16" i="24" l="1"/>
  <c r="BG41" i="1"/>
  <c r="DC12" i="58"/>
  <c r="DD9" i="58" s="1"/>
  <c r="BG7" i="24" l="1"/>
  <c r="BG17" i="24"/>
  <c r="DD10" i="58"/>
  <c r="DE40" i="1" s="1"/>
  <c r="DE41" i="1" s="1"/>
  <c r="BH17" i="1" l="1"/>
  <c r="BH39" i="1"/>
  <c r="BG8" i="24"/>
  <c r="BH37" i="1" s="1"/>
  <c r="BG18" i="24"/>
  <c r="BH15" i="24" s="1"/>
  <c r="DD12" i="58"/>
  <c r="DE9" i="58" s="1"/>
  <c r="DE10" i="58" s="1"/>
  <c r="DF40" i="1" s="1"/>
  <c r="DF41" i="1" s="1"/>
  <c r="BH41" i="1" l="1"/>
  <c r="BH16" i="24"/>
  <c r="DE12" i="58"/>
  <c r="DF9" i="58" s="1"/>
  <c r="BH17" i="24" l="1"/>
  <c r="BH7" i="24"/>
  <c r="DF10" i="58"/>
  <c r="DG40" i="1" s="1"/>
  <c r="BI39" i="1" l="1"/>
  <c r="BI17" i="1"/>
  <c r="BH8" i="24"/>
  <c r="BI37" i="1" s="1"/>
  <c r="BH18" i="24"/>
  <c r="BI15" i="24" s="1"/>
  <c r="DF12" i="58"/>
  <c r="DG9" i="58" s="1"/>
  <c r="DG10" i="58" s="1"/>
  <c r="DH40" i="1" s="1"/>
  <c r="DG41" i="1"/>
  <c r="L41" i="20"/>
  <c r="L42" i="20" s="1"/>
  <c r="BI41" i="1" l="1"/>
  <c r="BI16" i="24"/>
  <c r="DG12" i="58"/>
  <c r="DH9" i="58" s="1"/>
  <c r="DH10" i="58" s="1"/>
  <c r="DI40" i="1" s="1"/>
  <c r="DI41" i="1" s="1"/>
  <c r="DH41" i="1"/>
  <c r="BI17" i="24" l="1"/>
  <c r="BI7" i="24"/>
  <c r="DH12" i="58"/>
  <c r="DI9" i="58" s="1"/>
  <c r="BI8" i="24" l="1"/>
  <c r="BJ37" i="1" s="1"/>
  <c r="BI18" i="24"/>
  <c r="BJ15" i="24" s="1"/>
  <c r="BJ39" i="1"/>
  <c r="BJ17" i="1"/>
  <c r="DI10" i="58"/>
  <c r="DJ40" i="1" s="1"/>
  <c r="BJ41" i="1" l="1"/>
  <c r="BJ16" i="24"/>
  <c r="DI12" i="58"/>
  <c r="DJ9" i="58" s="1"/>
  <c r="DJ41" i="1"/>
  <c r="BJ17" i="24" l="1"/>
  <c r="BJ7" i="24"/>
  <c r="DJ10" i="58"/>
  <c r="DK40" i="1" s="1"/>
  <c r="BK17" i="1" l="1"/>
  <c r="H15" i="20" s="1"/>
  <c r="BK39" i="1"/>
  <c r="H40" i="20" s="1"/>
  <c r="BJ8" i="24"/>
  <c r="BK37" i="1" s="1"/>
  <c r="BJ18" i="24"/>
  <c r="BK15" i="24" s="1"/>
  <c r="DJ12" i="58"/>
  <c r="DK9" i="58" s="1"/>
  <c r="DK10" i="58" s="1"/>
  <c r="DL40" i="1" s="1"/>
  <c r="DL41" i="1" s="1"/>
  <c r="DK41" i="1"/>
  <c r="BK16" i="24" l="1"/>
  <c r="BK41" i="1"/>
  <c r="H38" i="20"/>
  <c r="H42" i="20" s="1"/>
  <c r="DK12" i="58"/>
  <c r="DL9" i="58" s="1"/>
  <c r="BK7" i="24" l="1"/>
  <c r="BK17" i="24"/>
  <c r="DL10" i="58"/>
  <c r="DM40" i="1" s="1"/>
  <c r="DM41" i="1" s="1"/>
  <c r="BL39" i="1" l="1"/>
  <c r="BL17" i="1"/>
  <c r="BK8" i="24"/>
  <c r="BL37" i="1" s="1"/>
  <c r="BK18" i="24"/>
  <c r="BL15" i="24" s="1"/>
  <c r="DL12" i="58"/>
  <c r="DM9" i="58" s="1"/>
  <c r="DM10" i="58" s="1"/>
  <c r="DN40" i="1" s="1"/>
  <c r="DN41" i="1" s="1"/>
  <c r="BL16" i="24" l="1"/>
  <c r="BL41" i="1"/>
  <c r="DM12" i="58"/>
  <c r="DN9" i="58" s="1"/>
  <c r="BL17" i="24" l="1"/>
  <c r="BL7" i="24"/>
  <c r="DN10" i="58"/>
  <c r="DO40" i="1" s="1"/>
  <c r="DO41" i="1" s="1"/>
  <c r="BM39" i="1" l="1"/>
  <c r="BM17" i="1"/>
  <c r="BL8" i="24"/>
  <c r="BM37" i="1" s="1"/>
  <c r="BL18" i="24"/>
  <c r="BM15" i="24" s="1"/>
  <c r="DN12" i="58"/>
  <c r="DO9" i="58" s="1"/>
  <c r="BM41" i="1" l="1"/>
  <c r="BM16" i="24"/>
  <c r="DO10" i="58"/>
  <c r="DP40" i="1" s="1"/>
  <c r="DP41" i="1" s="1"/>
  <c r="BM17" i="24" l="1"/>
  <c r="BM7" i="24"/>
  <c r="DO12" i="58"/>
  <c r="DP9" i="58" s="1"/>
  <c r="DP10" i="58" s="1"/>
  <c r="DQ40" i="1" s="1"/>
  <c r="DQ41" i="1" s="1"/>
  <c r="BN39" i="1" l="1"/>
  <c r="BN17" i="1"/>
  <c r="BM8" i="24"/>
  <c r="BN37" i="1" s="1"/>
  <c r="BM18" i="24"/>
  <c r="BN15" i="24" s="1"/>
  <c r="DP12" i="58"/>
  <c r="DQ9" i="58" s="1"/>
  <c r="BN16" i="24" l="1"/>
  <c r="BN41" i="1"/>
  <c r="DQ10" i="58"/>
  <c r="DR40" i="1" s="1"/>
  <c r="DR41" i="1" s="1"/>
  <c r="BN17" i="24" l="1"/>
  <c r="BN7" i="24"/>
  <c r="DQ12" i="58"/>
  <c r="DR9" i="58" s="1"/>
  <c r="BO17" i="1" l="1"/>
  <c r="BO39" i="1"/>
  <c r="BN8" i="24"/>
  <c r="BO37" i="1" s="1"/>
  <c r="BN18" i="24"/>
  <c r="BO15" i="24" s="1"/>
  <c r="DR10" i="58"/>
  <c r="DS40" i="1" s="1"/>
  <c r="BO16" i="24" l="1"/>
  <c r="BO41" i="1"/>
  <c r="DR12" i="58"/>
  <c r="DS41" i="1"/>
  <c r="M41" i="20"/>
  <c r="M42" i="20" s="1"/>
  <c r="BO17" i="24" l="1"/>
  <c r="BO7" i="24"/>
  <c r="D61" i="74"/>
  <c r="E57" i="74" s="1"/>
  <c r="BP39" i="1" l="1"/>
  <c r="BP17" i="1"/>
  <c r="BO8" i="24"/>
  <c r="BP37" i="1" s="1"/>
  <c r="BO18" i="24"/>
  <c r="BP15" i="24" s="1"/>
  <c r="E58" i="74"/>
  <c r="E59" i="74" s="1"/>
  <c r="E60" i="74" s="1"/>
  <c r="E52" i="74" l="1"/>
  <c r="BP16" i="24"/>
  <c r="BP41" i="1"/>
  <c r="E67" i="74"/>
  <c r="BP7" i="24" l="1"/>
  <c r="BP17" i="24"/>
  <c r="BP8" i="24" l="1"/>
  <c r="BQ37" i="1" s="1"/>
  <c r="BP18" i="24"/>
  <c r="BQ15" i="24" s="1"/>
  <c r="BQ39" i="1"/>
  <c r="BQ17" i="1"/>
  <c r="CX56" i="72"/>
  <c r="DJ57" i="72"/>
  <c r="CL55" i="72"/>
  <c r="BN53" i="72"/>
  <c r="BZ54" i="72"/>
  <c r="BB52" i="72"/>
  <c r="R60" i="72"/>
  <c r="BQ41" i="1" l="1"/>
  <c r="BQ16" i="24"/>
  <c r="R7" i="44"/>
  <c r="CA54" i="72"/>
  <c r="CM55" i="72"/>
  <c r="S60" i="72"/>
  <c r="DK57" i="72"/>
  <c r="CY56" i="72"/>
  <c r="BC52" i="72"/>
  <c r="BO53" i="72"/>
  <c r="BQ7" i="24" l="1"/>
  <c r="BQ17" i="24"/>
  <c r="S7" i="44"/>
  <c r="R10" i="16"/>
  <c r="Q10" i="1"/>
  <c r="BQ8" i="24" l="1"/>
  <c r="BR37" i="1" s="1"/>
  <c r="BQ18" i="24"/>
  <c r="BR15" i="24" s="1"/>
  <c r="BR39" i="1"/>
  <c r="BR17" i="1"/>
  <c r="BR16" i="24" l="1"/>
  <c r="BR41" i="1"/>
  <c r="S10" i="16"/>
  <c r="R10" i="1"/>
  <c r="BR7" i="24" l="1"/>
  <c r="BR17" i="24"/>
  <c r="BR8" i="24" l="1"/>
  <c r="BS37" i="1" s="1"/>
  <c r="BR18" i="24"/>
  <c r="BS15" i="24" s="1"/>
  <c r="BS39" i="1"/>
  <c r="BS17" i="1"/>
  <c r="CN55" i="72"/>
  <c r="CZ56" i="72"/>
  <c r="BD52" i="72"/>
  <c r="BP53" i="72"/>
  <c r="CB54" i="72"/>
  <c r="DL57" i="72"/>
  <c r="T60" i="72"/>
  <c r="BS41" i="1" l="1"/>
  <c r="BS16" i="24"/>
  <c r="T7" i="44"/>
  <c r="BS7" i="24" l="1"/>
  <c r="BS17" i="24"/>
  <c r="DM57" i="72"/>
  <c r="CO55" i="72"/>
  <c r="BQ53" i="72"/>
  <c r="CC54" i="72"/>
  <c r="DA56" i="72"/>
  <c r="U60" i="72"/>
  <c r="BE52" i="72"/>
  <c r="T10" i="16"/>
  <c r="S10" i="1"/>
  <c r="BS8" i="24" l="1"/>
  <c r="BT37" i="1" s="1"/>
  <c r="BS18" i="24"/>
  <c r="BT15" i="24" s="1"/>
  <c r="BT39" i="1"/>
  <c r="BT17" i="1"/>
  <c r="U7" i="44"/>
  <c r="U10" i="16"/>
  <c r="T10" i="1"/>
  <c r="BT41" i="1" l="1"/>
  <c r="BT16" i="24"/>
  <c r="BT7" i="24" l="1"/>
  <c r="BT17" i="24"/>
  <c r="CD54" i="72"/>
  <c r="DB56" i="72"/>
  <c r="BF52" i="72"/>
  <c r="DN57" i="72"/>
  <c r="BR53" i="72"/>
  <c r="CP55" i="72"/>
  <c r="V60" i="72"/>
  <c r="BT8" i="24" l="1"/>
  <c r="BU37" i="1" s="1"/>
  <c r="BT18" i="24"/>
  <c r="BU15" i="24" s="1"/>
  <c r="BU39" i="1"/>
  <c r="BU17" i="1"/>
  <c r="V7" i="44"/>
  <c r="BU16" i="24" l="1"/>
  <c r="BU41" i="1"/>
  <c r="CQ55" i="72"/>
  <c r="CE54" i="72"/>
  <c r="DO57" i="72"/>
  <c r="DC56" i="72"/>
  <c r="BG52" i="72"/>
  <c r="BS53" i="72"/>
  <c r="W60" i="72"/>
  <c r="V10" i="16"/>
  <c r="U10" i="1"/>
  <c r="BU7" i="24" l="1"/>
  <c r="BU17" i="24"/>
  <c r="W7" i="44"/>
  <c r="BU8" i="24" l="1"/>
  <c r="BV37" i="1" s="1"/>
  <c r="BU18" i="24"/>
  <c r="BV15" i="24" s="1"/>
  <c r="BV39" i="1"/>
  <c r="BV17" i="1"/>
  <c r="W10" i="16"/>
  <c r="V10" i="1"/>
  <c r="BV41" i="1" l="1"/>
  <c r="BV16" i="24"/>
  <c r="CR55" i="72"/>
  <c r="DP57" i="72"/>
  <c r="BH52" i="72"/>
  <c r="BT53" i="72"/>
  <c r="CF54" i="72"/>
  <c r="X60" i="72"/>
  <c r="DD56" i="72"/>
  <c r="BV17" i="24" l="1"/>
  <c r="BV7" i="24"/>
  <c r="X7" i="44"/>
  <c r="X10" i="16"/>
  <c r="W10" i="1"/>
  <c r="BW17" i="1" l="1"/>
  <c r="I15" i="20" s="1"/>
  <c r="BW39" i="1"/>
  <c r="I40" i="20" s="1"/>
  <c r="BV8" i="24"/>
  <c r="BW37" i="1" s="1"/>
  <c r="BV18" i="24"/>
  <c r="BI52" i="72"/>
  <c r="BU53" i="72"/>
  <c r="DQ57" i="72"/>
  <c r="CS55" i="72"/>
  <c r="DE56" i="72"/>
  <c r="CG54" i="72"/>
  <c r="Y60" i="72"/>
  <c r="BW41" i="1" l="1"/>
  <c r="I38" i="20"/>
  <c r="I42" i="20" s="1"/>
  <c r="Y7" i="44"/>
  <c r="Y10" i="16"/>
  <c r="X10" i="1"/>
  <c r="DR57" i="72" l="1"/>
  <c r="CT55" i="72"/>
  <c r="DF56" i="72"/>
  <c r="CH54" i="72"/>
  <c r="BV53" i="72"/>
  <c r="Z60" i="72"/>
  <c r="BJ52" i="72"/>
  <c r="Z7" i="44" l="1"/>
  <c r="Z10" i="16"/>
  <c r="Y10" i="1"/>
  <c r="BK52" i="72" l="1"/>
  <c r="CU55" i="72"/>
  <c r="DG56" i="72"/>
  <c r="CI54" i="72"/>
  <c r="BW53" i="72"/>
  <c r="DS57" i="72"/>
  <c r="AA60" i="72"/>
  <c r="AA7" i="44" l="1"/>
  <c r="BL52" i="72" l="1"/>
  <c r="CV55" i="72"/>
  <c r="AB60" i="72"/>
  <c r="DT57" i="72"/>
  <c r="DH56" i="72"/>
  <c r="CJ54" i="72"/>
  <c r="BX53" i="72"/>
  <c r="AA10" i="16"/>
  <c r="Z10" i="1"/>
  <c r="AB7" i="44" l="1"/>
  <c r="AB10" i="16"/>
  <c r="AA10" i="1"/>
  <c r="E8" i="20" l="1"/>
  <c r="AC60" i="72" l="1"/>
  <c r="AC7" i="44" l="1"/>
  <c r="AC10" i="16" l="1"/>
  <c r="AB10" i="1"/>
  <c r="AY13" i="72" l="1"/>
  <c r="DS19" i="72" s="1"/>
  <c r="AD10" i="16"/>
  <c r="BW15" i="72" l="1"/>
  <c r="CI16" i="72"/>
  <c r="CU17" i="72" s="1"/>
  <c r="DG18" i="72" s="1"/>
  <c r="BK14" i="72"/>
  <c r="AZ68" i="72"/>
  <c r="BL69" i="72" l="1"/>
  <c r="AZ49" i="72"/>
  <c r="BX70" i="72" l="1"/>
  <c r="BL50" i="72"/>
  <c r="BX51" i="72"/>
  <c r="CV53" i="72"/>
  <c r="DT55" i="72"/>
  <c r="DH54" i="72"/>
  <c r="CJ52" i="72"/>
  <c r="CJ71" i="72" l="1"/>
  <c r="CV72" i="72" s="1"/>
  <c r="AZ13" i="72"/>
  <c r="DT19" i="72" s="1"/>
  <c r="BA68" i="72"/>
  <c r="AE10" i="16"/>
  <c r="CJ16" i="72" l="1"/>
  <c r="CV17" i="72" s="1"/>
  <c r="DH18" i="72" s="1"/>
  <c r="BL14" i="72"/>
  <c r="BX15" i="72"/>
  <c r="BM69" i="72"/>
  <c r="BA49" i="72"/>
  <c r="AX49" i="72"/>
  <c r="CH52" i="72" s="1"/>
  <c r="BY70" i="72" l="1"/>
  <c r="DH73" i="72"/>
  <c r="DR55" i="72"/>
  <c r="BJ50" i="72"/>
  <c r="DF54" i="72"/>
  <c r="CT53" i="72"/>
  <c r="BV51" i="72"/>
  <c r="BY51" i="72"/>
  <c r="BM50" i="72"/>
  <c r="CK52" i="72"/>
  <c r="DI54" i="72"/>
  <c r="CW53" i="72"/>
  <c r="CK71" i="72" l="1"/>
  <c r="DT74" i="72"/>
  <c r="BA13" i="72"/>
  <c r="AX13" i="72"/>
  <c r="BV15" i="72" s="1"/>
  <c r="AF10" i="16"/>
  <c r="CH71" i="72" l="1"/>
  <c r="CT72" i="72" s="1"/>
  <c r="DF73" i="72" s="1"/>
  <c r="CW72" i="72"/>
  <c r="DR19" i="72"/>
  <c r="CK16" i="72"/>
  <c r="CW17" i="72" s="1"/>
  <c r="DI18" i="72" s="1"/>
  <c r="BM14" i="72"/>
  <c r="BJ14" i="72"/>
  <c r="CH16" i="72"/>
  <c r="CT17" i="72" s="1"/>
  <c r="DF18" i="72" s="1"/>
  <c r="DI73" i="72" l="1"/>
  <c r="BB49" i="72"/>
  <c r="CX53" i="72" s="1"/>
  <c r="AY49" i="72"/>
  <c r="CL52" i="72" l="1"/>
  <c r="BN50" i="72"/>
  <c r="BZ51" i="72"/>
  <c r="DJ54" i="72"/>
  <c r="DS55" i="72"/>
  <c r="BW51" i="72"/>
  <c r="CU53" i="72"/>
  <c r="CI52" i="72"/>
  <c r="BK50" i="72"/>
  <c r="DG54" i="72"/>
  <c r="DR74" i="72" l="1"/>
  <c r="AG10" i="16" l="1"/>
  <c r="B13" i="80" l="1"/>
  <c r="I13" i="80" s="1"/>
  <c r="B25" i="80" l="1"/>
  <c r="D25" i="80" s="1"/>
  <c r="B10" i="80"/>
  <c r="G25" i="80" l="1"/>
  <c r="E25" i="80"/>
  <c r="H25" i="80" s="1"/>
  <c r="B8" i="80"/>
  <c r="I10" i="80"/>
  <c r="L13" i="80"/>
  <c r="M13" i="80" l="1"/>
  <c r="P13" i="80" s="1"/>
  <c r="R13" i="80" s="1"/>
  <c r="O13" i="80"/>
  <c r="K10" i="80"/>
  <c r="L10" i="80"/>
  <c r="B24" i="80" l="1"/>
  <c r="D29" i="96" s="1"/>
  <c r="Q13" i="80"/>
  <c r="M10" i="80"/>
  <c r="P10" i="80" s="1"/>
  <c r="R10" i="80" s="1"/>
  <c r="O10" i="80"/>
  <c r="D34" i="96" l="1"/>
  <c r="F34" i="96" s="1"/>
  <c r="D30" i="96"/>
  <c r="F30" i="96" s="1"/>
  <c r="D35" i="96"/>
  <c r="F35" i="96" s="1"/>
  <c r="D37" i="96"/>
  <c r="F37" i="96" s="1"/>
  <c r="F29" i="96"/>
  <c r="D24" i="80"/>
  <c r="Q10" i="80"/>
  <c r="G24" i="80" l="1"/>
  <c r="E24" i="80"/>
  <c r="AE29" i="16"/>
  <c r="AC9" i="1"/>
  <c r="F7" i="20" s="1"/>
  <c r="H24" i="80" l="1"/>
  <c r="AD8" i="1"/>
  <c r="AD25" i="1"/>
  <c r="B25" i="22" l="1"/>
  <c r="O25" i="22" s="1"/>
  <c r="H25" i="22" l="1"/>
  <c r="I25" i="22"/>
  <c r="K25" i="22"/>
  <c r="J25" i="22"/>
  <c r="L25" i="22"/>
  <c r="G25" i="22"/>
  <c r="M25" i="22"/>
  <c r="N25" i="22"/>
  <c r="C12" i="13" l="1"/>
  <c r="T22" i="22" s="1"/>
  <c r="K12" i="13" l="1"/>
  <c r="B21" i="22"/>
  <c r="L12" i="13"/>
  <c r="I12" i="13"/>
  <c r="J12" i="13"/>
  <c r="H12" i="13"/>
  <c r="M12" i="13"/>
  <c r="C13" i="13"/>
  <c r="T23" i="22" s="1"/>
  <c r="H21" i="22" l="1"/>
  <c r="J21" i="22"/>
  <c r="I21" i="22"/>
  <c r="O21" i="22"/>
  <c r="L21" i="22"/>
  <c r="M21" i="22"/>
  <c r="F21" i="22"/>
  <c r="G21" i="22"/>
  <c r="N21" i="22"/>
  <c r="K21" i="22"/>
  <c r="J13" i="13"/>
  <c r="G13" i="13"/>
  <c r="I13" i="13"/>
  <c r="H13" i="13"/>
  <c r="N16" i="13" l="1"/>
  <c r="Q7" i="88" l="1"/>
  <c r="Q7" i="87"/>
  <c r="Q7" i="86"/>
  <c r="Q7" i="74"/>
  <c r="D54" i="86" l="1"/>
  <c r="D55" i="86" s="1"/>
  <c r="E54" i="86"/>
  <c r="D54" i="87"/>
  <c r="D55" i="87" s="1"/>
  <c r="E54" i="87"/>
  <c r="D54" i="74"/>
  <c r="D55" i="74" s="1"/>
  <c r="E54" i="74"/>
  <c r="D54" i="88"/>
  <c r="D55" i="88" s="1"/>
  <c r="E54" i="88"/>
  <c r="E64" i="88" s="1"/>
  <c r="E64" i="87" l="1"/>
  <c r="D64" i="87"/>
  <c r="E64" i="74"/>
  <c r="E64" i="86"/>
  <c r="D64" i="88"/>
  <c r="D64" i="74"/>
  <c r="D64" i="86"/>
  <c r="D65" i="87" l="1"/>
  <c r="E49" i="87"/>
  <c r="E49" i="74"/>
  <c r="D65" i="74"/>
  <c r="D65" i="88"/>
  <c r="E49" i="88"/>
  <c r="D65" i="86"/>
  <c r="E49" i="86"/>
  <c r="R10" i="72" l="1"/>
  <c r="R82" i="72" s="1"/>
  <c r="D68" i="86"/>
  <c r="O9" i="72"/>
  <c r="O81" i="72" s="1"/>
  <c r="D68" i="74"/>
  <c r="E61" i="88"/>
  <c r="F57" i="88" s="1"/>
  <c r="E62" i="88"/>
  <c r="E50" i="88"/>
  <c r="E55" i="88" s="1"/>
  <c r="E62" i="74"/>
  <c r="E61" i="74"/>
  <c r="F57" i="74" s="1"/>
  <c r="E50" i="74"/>
  <c r="E55" i="74" s="1"/>
  <c r="X12" i="72"/>
  <c r="X84" i="72" s="1"/>
  <c r="D68" i="88"/>
  <c r="E61" i="87"/>
  <c r="F57" i="87" s="1"/>
  <c r="E50" i="87"/>
  <c r="E55" i="87" s="1"/>
  <c r="E62" i="87"/>
  <c r="E50" i="86"/>
  <c r="E55" i="86" s="1"/>
  <c r="E62" i="86"/>
  <c r="E61" i="86"/>
  <c r="F57" i="86" s="1"/>
  <c r="U11" i="72"/>
  <c r="U83" i="72" s="1"/>
  <c r="D68" i="87"/>
  <c r="U85" i="72" l="1"/>
  <c r="AG86" i="72" s="1"/>
  <c r="U95" i="72"/>
  <c r="O95" i="72"/>
  <c r="O85" i="72"/>
  <c r="AA86" i="72" s="1"/>
  <c r="X95" i="72"/>
  <c r="X85" i="72"/>
  <c r="AJ86" i="72" s="1"/>
  <c r="R95" i="72"/>
  <c r="R85" i="72"/>
  <c r="AD86" i="72" s="1"/>
  <c r="E65" i="74"/>
  <c r="E65" i="86"/>
  <c r="F49" i="87"/>
  <c r="U29" i="72"/>
  <c r="D69" i="87"/>
  <c r="X30" i="72"/>
  <c r="D69" i="88"/>
  <c r="F58" i="74"/>
  <c r="F54" i="74"/>
  <c r="E63" i="88"/>
  <c r="Y67" i="72" s="1"/>
  <c r="E51" i="88"/>
  <c r="O27" i="72"/>
  <c r="O31" i="72" s="1"/>
  <c r="O42" i="72" s="1"/>
  <c r="D69" i="74"/>
  <c r="O13" i="72"/>
  <c r="O23" i="72" s="1"/>
  <c r="E63" i="86"/>
  <c r="S65" i="72" s="1"/>
  <c r="E51" i="86"/>
  <c r="E51" i="87"/>
  <c r="E63" i="87"/>
  <c r="V66" i="72" s="1"/>
  <c r="F54" i="88"/>
  <c r="F58" i="88"/>
  <c r="F59" i="88" s="1"/>
  <c r="F60" i="88" s="1"/>
  <c r="R28" i="72"/>
  <c r="D69" i="86"/>
  <c r="F54" i="86"/>
  <c r="F58" i="86"/>
  <c r="F59" i="86" s="1"/>
  <c r="F60" i="86" s="1"/>
  <c r="F54" i="87"/>
  <c r="F64" i="87" s="1"/>
  <c r="F58" i="87"/>
  <c r="F59" i="87" s="1"/>
  <c r="F60" i="87" s="1"/>
  <c r="E63" i="74"/>
  <c r="P64" i="72" s="1"/>
  <c r="P68" i="72" s="1"/>
  <c r="E51" i="74"/>
  <c r="E53" i="74" s="1"/>
  <c r="AP87" i="72" l="1"/>
  <c r="AD95" i="72"/>
  <c r="AJ95" i="72"/>
  <c r="AV87" i="72"/>
  <c r="AM87" i="72"/>
  <c r="AA95" i="72"/>
  <c r="AG95" i="72"/>
  <c r="AS87" i="72"/>
  <c r="F59" i="74"/>
  <c r="F60" i="74" s="1"/>
  <c r="F49" i="74"/>
  <c r="F49" i="86"/>
  <c r="E65" i="87"/>
  <c r="V11" i="72" s="1"/>
  <c r="V83" i="72" s="1"/>
  <c r="F52" i="88"/>
  <c r="F67" i="88"/>
  <c r="O5" i="44"/>
  <c r="E53" i="88"/>
  <c r="D70" i="88"/>
  <c r="F64" i="86"/>
  <c r="F64" i="88"/>
  <c r="E53" i="87"/>
  <c r="AA14" i="72"/>
  <c r="AM15" i="72" s="1"/>
  <c r="AY16" i="72" s="1"/>
  <c r="BK17" i="72" s="1"/>
  <c r="BW18" i="72" s="1"/>
  <c r="CI19" i="72" s="1"/>
  <c r="CU20" i="72" s="1"/>
  <c r="DG21" i="72" s="1"/>
  <c r="S10" i="72"/>
  <c r="S82" i="72" s="1"/>
  <c r="E68" i="86"/>
  <c r="S28" i="72" s="1"/>
  <c r="F52" i="87"/>
  <c r="F50" i="87" s="1"/>
  <c r="F63" i="87" s="1"/>
  <c r="W66" i="72" s="1"/>
  <c r="F67" i="87"/>
  <c r="D70" i="86"/>
  <c r="E53" i="86"/>
  <c r="D70" i="74"/>
  <c r="F64" i="74"/>
  <c r="D70" i="87"/>
  <c r="F61" i="87"/>
  <c r="G57" i="87" s="1"/>
  <c r="F62" i="87"/>
  <c r="F52" i="86"/>
  <c r="F67" i="86"/>
  <c r="AB69" i="72"/>
  <c r="AN70" i="72" s="1"/>
  <c r="AZ71" i="72" s="1"/>
  <c r="BL72" i="72" s="1"/>
  <c r="BX73" i="72" s="1"/>
  <c r="CJ74" i="72" s="1"/>
  <c r="CV75" i="72" s="1"/>
  <c r="DH76" i="72" s="1"/>
  <c r="P78" i="72"/>
  <c r="F49" i="88"/>
  <c r="E65" i="88"/>
  <c r="P9" i="72"/>
  <c r="P81" i="72" s="1"/>
  <c r="E68" i="74"/>
  <c r="P27" i="72" s="1"/>
  <c r="P31" i="72" s="1"/>
  <c r="P42" i="72" s="1"/>
  <c r="AA32" i="72"/>
  <c r="AM33" i="72" s="1"/>
  <c r="AY34" i="72" s="1"/>
  <c r="BK35" i="72" s="1"/>
  <c r="BW36" i="72" s="1"/>
  <c r="CI37" i="72" s="1"/>
  <c r="CU38" i="72" s="1"/>
  <c r="DG39" i="72" s="1"/>
  <c r="V95" i="72" l="1"/>
  <c r="V85" i="72"/>
  <c r="AH86" i="72" s="1"/>
  <c r="AS95" i="72"/>
  <c r="BE88" i="72"/>
  <c r="BH88" i="72"/>
  <c r="AV95" i="72"/>
  <c r="P95" i="72"/>
  <c r="P85" i="72"/>
  <c r="AB86" i="72" s="1"/>
  <c r="S85" i="72"/>
  <c r="AE86" i="72" s="1"/>
  <c r="S95" i="72"/>
  <c r="AY88" i="72"/>
  <c r="AM95" i="72"/>
  <c r="BB88" i="72"/>
  <c r="AP95" i="72"/>
  <c r="F67" i="74"/>
  <c r="F52" i="74"/>
  <c r="F50" i="74" s="1"/>
  <c r="F51" i="74" s="1"/>
  <c r="F55" i="87"/>
  <c r="F65" i="87" s="1"/>
  <c r="F61" i="74"/>
  <c r="G57" i="74" s="1"/>
  <c r="G58" i="74" s="1"/>
  <c r="E68" i="87"/>
  <c r="V29" i="72" s="1"/>
  <c r="F62" i="74"/>
  <c r="E69" i="86"/>
  <c r="E70" i="86" s="1"/>
  <c r="F61" i="86"/>
  <c r="G57" i="86" s="1"/>
  <c r="G58" i="86" s="1"/>
  <c r="G59" i="86" s="1"/>
  <c r="G60" i="86" s="1"/>
  <c r="F50" i="86"/>
  <c r="F63" i="86" s="1"/>
  <c r="T65" i="72" s="1"/>
  <c r="F62" i="86"/>
  <c r="O6" i="44"/>
  <c r="F51" i="87"/>
  <c r="P13" i="72"/>
  <c r="P23" i="72" s="1"/>
  <c r="F62" i="88"/>
  <c r="F61" i="88"/>
  <c r="G57" i="88" s="1"/>
  <c r="F50" i="88"/>
  <c r="F55" i="88" s="1"/>
  <c r="P6" i="44"/>
  <c r="AB32" i="72"/>
  <c r="AN33" i="72" s="1"/>
  <c r="AZ34" i="72" s="1"/>
  <c r="BL35" i="72" s="1"/>
  <c r="BX36" i="72" s="1"/>
  <c r="CJ37" i="72" s="1"/>
  <c r="CV38" i="72" s="1"/>
  <c r="DH39" i="72" s="1"/>
  <c r="G54" i="87"/>
  <c r="G58" i="87"/>
  <c r="G59" i="87" s="1"/>
  <c r="G60" i="87" s="1"/>
  <c r="E68" i="88"/>
  <c r="Y12" i="72"/>
  <c r="Y84" i="72" s="1"/>
  <c r="E69" i="74"/>
  <c r="AB95" i="72" l="1"/>
  <c r="AN87" i="72"/>
  <c r="BK89" i="72"/>
  <c r="AY95" i="72"/>
  <c r="AT87" i="72"/>
  <c r="AH95" i="72"/>
  <c r="BQ89" i="72"/>
  <c r="BE95" i="72"/>
  <c r="Y85" i="72"/>
  <c r="AK86" i="72" s="1"/>
  <c r="Y95" i="72"/>
  <c r="BN89" i="72"/>
  <c r="BB95" i="72"/>
  <c r="AQ87" i="72"/>
  <c r="AE95" i="72"/>
  <c r="BT89" i="72"/>
  <c r="BH95" i="72"/>
  <c r="G59" i="74"/>
  <c r="G60" i="74" s="1"/>
  <c r="F55" i="86"/>
  <c r="G49" i="86" s="1"/>
  <c r="F55" i="74"/>
  <c r="G49" i="74" s="1"/>
  <c r="G54" i="74"/>
  <c r="G64" i="74" s="1"/>
  <c r="F63" i="74"/>
  <c r="Q64" i="72" s="1"/>
  <c r="Q68" i="72" s="1"/>
  <c r="AC69" i="72" s="1"/>
  <c r="AO70" i="72" s="1"/>
  <c r="BA71" i="72" s="1"/>
  <c r="BM72" i="72" s="1"/>
  <c r="BY73" i="72" s="1"/>
  <c r="CK74" i="72" s="1"/>
  <c r="CW75" i="72" s="1"/>
  <c r="DI76" i="72" s="1"/>
  <c r="G54" i="86"/>
  <c r="G64" i="86" s="1"/>
  <c r="E69" i="87"/>
  <c r="E70" i="87" s="1"/>
  <c r="F51" i="86"/>
  <c r="F53" i="86" s="1"/>
  <c r="G49" i="87"/>
  <c r="G49" i="88"/>
  <c r="G58" i="88"/>
  <c r="G59" i="88" s="1"/>
  <c r="G60" i="88" s="1"/>
  <c r="G54" i="88"/>
  <c r="AB14" i="72"/>
  <c r="AN15" i="72" s="1"/>
  <c r="AZ16" i="72" s="1"/>
  <c r="BL17" i="72" s="1"/>
  <c r="BX18" i="72" s="1"/>
  <c r="CJ19" i="72" s="1"/>
  <c r="CV20" i="72" s="1"/>
  <c r="DH21" i="72" s="1"/>
  <c r="G67" i="86"/>
  <c r="G52" i="86"/>
  <c r="F53" i="87"/>
  <c r="F68" i="87"/>
  <c r="W29" i="72" s="1"/>
  <c r="W11" i="72"/>
  <c r="G67" i="87"/>
  <c r="G52" i="87"/>
  <c r="P5" i="44"/>
  <c r="E70" i="74"/>
  <c r="G64" i="87"/>
  <c r="Y30" i="72"/>
  <c r="E69" i="88"/>
  <c r="F63" i="88"/>
  <c r="Z67" i="72" s="1"/>
  <c r="F51" i="88"/>
  <c r="F53" i="88" s="1"/>
  <c r="F53" i="74"/>
  <c r="W83" i="72" l="1"/>
  <c r="W95" i="72" s="1"/>
  <c r="B47" i="80"/>
  <c r="CF90" i="72"/>
  <c r="BT95" i="72"/>
  <c r="BZ90" i="72"/>
  <c r="BN95" i="72"/>
  <c r="BQ95" i="72"/>
  <c r="CC90" i="72"/>
  <c r="BW90" i="72"/>
  <c r="BK95" i="72"/>
  <c r="AZ88" i="72"/>
  <c r="AN95" i="72"/>
  <c r="BC88" i="72"/>
  <c r="AQ95" i="72"/>
  <c r="AW87" i="72"/>
  <c r="AK95" i="72"/>
  <c r="BF88" i="72"/>
  <c r="AT95" i="72"/>
  <c r="G52" i="74"/>
  <c r="G50" i="74" s="1"/>
  <c r="G63" i="74" s="1"/>
  <c r="R64" i="72" s="1"/>
  <c r="R68" i="72" s="1"/>
  <c r="AD69" i="72" s="1"/>
  <c r="AP70" i="72" s="1"/>
  <c r="BB71" i="72" s="1"/>
  <c r="BN72" i="72" s="1"/>
  <c r="BZ73" i="72" s="1"/>
  <c r="CL74" i="72" s="1"/>
  <c r="CX75" i="72" s="1"/>
  <c r="DJ76" i="72" s="1"/>
  <c r="G67" i="74"/>
  <c r="G61" i="86"/>
  <c r="H57" i="86" s="1"/>
  <c r="H54" i="86" s="1"/>
  <c r="F65" i="86"/>
  <c r="T10" i="72" s="1"/>
  <c r="T82" i="72" s="1"/>
  <c r="G62" i="86"/>
  <c r="G50" i="86"/>
  <c r="G63" i="86" s="1"/>
  <c r="U65" i="72" s="1"/>
  <c r="G61" i="74"/>
  <c r="H57" i="74" s="1"/>
  <c r="H58" i="74" s="1"/>
  <c r="G62" i="74"/>
  <c r="F65" i="74"/>
  <c r="Q9" i="72" s="1"/>
  <c r="Q81" i="72" s="1"/>
  <c r="Q78" i="72"/>
  <c r="G61" i="87"/>
  <c r="H57" i="87" s="1"/>
  <c r="H54" i="87" s="1"/>
  <c r="G62" i="87"/>
  <c r="G50" i="87"/>
  <c r="G63" i="87" s="1"/>
  <c r="X66" i="72" s="1"/>
  <c r="F69" i="87"/>
  <c r="F70" i="87" s="1"/>
  <c r="F65" i="88"/>
  <c r="F68" i="88" s="1"/>
  <c r="Z30" i="72" s="1"/>
  <c r="B48" i="80" s="1"/>
  <c r="G67" i="88"/>
  <c r="G52" i="88"/>
  <c r="G50" i="88" s="1"/>
  <c r="G55" i="88" s="1"/>
  <c r="E70" i="88"/>
  <c r="G61" i="88"/>
  <c r="H57" i="88" s="1"/>
  <c r="G62" i="88"/>
  <c r="G64" i="88"/>
  <c r="W85" i="72" l="1"/>
  <c r="AI86" i="72" s="1"/>
  <c r="B92" i="80"/>
  <c r="B76" i="80"/>
  <c r="B77" i="80" s="1"/>
  <c r="B70" i="80"/>
  <c r="B73" i="80"/>
  <c r="B94" i="80" s="1"/>
  <c r="B74" i="80"/>
  <c r="B71" i="80"/>
  <c r="B53" i="80"/>
  <c r="B55" i="80" s="1"/>
  <c r="B68" i="80"/>
  <c r="B69" i="80" s="1"/>
  <c r="BI88" i="72"/>
  <c r="AW95" i="72"/>
  <c r="BL89" i="72"/>
  <c r="AZ95" i="72"/>
  <c r="BW95" i="72"/>
  <c r="CI91" i="72"/>
  <c r="CL91" i="72"/>
  <c r="BZ95" i="72"/>
  <c r="CO91" i="72"/>
  <c r="CC95" i="72"/>
  <c r="Q95" i="72"/>
  <c r="Q85" i="72"/>
  <c r="AC86" i="72" s="1"/>
  <c r="T95" i="72"/>
  <c r="T85" i="72"/>
  <c r="AF86" i="72" s="1"/>
  <c r="BR89" i="72"/>
  <c r="BF95" i="72"/>
  <c r="BO89" i="72"/>
  <c r="BC95" i="72"/>
  <c r="AI95" i="72"/>
  <c r="AU87" i="72"/>
  <c r="CF95" i="72"/>
  <c r="CR91" i="72"/>
  <c r="Q13" i="72"/>
  <c r="Q23" i="72" s="1"/>
  <c r="Q5" i="44" s="1"/>
  <c r="H59" i="74"/>
  <c r="H60" i="74" s="1"/>
  <c r="F68" i="86"/>
  <c r="T28" i="72" s="1"/>
  <c r="H58" i="86"/>
  <c r="H59" i="86" s="1"/>
  <c r="G55" i="87"/>
  <c r="H49" i="87" s="1"/>
  <c r="G55" i="86"/>
  <c r="G65" i="86" s="1"/>
  <c r="U10" i="72" s="1"/>
  <c r="U99" i="72" s="1"/>
  <c r="G51" i="74"/>
  <c r="G53" i="74" s="1"/>
  <c r="G51" i="86"/>
  <c r="G53" i="86" s="1"/>
  <c r="R78" i="72"/>
  <c r="Q28" i="60" s="1"/>
  <c r="G55" i="74"/>
  <c r="G65" i="74" s="1"/>
  <c r="F68" i="74"/>
  <c r="Q27" i="72" s="1"/>
  <c r="Q31" i="72" s="1"/>
  <c r="Q42" i="72" s="1"/>
  <c r="H54" i="74"/>
  <c r="H64" i="74" s="1"/>
  <c r="H58" i="87"/>
  <c r="H59" i="87" s="1"/>
  <c r="G51" i="87"/>
  <c r="G53" i="87" s="1"/>
  <c r="Z12" i="72"/>
  <c r="Z84" i="72" s="1"/>
  <c r="G65" i="88"/>
  <c r="H58" i="88"/>
  <c r="H59" i="88" s="1"/>
  <c r="H60" i="88" s="1"/>
  <c r="H54" i="88"/>
  <c r="H64" i="86"/>
  <c r="F69" i="88"/>
  <c r="G51" i="88"/>
  <c r="G63" i="88"/>
  <c r="AA67" i="72" s="1"/>
  <c r="H64" i="87"/>
  <c r="B61" i="80" l="1"/>
  <c r="B95" i="80"/>
  <c r="B93" i="80"/>
  <c r="B57" i="80"/>
  <c r="B59" i="80" s="1"/>
  <c r="D83" i="96" s="1"/>
  <c r="F83" i="96" s="1"/>
  <c r="AC95" i="72"/>
  <c r="AO87" i="72"/>
  <c r="BR95" i="72"/>
  <c r="CD90" i="72"/>
  <c r="BX90" i="72"/>
  <c r="BL95" i="72"/>
  <c r="CR95" i="72"/>
  <c r="DD92" i="72"/>
  <c r="AF95" i="72"/>
  <c r="AR87" i="72"/>
  <c r="CU92" i="72"/>
  <c r="CI95" i="72"/>
  <c r="BG88" i="72"/>
  <c r="AU95" i="72"/>
  <c r="Z95" i="72"/>
  <c r="Z85" i="72"/>
  <c r="AL86" i="72" s="1"/>
  <c r="CX92" i="72"/>
  <c r="CL95" i="72"/>
  <c r="CA90" i="72"/>
  <c r="BO95" i="72"/>
  <c r="DA92" i="72"/>
  <c r="CO95" i="72"/>
  <c r="BU89" i="72"/>
  <c r="BI95" i="72"/>
  <c r="AC14" i="72"/>
  <c r="AO15" i="72" s="1"/>
  <c r="BA16" i="72" s="1"/>
  <c r="BM17" i="72" s="1"/>
  <c r="BY18" i="72" s="1"/>
  <c r="CK19" i="72" s="1"/>
  <c r="CW20" i="72" s="1"/>
  <c r="DI21" i="72" s="1"/>
  <c r="H52" i="87"/>
  <c r="H50" i="87" s="1"/>
  <c r="H55" i="87" s="1"/>
  <c r="I49" i="87" s="1"/>
  <c r="H60" i="87"/>
  <c r="H61" i="87" s="1"/>
  <c r="I57" i="87" s="1"/>
  <c r="I58" i="87" s="1"/>
  <c r="I59" i="87" s="1"/>
  <c r="I60" i="87" s="1"/>
  <c r="H67" i="86"/>
  <c r="H60" i="86"/>
  <c r="H67" i="74"/>
  <c r="H52" i="74"/>
  <c r="AC32" i="72"/>
  <c r="AO33" i="72" s="1"/>
  <c r="BA34" i="72" s="1"/>
  <c r="BM35" i="72" s="1"/>
  <c r="BY36" i="72" s="1"/>
  <c r="CK37" i="72" s="1"/>
  <c r="CW38" i="72" s="1"/>
  <c r="DI39" i="72" s="1"/>
  <c r="Q6" i="44"/>
  <c r="F69" i="86"/>
  <c r="F70" i="86" s="1"/>
  <c r="H52" i="86"/>
  <c r="H62" i="87"/>
  <c r="G68" i="86"/>
  <c r="U28" i="72" s="1"/>
  <c r="H49" i="74"/>
  <c r="F69" i="74"/>
  <c r="F70" i="74" s="1"/>
  <c r="G65" i="87"/>
  <c r="G68" i="87" s="1"/>
  <c r="X29" i="72" s="1"/>
  <c r="H49" i="86"/>
  <c r="H62" i="86" s="1"/>
  <c r="H67" i="87"/>
  <c r="H49" i="88"/>
  <c r="F70" i="88"/>
  <c r="AA12" i="72"/>
  <c r="AA101" i="72" s="1"/>
  <c r="G68" i="88"/>
  <c r="AA30" i="72" s="1"/>
  <c r="G53" i="88"/>
  <c r="H64" i="88"/>
  <c r="F16" i="80"/>
  <c r="R9" i="72"/>
  <c r="R98" i="72" s="1"/>
  <c r="R102" i="72" s="1"/>
  <c r="G68" i="74"/>
  <c r="H67" i="88"/>
  <c r="H52" i="88"/>
  <c r="R112" i="72" l="1"/>
  <c r="AD103" i="72"/>
  <c r="AP104" i="72" s="1"/>
  <c r="BB105" i="72" s="1"/>
  <c r="BN106" i="72" s="1"/>
  <c r="BZ107" i="72" s="1"/>
  <c r="CL108" i="72" s="1"/>
  <c r="CX109" i="72" s="1"/>
  <c r="DJ110" i="72" s="1"/>
  <c r="DP93" i="72"/>
  <c r="DP95" i="72" s="1"/>
  <c r="DD95" i="72"/>
  <c r="CG90" i="72"/>
  <c r="BU95" i="72"/>
  <c r="DG93" i="72"/>
  <c r="DG95" i="72" s="1"/>
  <c r="CU95" i="72"/>
  <c r="BD88" i="72"/>
  <c r="AR95" i="72"/>
  <c r="BA88" i="72"/>
  <c r="AO95" i="72"/>
  <c r="AL95" i="72"/>
  <c r="AX87" i="72"/>
  <c r="CP91" i="72"/>
  <c r="CD95" i="72"/>
  <c r="CM91" i="72"/>
  <c r="CA95" i="72"/>
  <c r="DM93" i="72"/>
  <c r="DM95" i="72" s="1"/>
  <c r="DA95" i="72"/>
  <c r="DJ93" i="72"/>
  <c r="DJ95" i="72" s="1"/>
  <c r="CX95" i="72"/>
  <c r="BS89" i="72"/>
  <c r="BG95" i="72"/>
  <c r="BX95" i="72"/>
  <c r="CJ91" i="72"/>
  <c r="R13" i="72"/>
  <c r="R23" i="72" s="1"/>
  <c r="H50" i="74"/>
  <c r="H55" i="74" s="1"/>
  <c r="H51" i="87"/>
  <c r="H53" i="87" s="1"/>
  <c r="G69" i="86"/>
  <c r="G70" i="86" s="1"/>
  <c r="X11" i="72"/>
  <c r="X100" i="72" s="1"/>
  <c r="H63" i="87"/>
  <c r="Y66" i="72" s="1"/>
  <c r="H62" i="74"/>
  <c r="H62" i="88"/>
  <c r="I54" i="87"/>
  <c r="I64" i="87" s="1"/>
  <c r="H61" i="86"/>
  <c r="I57" i="86" s="1"/>
  <c r="I54" i="86" s="1"/>
  <c r="I64" i="86" s="1"/>
  <c r="H61" i="74"/>
  <c r="I57" i="74" s="1"/>
  <c r="I54" i="74" s="1"/>
  <c r="B19" i="80"/>
  <c r="E19" i="80" s="1"/>
  <c r="G69" i="87"/>
  <c r="G70" i="87" s="1"/>
  <c r="H50" i="86"/>
  <c r="H51" i="86" s="1"/>
  <c r="H53" i="86" s="1"/>
  <c r="H50" i="88"/>
  <c r="H63" i="88" s="1"/>
  <c r="AB67" i="72" s="1"/>
  <c r="H61" i="88"/>
  <c r="I57" i="88" s="1"/>
  <c r="I58" i="88" s="1"/>
  <c r="I59" i="88" s="1"/>
  <c r="I60" i="88" s="1"/>
  <c r="H65" i="87"/>
  <c r="Y11" i="72" s="1"/>
  <c r="Y100" i="72" s="1"/>
  <c r="I52" i="87"/>
  <c r="I50" i="87" s="1"/>
  <c r="I63" i="87" s="1"/>
  <c r="Z66" i="72" s="1"/>
  <c r="I67" i="87"/>
  <c r="I61" i="87"/>
  <c r="J57" i="87" s="1"/>
  <c r="I62" i="87"/>
  <c r="G69" i="88"/>
  <c r="R27" i="72"/>
  <c r="R31" i="72" s="1"/>
  <c r="G69" i="74"/>
  <c r="AD14" i="72" l="1"/>
  <c r="AP15" i="72" s="1"/>
  <c r="BB16" i="72" s="1"/>
  <c r="BN17" i="72" s="1"/>
  <c r="BZ18" i="72" s="1"/>
  <c r="CL19" i="72" s="1"/>
  <c r="CX20" i="72" s="1"/>
  <c r="DJ21" i="72" s="1"/>
  <c r="CV92" i="72"/>
  <c r="CJ95" i="72"/>
  <c r="CY92" i="72"/>
  <c r="CM95" i="72"/>
  <c r="BP89" i="72"/>
  <c r="BD95" i="72"/>
  <c r="CS91" i="72"/>
  <c r="CG95" i="72"/>
  <c r="BJ88" i="72"/>
  <c r="AX95" i="72"/>
  <c r="CE90" i="72"/>
  <c r="BS95" i="72"/>
  <c r="CP95" i="72"/>
  <c r="DB92" i="72"/>
  <c r="BM89" i="72"/>
  <c r="BA95" i="72"/>
  <c r="H63" i="74"/>
  <c r="S64" i="72" s="1"/>
  <c r="S68" i="72" s="1"/>
  <c r="AE69" i="72" s="1"/>
  <c r="AQ70" i="72" s="1"/>
  <c r="BC71" i="72" s="1"/>
  <c r="BO72" i="72" s="1"/>
  <c r="CA73" i="72" s="1"/>
  <c r="CM74" i="72" s="1"/>
  <c r="CY75" i="72" s="1"/>
  <c r="DK76" i="72" s="1"/>
  <c r="H51" i="74"/>
  <c r="H53" i="74" s="1"/>
  <c r="K16" i="80"/>
  <c r="R42" i="72"/>
  <c r="I58" i="74"/>
  <c r="I58" i="86"/>
  <c r="I59" i="86" s="1"/>
  <c r="H55" i="88"/>
  <c r="H65" i="88" s="1"/>
  <c r="I55" i="87"/>
  <c r="J49" i="87" s="1"/>
  <c r="H55" i="86"/>
  <c r="I49" i="86" s="1"/>
  <c r="H63" i="86"/>
  <c r="V65" i="72" s="1"/>
  <c r="H51" i="88"/>
  <c r="H53" i="88" s="1"/>
  <c r="I54" i="88"/>
  <c r="I64" i="88" s="1"/>
  <c r="H68" i="87"/>
  <c r="Y29" i="72" s="1"/>
  <c r="R5" i="44"/>
  <c r="J58" i="87"/>
  <c r="J59" i="87" s="1"/>
  <c r="J60" i="87" s="1"/>
  <c r="J54" i="87"/>
  <c r="G70" i="88"/>
  <c r="I52" i="88"/>
  <c r="I67" i="88"/>
  <c r="I51" i="87"/>
  <c r="G70" i="74"/>
  <c r="I64" i="74"/>
  <c r="H65" i="74"/>
  <c r="I49" i="74"/>
  <c r="AD32" i="72"/>
  <c r="AP33" i="72" s="1"/>
  <c r="BB34" i="72" s="1"/>
  <c r="BN35" i="72" s="1"/>
  <c r="BZ36" i="72" s="1"/>
  <c r="CL37" i="72" s="1"/>
  <c r="CX38" i="72" s="1"/>
  <c r="DJ39" i="72" s="1"/>
  <c r="S78" i="72" l="1"/>
  <c r="R28" i="60" s="1"/>
  <c r="B26" i="80"/>
  <c r="D67" i="96" s="1"/>
  <c r="D29" i="47" s="1"/>
  <c r="BY90" i="72"/>
  <c r="BM95" i="72"/>
  <c r="DN93" i="72"/>
  <c r="DN95" i="72" s="1"/>
  <c r="DB95" i="72"/>
  <c r="CQ91" i="72"/>
  <c r="CE95" i="72"/>
  <c r="DE92" i="72"/>
  <c r="CS95" i="72"/>
  <c r="DK93" i="72"/>
  <c r="DK95" i="72" s="1"/>
  <c r="CY95" i="72"/>
  <c r="BV89" i="72"/>
  <c r="BJ95" i="72"/>
  <c r="CB90" i="72"/>
  <c r="BP95" i="72"/>
  <c r="DH93" i="72"/>
  <c r="DH95" i="72" s="1"/>
  <c r="CV95" i="72"/>
  <c r="L16" i="80"/>
  <c r="I52" i="86"/>
  <c r="I50" i="86" s="1"/>
  <c r="I63" i="86" s="1"/>
  <c r="W65" i="72" s="1"/>
  <c r="I60" i="86"/>
  <c r="I61" i="86" s="1"/>
  <c r="J57" i="86" s="1"/>
  <c r="J54" i="86" s="1"/>
  <c r="J64" i="86" s="1"/>
  <c r="I59" i="74"/>
  <c r="I60" i="74" s="1"/>
  <c r="H65" i="86"/>
  <c r="I67" i="86"/>
  <c r="I62" i="86"/>
  <c r="I49" i="88"/>
  <c r="H69" i="87"/>
  <c r="H70" i="87" s="1"/>
  <c r="I65" i="87"/>
  <c r="Z11" i="72" s="1"/>
  <c r="Z100" i="72" s="1"/>
  <c r="S9" i="72"/>
  <c r="S98" i="72" s="1"/>
  <c r="S102" i="72" s="1"/>
  <c r="H68" i="74"/>
  <c r="AB12" i="72"/>
  <c r="AB101" i="72" s="1"/>
  <c r="H68" i="88"/>
  <c r="J64" i="87"/>
  <c r="I53" i="87"/>
  <c r="J52" i="87"/>
  <c r="J50" i="87" s="1"/>
  <c r="J63" i="87" s="1"/>
  <c r="AA66" i="72" s="1"/>
  <c r="J67" i="87"/>
  <c r="I62" i="74"/>
  <c r="R37" i="60"/>
  <c r="R6" i="44"/>
  <c r="J61" i="87"/>
  <c r="K57" i="87" s="1"/>
  <c r="J62" i="87"/>
  <c r="D28" i="47" l="1"/>
  <c r="P29" i="47"/>
  <c r="Q29" i="47"/>
  <c r="AI29" i="47"/>
  <c r="AB29" i="47"/>
  <c r="X29" i="47"/>
  <c r="Y29" i="47"/>
  <c r="AM29" i="47"/>
  <c r="AN29" i="47"/>
  <c r="AG29" i="47"/>
  <c r="AH29" i="47"/>
  <c r="AK29" i="47"/>
  <c r="AF29" i="47"/>
  <c r="U29" i="47"/>
  <c r="W29" i="47"/>
  <c r="AC29" i="47"/>
  <c r="AL29" i="47"/>
  <c r="Z29" i="47"/>
  <c r="AA29" i="47"/>
  <c r="R29" i="47"/>
  <c r="AE29" i="47"/>
  <c r="AO29" i="47"/>
  <c r="T29" i="47"/>
  <c r="S29" i="47"/>
  <c r="V29" i="47"/>
  <c r="AJ29" i="47"/>
  <c r="AD29" i="47"/>
  <c r="BA29" i="47"/>
  <c r="AQ29" i="47"/>
  <c r="AZ29" i="47"/>
  <c r="AX29" i="47"/>
  <c r="AR29" i="47"/>
  <c r="AW29" i="47"/>
  <c r="AP29" i="47"/>
  <c r="AT29" i="47"/>
  <c r="AY29" i="47"/>
  <c r="AV29" i="47"/>
  <c r="AS29" i="47"/>
  <c r="AU29" i="47"/>
  <c r="BH29" i="47"/>
  <c r="BB29" i="47"/>
  <c r="BL29" i="47"/>
  <c r="BJ29" i="47"/>
  <c r="BK29" i="47"/>
  <c r="BM29" i="47"/>
  <c r="BI29" i="47"/>
  <c r="BC29" i="47"/>
  <c r="BG29" i="47"/>
  <c r="BF29" i="47"/>
  <c r="BD29" i="47"/>
  <c r="BE29" i="47"/>
  <c r="BR29" i="47"/>
  <c r="BV29" i="47"/>
  <c r="BS29" i="47"/>
  <c r="BP29" i="47"/>
  <c r="BO29" i="47"/>
  <c r="BU29" i="47"/>
  <c r="BN29" i="47"/>
  <c r="BW29" i="47"/>
  <c r="BQ29" i="47"/>
  <c r="BT29" i="47"/>
  <c r="BY29" i="47"/>
  <c r="BX29" i="47"/>
  <c r="CD29" i="47"/>
  <c r="CF29" i="47"/>
  <c r="CI29" i="47"/>
  <c r="CC29" i="47"/>
  <c r="CG29" i="47"/>
  <c r="CE29" i="47"/>
  <c r="CK29" i="47"/>
  <c r="CB29" i="47"/>
  <c r="CH29" i="47"/>
  <c r="CJ29" i="47"/>
  <c r="CA29" i="47"/>
  <c r="BZ29" i="47"/>
  <c r="CO29" i="47"/>
  <c r="CT29" i="47"/>
  <c r="CR29" i="47"/>
  <c r="CW29" i="47"/>
  <c r="CU29" i="47"/>
  <c r="CV29" i="47"/>
  <c r="CP29" i="47"/>
  <c r="CQ29" i="47"/>
  <c r="CL29" i="47"/>
  <c r="CS29" i="47"/>
  <c r="CN29" i="47"/>
  <c r="CM29" i="47"/>
  <c r="DH29" i="47"/>
  <c r="DE29" i="47"/>
  <c r="CX29" i="47"/>
  <c r="CY29" i="47"/>
  <c r="DB29" i="47"/>
  <c r="DA29" i="47"/>
  <c r="DD29" i="47"/>
  <c r="DG29" i="47"/>
  <c r="CZ29" i="47"/>
  <c r="DI29" i="47"/>
  <c r="DC29" i="47"/>
  <c r="DF29" i="47"/>
  <c r="DP29" i="47"/>
  <c r="DN29" i="47"/>
  <c r="DM29" i="47"/>
  <c r="DR29" i="47"/>
  <c r="DL29" i="47"/>
  <c r="DS29" i="47"/>
  <c r="DU29" i="47"/>
  <c r="DO29" i="47"/>
  <c r="DQ29" i="47"/>
  <c r="DJ29" i="47"/>
  <c r="DT29" i="47"/>
  <c r="DK29" i="47"/>
  <c r="D74" i="96"/>
  <c r="F74" i="96" s="1"/>
  <c r="D73" i="96"/>
  <c r="F73" i="96" s="1"/>
  <c r="D69" i="96"/>
  <c r="F69" i="96" s="1"/>
  <c r="D77" i="96"/>
  <c r="F77" i="96" s="1"/>
  <c r="D72" i="96"/>
  <c r="F72" i="96" s="1"/>
  <c r="D75" i="96"/>
  <c r="F75" i="96" s="1"/>
  <c r="F67" i="96"/>
  <c r="D68" i="96"/>
  <c r="F68" i="96" s="1"/>
  <c r="S112" i="72"/>
  <c r="AE103" i="72"/>
  <c r="AQ104" i="72" s="1"/>
  <c r="BC105" i="72" s="1"/>
  <c r="BO106" i="72" s="1"/>
  <c r="CA107" i="72" s="1"/>
  <c r="CM108" i="72" s="1"/>
  <c r="CY109" i="72" s="1"/>
  <c r="DK110" i="72" s="1"/>
  <c r="D26" i="80"/>
  <c r="B27" i="80"/>
  <c r="CH90" i="72"/>
  <c r="BV95" i="72"/>
  <c r="DQ93" i="72"/>
  <c r="DQ95" i="72" s="1"/>
  <c r="DE95" i="72"/>
  <c r="CB95" i="72"/>
  <c r="CN91" i="72"/>
  <c r="DC92" i="72"/>
  <c r="CQ95" i="72"/>
  <c r="CK91" i="72"/>
  <c r="BY95" i="72"/>
  <c r="O16" i="80"/>
  <c r="M16" i="80"/>
  <c r="P16" i="80" s="1"/>
  <c r="R16" i="80" s="1"/>
  <c r="S13" i="72"/>
  <c r="S23" i="72" s="1"/>
  <c r="S5" i="44" s="1"/>
  <c r="I61" i="74"/>
  <c r="J57" i="74" s="1"/>
  <c r="I67" i="74"/>
  <c r="I52" i="74"/>
  <c r="I50" i="74" s="1"/>
  <c r="I55" i="74" s="1"/>
  <c r="Q21" i="60"/>
  <c r="I55" i="86"/>
  <c r="J49" i="86" s="1"/>
  <c r="I51" i="86"/>
  <c r="I53" i="86" s="1"/>
  <c r="V10" i="72"/>
  <c r="V99" i="72" s="1"/>
  <c r="H68" i="86"/>
  <c r="I61" i="88"/>
  <c r="J57" i="88" s="1"/>
  <c r="J58" i="88" s="1"/>
  <c r="J59" i="88" s="1"/>
  <c r="J60" i="88" s="1"/>
  <c r="J55" i="87"/>
  <c r="J65" i="87" s="1"/>
  <c r="J58" i="86"/>
  <c r="J59" i="86" s="1"/>
  <c r="I62" i="88"/>
  <c r="I50" i="88"/>
  <c r="I51" i="88" s="1"/>
  <c r="I68" i="87"/>
  <c r="Z29" i="72" s="1"/>
  <c r="AB30" i="72"/>
  <c r="H69" i="88"/>
  <c r="K58" i="87"/>
  <c r="K59" i="87" s="1"/>
  <c r="K60" i="87" s="1"/>
  <c r="K54" i="87"/>
  <c r="J51" i="87"/>
  <c r="S27" i="72"/>
  <c r="S31" i="72" s="1"/>
  <c r="S42" i="72" s="1"/>
  <c r="H69" i="74"/>
  <c r="F97" i="96" l="1"/>
  <c r="F10" i="85" s="1"/>
  <c r="N34" i="60"/>
  <c r="Q28" i="47"/>
  <c r="O33" i="60" s="1"/>
  <c r="P28" i="47"/>
  <c r="N33" i="60" s="1"/>
  <c r="N11" i="1" s="1"/>
  <c r="N26" i="1" s="1"/>
  <c r="Z34" i="60"/>
  <c r="T34" i="60"/>
  <c r="AL34" i="60"/>
  <c r="AF34" i="60"/>
  <c r="AR34" i="60"/>
  <c r="AX34" i="60"/>
  <c r="BD34" i="60"/>
  <c r="BJ34" i="60"/>
  <c r="BV34" i="60"/>
  <c r="BP34" i="60"/>
  <c r="CB34" i="60"/>
  <c r="CH34" i="60"/>
  <c r="CT34" i="60"/>
  <c r="CN34" i="60"/>
  <c r="CZ34" i="60"/>
  <c r="DF34" i="60"/>
  <c r="DL34" i="60"/>
  <c r="DR34" i="60"/>
  <c r="V28" i="47"/>
  <c r="T33" i="60" s="1"/>
  <c r="X28" i="47"/>
  <c r="V33" i="60" s="1"/>
  <c r="T28" i="47"/>
  <c r="R33" i="60" s="1"/>
  <c r="AK28" i="47"/>
  <c r="AI33" i="60" s="1"/>
  <c r="AH28" i="47"/>
  <c r="AF33" i="60" s="1"/>
  <c r="AN28" i="47"/>
  <c r="AL33" i="60" s="1"/>
  <c r="AB28" i="47"/>
  <c r="Z33" i="60" s="1"/>
  <c r="AA28" i="47"/>
  <c r="Y33" i="60" s="1"/>
  <c r="R28" i="47"/>
  <c r="P33" i="60" s="1"/>
  <c r="AO28" i="47"/>
  <c r="AM33" i="60" s="1"/>
  <c r="AI28" i="47"/>
  <c r="AG33" i="60" s="1"/>
  <c r="AF28" i="47"/>
  <c r="AD33" i="60" s="1"/>
  <c r="S28" i="47"/>
  <c r="Q33" i="60" s="1"/>
  <c r="Z28" i="47"/>
  <c r="X33" i="60" s="1"/>
  <c r="U28" i="47"/>
  <c r="S33" i="60" s="1"/>
  <c r="AD28" i="47"/>
  <c r="AB33" i="60" s="1"/>
  <c r="AE28" i="47"/>
  <c r="AC33" i="60" s="1"/>
  <c r="AJ28" i="47"/>
  <c r="AH33" i="60" s="1"/>
  <c r="Y28" i="47"/>
  <c r="W33" i="60" s="1"/>
  <c r="AC28" i="47"/>
  <c r="AA33" i="60" s="1"/>
  <c r="W28" i="47"/>
  <c r="U33" i="60" s="1"/>
  <c r="AG28" i="47"/>
  <c r="AE33" i="60" s="1"/>
  <c r="AL28" i="47"/>
  <c r="AJ33" i="60" s="1"/>
  <c r="AM28" i="47"/>
  <c r="AK33" i="60" s="1"/>
  <c r="AV28" i="47"/>
  <c r="AT33" i="60" s="1"/>
  <c r="AR28" i="47"/>
  <c r="AP33" i="60" s="1"/>
  <c r="AS28" i="47"/>
  <c r="AQ33" i="60" s="1"/>
  <c r="AX28" i="47"/>
  <c r="AV33" i="60" s="1"/>
  <c r="AY28" i="47"/>
  <c r="AW33" i="60" s="1"/>
  <c r="AQ28" i="47"/>
  <c r="AO33" i="60" s="1"/>
  <c r="AZ28" i="47"/>
  <c r="AX33" i="60" s="1"/>
  <c r="AU28" i="47"/>
  <c r="AS33" i="60" s="1"/>
  <c r="AW28" i="47"/>
  <c r="AU33" i="60" s="1"/>
  <c r="BA28" i="47"/>
  <c r="AY33" i="60" s="1"/>
  <c r="AP28" i="47"/>
  <c r="AN33" i="60" s="1"/>
  <c r="AT28" i="47"/>
  <c r="AR33" i="60" s="1"/>
  <c r="BE28" i="47"/>
  <c r="BC33" i="60" s="1"/>
  <c r="BC28" i="47"/>
  <c r="BA33" i="60" s="1"/>
  <c r="BK28" i="47"/>
  <c r="BI33" i="60" s="1"/>
  <c r="BM28" i="47"/>
  <c r="BK33" i="60" s="1"/>
  <c r="BI28" i="47"/>
  <c r="BG33" i="60" s="1"/>
  <c r="BG28" i="47"/>
  <c r="BE33" i="60" s="1"/>
  <c r="BF28" i="47"/>
  <c r="BD33" i="60" s="1"/>
  <c r="BD28" i="47"/>
  <c r="BB33" i="60" s="1"/>
  <c r="BH28" i="47"/>
  <c r="BF33" i="60" s="1"/>
  <c r="BL28" i="47"/>
  <c r="BJ33" i="60" s="1"/>
  <c r="BJ28" i="47"/>
  <c r="BH33" i="60" s="1"/>
  <c r="BB28" i="47"/>
  <c r="AZ33" i="60" s="1"/>
  <c r="BY28" i="47"/>
  <c r="BW33" i="60" s="1"/>
  <c r="BV28" i="47"/>
  <c r="BT33" i="60" s="1"/>
  <c r="BW28" i="47"/>
  <c r="BU33" i="60" s="1"/>
  <c r="BN28" i="47"/>
  <c r="BL33" i="60" s="1"/>
  <c r="BX28" i="47"/>
  <c r="BV33" i="60" s="1"/>
  <c r="BQ28" i="47"/>
  <c r="BO33" i="60" s="1"/>
  <c r="BR28" i="47"/>
  <c r="BP33" i="60" s="1"/>
  <c r="BO28" i="47"/>
  <c r="BM33" i="60" s="1"/>
  <c r="BU28" i="47"/>
  <c r="BS33" i="60" s="1"/>
  <c r="BP28" i="47"/>
  <c r="BN33" i="60" s="1"/>
  <c r="BT28" i="47"/>
  <c r="BR33" i="60" s="1"/>
  <c r="BS28" i="47"/>
  <c r="BQ33" i="60" s="1"/>
  <c r="CC28" i="47"/>
  <c r="CA33" i="60" s="1"/>
  <c r="CJ28" i="47"/>
  <c r="CH33" i="60" s="1"/>
  <c r="BZ28" i="47"/>
  <c r="BX33" i="60" s="1"/>
  <c r="CG28" i="47"/>
  <c r="CE33" i="60" s="1"/>
  <c r="CK28" i="47"/>
  <c r="CI33" i="60" s="1"/>
  <c r="CF28" i="47"/>
  <c r="CD33" i="60" s="1"/>
  <c r="CI28" i="47"/>
  <c r="CG33" i="60" s="1"/>
  <c r="CH28" i="47"/>
  <c r="CF33" i="60" s="1"/>
  <c r="CA28" i="47"/>
  <c r="BY33" i="60" s="1"/>
  <c r="CB28" i="47"/>
  <c r="BZ33" i="60" s="1"/>
  <c r="CD28" i="47"/>
  <c r="CB33" i="60" s="1"/>
  <c r="CE28" i="47"/>
  <c r="CC33" i="60" s="1"/>
  <c r="CP28" i="47"/>
  <c r="CN33" i="60" s="1"/>
  <c r="CL28" i="47"/>
  <c r="CJ33" i="60" s="1"/>
  <c r="CM28" i="47"/>
  <c r="CK33" i="60" s="1"/>
  <c r="CR28" i="47"/>
  <c r="CP33" i="60" s="1"/>
  <c r="CS28" i="47"/>
  <c r="CQ33" i="60" s="1"/>
  <c r="CO28" i="47"/>
  <c r="CM33" i="60" s="1"/>
  <c r="CN28" i="47"/>
  <c r="CL33" i="60" s="1"/>
  <c r="CQ28" i="47"/>
  <c r="CO33" i="60" s="1"/>
  <c r="CT28" i="47"/>
  <c r="CR33" i="60" s="1"/>
  <c r="CW28" i="47"/>
  <c r="CU33" i="60" s="1"/>
  <c r="CU28" i="47"/>
  <c r="CS33" i="60" s="1"/>
  <c r="CV28" i="47"/>
  <c r="CT33" i="60" s="1"/>
  <c r="DH28" i="47"/>
  <c r="DF33" i="60" s="1"/>
  <c r="DC28" i="47"/>
  <c r="DA33" i="60" s="1"/>
  <c r="DD28" i="47"/>
  <c r="DB33" i="60" s="1"/>
  <c r="DB28" i="47"/>
  <c r="CZ33" i="60" s="1"/>
  <c r="DA28" i="47"/>
  <c r="CY33" i="60" s="1"/>
  <c r="DF28" i="47"/>
  <c r="DD33" i="60" s="1"/>
  <c r="DI28" i="47"/>
  <c r="DG33" i="60" s="1"/>
  <c r="DE28" i="47"/>
  <c r="DC33" i="60" s="1"/>
  <c r="CX28" i="47"/>
  <c r="CV33" i="60" s="1"/>
  <c r="CY28" i="47"/>
  <c r="CW33" i="60" s="1"/>
  <c r="DG28" i="47"/>
  <c r="DE33" i="60" s="1"/>
  <c r="CZ28" i="47"/>
  <c r="CX33" i="60" s="1"/>
  <c r="DM28" i="47"/>
  <c r="DK33" i="60" s="1"/>
  <c r="DL28" i="47"/>
  <c r="DJ33" i="60" s="1"/>
  <c r="DJ28" i="47"/>
  <c r="DH33" i="60" s="1"/>
  <c r="DU28" i="47"/>
  <c r="DS33" i="60" s="1"/>
  <c r="DS28" i="47"/>
  <c r="DQ33" i="60" s="1"/>
  <c r="DR28" i="47"/>
  <c r="DP33" i="60" s="1"/>
  <c r="DO28" i="47"/>
  <c r="DM33" i="60" s="1"/>
  <c r="DN28" i="47"/>
  <c r="DL33" i="60" s="1"/>
  <c r="DQ28" i="47"/>
  <c r="DO33" i="60" s="1"/>
  <c r="DT28" i="47"/>
  <c r="DR33" i="60" s="1"/>
  <c r="DK28" i="47"/>
  <c r="DI33" i="60" s="1"/>
  <c r="DP28" i="47"/>
  <c r="DN33" i="60" s="1"/>
  <c r="G26" i="80"/>
  <c r="G27" i="80" s="1"/>
  <c r="E26" i="80"/>
  <c r="D27" i="80"/>
  <c r="DO93" i="72"/>
  <c r="DO95" i="72" s="1"/>
  <c r="DC95" i="72"/>
  <c r="CZ92" i="72"/>
  <c r="CN95" i="72"/>
  <c r="CK95" i="72"/>
  <c r="CW92" i="72"/>
  <c r="CT91" i="72"/>
  <c r="CH95" i="72"/>
  <c r="AE14" i="72"/>
  <c r="AQ15" i="72" s="1"/>
  <c r="BC16" i="72" s="1"/>
  <c r="BO17" i="72" s="1"/>
  <c r="CA18" i="72" s="1"/>
  <c r="CM19" i="72" s="1"/>
  <c r="CY20" i="72" s="1"/>
  <c r="DK21" i="72" s="1"/>
  <c r="Q16" i="80"/>
  <c r="J52" i="86"/>
  <c r="J50" i="86" s="1"/>
  <c r="J55" i="86" s="1"/>
  <c r="K49" i="86" s="1"/>
  <c r="J60" i="86"/>
  <c r="J61" i="86" s="1"/>
  <c r="K57" i="86" s="1"/>
  <c r="I65" i="74"/>
  <c r="T9" i="72" s="1"/>
  <c r="T98" i="72" s="1"/>
  <c r="T102" i="72" s="1"/>
  <c r="J54" i="74"/>
  <c r="J64" i="74" s="1"/>
  <c r="J58" i="74"/>
  <c r="J59" i="74" s="1"/>
  <c r="J60" i="74" s="1"/>
  <c r="I63" i="74"/>
  <c r="T64" i="72" s="1"/>
  <c r="T68" i="72" s="1"/>
  <c r="T78" i="72" s="1"/>
  <c r="S28" i="60" s="1"/>
  <c r="I51" i="74"/>
  <c r="I53" i="74" s="1"/>
  <c r="I65" i="86"/>
  <c r="I68" i="86" s="1"/>
  <c r="W28" i="72" s="1"/>
  <c r="J54" i="88"/>
  <c r="J64" i="88" s="1"/>
  <c r="J62" i="86"/>
  <c r="J67" i="86"/>
  <c r="V28" i="72"/>
  <c r="H69" i="86"/>
  <c r="H70" i="86" s="1"/>
  <c r="I55" i="88"/>
  <c r="I65" i="88" s="1"/>
  <c r="I63" i="88"/>
  <c r="AC67" i="72" s="1"/>
  <c r="K49" i="87"/>
  <c r="K62" i="87" s="1"/>
  <c r="I69" i="87"/>
  <c r="I70" i="87" s="1"/>
  <c r="J49" i="74"/>
  <c r="H70" i="74"/>
  <c r="AA11" i="72"/>
  <c r="AA100" i="72" s="1"/>
  <c r="J68" i="87"/>
  <c r="AA29" i="72" s="1"/>
  <c r="S6" i="44"/>
  <c r="R21" i="60" s="1"/>
  <c r="AE32" i="72"/>
  <c r="AQ33" i="72" s="1"/>
  <c r="BC34" i="72" s="1"/>
  <c r="BO35" i="72" s="1"/>
  <c r="CA36" i="72" s="1"/>
  <c r="CM37" i="72" s="1"/>
  <c r="CY38" i="72" s="1"/>
  <c r="DK39" i="72" s="1"/>
  <c r="J53" i="87"/>
  <c r="I53" i="88"/>
  <c r="J52" i="88"/>
  <c r="J67" i="88"/>
  <c r="K64" i="87"/>
  <c r="H70" i="88"/>
  <c r="K67" i="87"/>
  <c r="K52" i="87"/>
  <c r="N13" i="1" l="1"/>
  <c r="I68" i="74"/>
  <c r="T27" i="72" s="1"/>
  <c r="T31" i="72" s="1"/>
  <c r="T42" i="72" s="1"/>
  <c r="T6" i="44" s="1"/>
  <c r="S21" i="60" s="1"/>
  <c r="T112" i="72"/>
  <c r="AF103" i="72"/>
  <c r="AR104" i="72" s="1"/>
  <c r="BD105" i="72" s="1"/>
  <c r="BP106" i="72" s="1"/>
  <c r="CB107" i="72" s="1"/>
  <c r="CN108" i="72" s="1"/>
  <c r="CZ109" i="72" s="1"/>
  <c r="DL110" i="72" s="1"/>
  <c r="H26" i="80"/>
  <c r="H27" i="80" s="1"/>
  <c r="E27" i="80"/>
  <c r="DF92" i="72"/>
  <c r="CT95" i="72"/>
  <c r="DL93" i="72"/>
  <c r="DL95" i="72" s="1"/>
  <c r="CZ95" i="72"/>
  <c r="DI93" i="72"/>
  <c r="DI95" i="72" s="1"/>
  <c r="CW95" i="72"/>
  <c r="K61" i="87"/>
  <c r="L57" i="87" s="1"/>
  <c r="L54" i="87" s="1"/>
  <c r="T13" i="72"/>
  <c r="T23" i="72" s="1"/>
  <c r="T5" i="44" s="1"/>
  <c r="J51" i="86"/>
  <c r="J53" i="86" s="1"/>
  <c r="J63" i="86"/>
  <c r="X65" i="72" s="1"/>
  <c r="K54" i="86"/>
  <c r="K64" i="86" s="1"/>
  <c r="K58" i="86"/>
  <c r="K59" i="86" s="1"/>
  <c r="K60" i="86" s="1"/>
  <c r="K61" i="86" s="1"/>
  <c r="L57" i="86" s="1"/>
  <c r="AF69" i="72"/>
  <c r="AR70" i="72" s="1"/>
  <c r="BD71" i="72" s="1"/>
  <c r="BP72" i="72" s="1"/>
  <c r="CB73" i="72" s="1"/>
  <c r="CN74" i="72" s="1"/>
  <c r="CZ75" i="72" s="1"/>
  <c r="DL76" i="72" s="1"/>
  <c r="W10" i="72"/>
  <c r="W99" i="72" s="1"/>
  <c r="J67" i="74"/>
  <c r="J52" i="74"/>
  <c r="J50" i="74" s="1"/>
  <c r="I69" i="86"/>
  <c r="I70" i="86" s="1"/>
  <c r="K50" i="87"/>
  <c r="K55" i="87" s="1"/>
  <c r="AC12" i="72"/>
  <c r="AC101" i="72" s="1"/>
  <c r="I68" i="88"/>
  <c r="AC30" i="72" s="1"/>
  <c r="J49" i="88"/>
  <c r="J62" i="74"/>
  <c r="J61" i="74"/>
  <c r="K57" i="74" s="1"/>
  <c r="K58" i="74" s="1"/>
  <c r="K59" i="74" s="1"/>
  <c r="K60" i="74" s="1"/>
  <c r="J69" i="87"/>
  <c r="J70" i="87" s="1"/>
  <c r="J65" i="86"/>
  <c r="X10" i="72" s="1"/>
  <c r="X99" i="72" s="1"/>
  <c r="I69" i="74"/>
  <c r="N28" i="1"/>
  <c r="O11" i="1"/>
  <c r="S37" i="60"/>
  <c r="K62" i="86"/>
  <c r="L58" i="87" l="1"/>
  <c r="L59" i="87" s="1"/>
  <c r="L60" i="87" s="1"/>
  <c r="B79" i="80"/>
  <c r="B91" i="80"/>
  <c r="AF32" i="72"/>
  <c r="AR33" i="72" s="1"/>
  <c r="BD34" i="72" s="1"/>
  <c r="BP35" i="72" s="1"/>
  <c r="CB36" i="72" s="1"/>
  <c r="CN37" i="72" s="1"/>
  <c r="CZ38" i="72" s="1"/>
  <c r="DL39" i="72" s="1"/>
  <c r="AF14" i="72"/>
  <c r="AR15" i="72" s="1"/>
  <c r="BD16" i="72" s="1"/>
  <c r="BP17" i="72" s="1"/>
  <c r="CB18" i="72" s="1"/>
  <c r="CN19" i="72" s="1"/>
  <c r="CZ20" i="72" s="1"/>
  <c r="DL21" i="72" s="1"/>
  <c r="DR93" i="72"/>
  <c r="DR95" i="72" s="1"/>
  <c r="DF95" i="72"/>
  <c r="K67" i="86"/>
  <c r="K52" i="86"/>
  <c r="K50" i="86" s="1"/>
  <c r="K55" i="86" s="1"/>
  <c r="J55" i="74"/>
  <c r="J65" i="74" s="1"/>
  <c r="J63" i="74"/>
  <c r="U64" i="72" s="1"/>
  <c r="U68" i="72" s="1"/>
  <c r="AG69" i="72" s="1"/>
  <c r="AS70" i="72" s="1"/>
  <c r="BE71" i="72" s="1"/>
  <c r="BQ72" i="72" s="1"/>
  <c r="CC73" i="72" s="1"/>
  <c r="CO74" i="72" s="1"/>
  <c r="DA75" i="72" s="1"/>
  <c r="DM76" i="72" s="1"/>
  <c r="J51" i="74"/>
  <c r="J53" i="74" s="1"/>
  <c r="K52" i="74"/>
  <c r="K51" i="87"/>
  <c r="K53" i="87" s="1"/>
  <c r="K63" i="87"/>
  <c r="AB66" i="72" s="1"/>
  <c r="J68" i="86"/>
  <c r="J69" i="86" s="1"/>
  <c r="I69" i="88"/>
  <c r="I70" i="88" s="1"/>
  <c r="J61" i="88"/>
  <c r="K57" i="88" s="1"/>
  <c r="J62" i="88"/>
  <c r="J50" i="88"/>
  <c r="J55" i="88" s="1"/>
  <c r="K54" i="74"/>
  <c r="K64" i="74" s="1"/>
  <c r="P11" i="1"/>
  <c r="K65" i="87"/>
  <c r="L49" i="87"/>
  <c r="L64" i="87"/>
  <c r="L54" i="86"/>
  <c r="L58" i="86"/>
  <c r="L59" i="86" s="1"/>
  <c r="L60" i="86" s="1"/>
  <c r="I70" i="74"/>
  <c r="O13" i="1"/>
  <c r="O26" i="1"/>
  <c r="D9" i="20"/>
  <c r="D11" i="20" s="1"/>
  <c r="K67" i="74"/>
  <c r="L52" i="87" l="1"/>
  <c r="L50" i="87" s="1"/>
  <c r="L55" i="87" s="1"/>
  <c r="L67" i="87"/>
  <c r="K49" i="74"/>
  <c r="K62" i="74" s="1"/>
  <c r="U78" i="72"/>
  <c r="T28" i="60" s="1"/>
  <c r="K63" i="86"/>
  <c r="Y65" i="72" s="1"/>
  <c r="K51" i="86"/>
  <c r="K53" i="86" s="1"/>
  <c r="X28" i="72"/>
  <c r="J65" i="88"/>
  <c r="K49" i="88"/>
  <c r="J63" i="88"/>
  <c r="AD67" i="72" s="1"/>
  <c r="J51" i="88"/>
  <c r="J53" i="88" s="1"/>
  <c r="K54" i="88"/>
  <c r="K64" i="88" s="1"/>
  <c r="K58" i="88"/>
  <c r="K59" i="88" s="1"/>
  <c r="K60" i="88" s="1"/>
  <c r="L67" i="86"/>
  <c r="L52" i="86"/>
  <c r="U9" i="72"/>
  <c r="U98" i="72" s="1"/>
  <c r="U102" i="72" s="1"/>
  <c r="J68" i="74"/>
  <c r="L64" i="86"/>
  <c r="J70" i="86"/>
  <c r="L49" i="86"/>
  <c r="K65" i="86"/>
  <c r="L62" i="87"/>
  <c r="L61" i="87"/>
  <c r="M57" i="87" s="1"/>
  <c r="P26" i="1"/>
  <c r="P28" i="1" s="1"/>
  <c r="P13" i="1"/>
  <c r="O28" i="1"/>
  <c r="D27" i="20"/>
  <c r="D29" i="20" s="1"/>
  <c r="AB11" i="72"/>
  <c r="AB100" i="72" s="1"/>
  <c r="K68" i="87"/>
  <c r="K61" i="74" l="1"/>
  <c r="L57" i="74" s="1"/>
  <c r="L58" i="74" s="1"/>
  <c r="L59" i="74" s="1"/>
  <c r="L60" i="74" s="1"/>
  <c r="AG103" i="72"/>
  <c r="AS104" i="72" s="1"/>
  <c r="BE105" i="72" s="1"/>
  <c r="BQ106" i="72" s="1"/>
  <c r="CC107" i="72" s="1"/>
  <c r="CO108" i="72" s="1"/>
  <c r="DA109" i="72" s="1"/>
  <c r="DM110" i="72" s="1"/>
  <c r="U112" i="72"/>
  <c r="K50" i="74"/>
  <c r="K63" i="74" s="1"/>
  <c r="V64" i="72" s="1"/>
  <c r="V68" i="72" s="1"/>
  <c r="V78" i="72" s="1"/>
  <c r="U28" i="60" s="1"/>
  <c r="U13" i="72"/>
  <c r="U23" i="72" s="1"/>
  <c r="U5" i="44" s="1"/>
  <c r="K61" i="88"/>
  <c r="L57" i="88" s="1"/>
  <c r="L54" i="88" s="1"/>
  <c r="L64" i="88" s="1"/>
  <c r="K52" i="88"/>
  <c r="K50" i="88" s="1"/>
  <c r="K51" i="88" s="1"/>
  <c r="K53" i="88" s="1"/>
  <c r="K67" i="88"/>
  <c r="K62" i="88"/>
  <c r="AD12" i="72"/>
  <c r="AD101" i="72" s="1"/>
  <c r="J68" i="88"/>
  <c r="L63" i="87"/>
  <c r="AC66" i="72" s="1"/>
  <c r="L51" i="87"/>
  <c r="M54" i="87"/>
  <c r="M58" i="87"/>
  <c r="M59" i="87" s="1"/>
  <c r="M60" i="87" s="1"/>
  <c r="AB29" i="72"/>
  <c r="K69" i="87"/>
  <c r="Y10" i="72"/>
  <c r="Y99" i="72" s="1"/>
  <c r="K68" i="86"/>
  <c r="U27" i="72"/>
  <c r="U31" i="72" s="1"/>
  <c r="U42" i="72" s="1"/>
  <c r="J69" i="74"/>
  <c r="L50" i="86"/>
  <c r="L55" i="86" s="1"/>
  <c r="L61" i="86"/>
  <c r="M57" i="86" s="1"/>
  <c r="L62" i="86"/>
  <c r="L54" i="74" l="1"/>
  <c r="U37" i="60"/>
  <c r="AG14" i="72"/>
  <c r="AS15" i="72" s="1"/>
  <c r="BE16" i="72" s="1"/>
  <c r="BQ17" i="72" s="1"/>
  <c r="CC18" i="72" s="1"/>
  <c r="CO19" i="72" s="1"/>
  <c r="DA20" i="72" s="1"/>
  <c r="DM21" i="72" s="1"/>
  <c r="K51" i="74"/>
  <c r="K53" i="74" s="1"/>
  <c r="AH69" i="72"/>
  <c r="AT70" i="72" s="1"/>
  <c r="BF71" i="72" s="1"/>
  <c r="BR72" i="72" s="1"/>
  <c r="CD73" i="72" s="1"/>
  <c r="CP74" i="72" s="1"/>
  <c r="DB75" i="72" s="1"/>
  <c r="DN76" i="72" s="1"/>
  <c r="K55" i="74"/>
  <c r="L49" i="74" s="1"/>
  <c r="L61" i="74" s="1"/>
  <c r="M57" i="74" s="1"/>
  <c r="L58" i="88"/>
  <c r="L59" i="88" s="1"/>
  <c r="L67" i="88" s="1"/>
  <c r="L52" i="74"/>
  <c r="K63" i="88"/>
  <c r="AE67" i="72" s="1"/>
  <c r="K55" i="88"/>
  <c r="K65" i="88" s="1"/>
  <c r="AE12" i="72" s="1"/>
  <c r="AE101" i="72" s="1"/>
  <c r="J69" i="88"/>
  <c r="J70" i="88" s="1"/>
  <c r="AD30" i="72"/>
  <c r="L65" i="86"/>
  <c r="M54" i="86"/>
  <c r="M58" i="86"/>
  <c r="M59" i="86" s="1"/>
  <c r="M60" i="86" s="1"/>
  <c r="U6" i="44"/>
  <c r="T21" i="60" s="1"/>
  <c r="AG32" i="72"/>
  <c r="AS33" i="72" s="1"/>
  <c r="BE34" i="72" s="1"/>
  <c r="BQ35" i="72" s="1"/>
  <c r="CC36" i="72" s="1"/>
  <c r="CO37" i="72" s="1"/>
  <c r="DA38" i="72" s="1"/>
  <c r="DM39" i="72" s="1"/>
  <c r="Y28" i="72"/>
  <c r="K69" i="86"/>
  <c r="K70" i="87"/>
  <c r="L67" i="74"/>
  <c r="L62" i="74"/>
  <c r="L53" i="87"/>
  <c r="M64" i="87"/>
  <c r="L65" i="87"/>
  <c r="M49" i="87"/>
  <c r="L64" i="74"/>
  <c r="J70" i="74"/>
  <c r="L63" i="86"/>
  <c r="Z65" i="72" s="1"/>
  <c r="L51" i="86"/>
  <c r="M52" i="87"/>
  <c r="M67" i="87"/>
  <c r="L50" i="74" l="1"/>
  <c r="L55" i="74" s="1"/>
  <c r="M49" i="74" s="1"/>
  <c r="K65" i="74"/>
  <c r="V9" i="72" s="1"/>
  <c r="V98" i="72" s="1"/>
  <c r="V102" i="72" s="1"/>
  <c r="L52" i="88"/>
  <c r="L60" i="88"/>
  <c r="K68" i="88"/>
  <c r="K69" i="88" s="1"/>
  <c r="L49" i="88"/>
  <c r="M49" i="86"/>
  <c r="M52" i="86"/>
  <c r="M67" i="86"/>
  <c r="L53" i="86"/>
  <c r="M62" i="87"/>
  <c r="M61" i="87"/>
  <c r="N57" i="87" s="1"/>
  <c r="M50" i="87"/>
  <c r="M55" i="87" s="1"/>
  <c r="M64" i="86"/>
  <c r="AC11" i="72"/>
  <c r="AC100" i="72" s="1"/>
  <c r="L68" i="87"/>
  <c r="M54" i="74"/>
  <c r="M58" i="74"/>
  <c r="M59" i="74" s="1"/>
  <c r="M60" i="74" s="1"/>
  <c r="K70" i="86"/>
  <c r="Z10" i="72"/>
  <c r="Z99" i="72" s="1"/>
  <c r="L68" i="86"/>
  <c r="Z28" i="72" s="1"/>
  <c r="Q22" i="60"/>
  <c r="AE30" i="72" l="1"/>
  <c r="L63" i="74"/>
  <c r="W64" i="72" s="1"/>
  <c r="W68" i="72" s="1"/>
  <c r="AI69" i="72" s="1"/>
  <c r="AU70" i="72" s="1"/>
  <c r="BG71" i="72" s="1"/>
  <c r="BS72" i="72" s="1"/>
  <c r="CE73" i="72" s="1"/>
  <c r="CQ74" i="72" s="1"/>
  <c r="DC75" i="72" s="1"/>
  <c r="DO76" i="72" s="1"/>
  <c r="K68" i="74"/>
  <c r="V27" i="72" s="1"/>
  <c r="V31" i="72" s="1"/>
  <c r="V42" i="72" s="1"/>
  <c r="V6" i="44" s="1"/>
  <c r="AH103" i="72"/>
  <c r="AT104" i="72" s="1"/>
  <c r="BF105" i="72" s="1"/>
  <c r="BR106" i="72" s="1"/>
  <c r="CD107" i="72" s="1"/>
  <c r="CP108" i="72" s="1"/>
  <c r="DB109" i="72" s="1"/>
  <c r="DN110" i="72" s="1"/>
  <c r="V112" i="72"/>
  <c r="L51" i="74"/>
  <c r="L53" i="74" s="1"/>
  <c r="V13" i="72"/>
  <c r="V23" i="72" s="1"/>
  <c r="V5" i="44" s="1"/>
  <c r="L50" i="88"/>
  <c r="L51" i="88" s="1"/>
  <c r="L53" i="88" s="1"/>
  <c r="L61" i="88"/>
  <c r="M57" i="88" s="1"/>
  <c r="M58" i="88" s="1"/>
  <c r="M59" i="88" s="1"/>
  <c r="M52" i="74"/>
  <c r="M50" i="74" s="1"/>
  <c r="M63" i="74" s="1"/>
  <c r="X64" i="72" s="1"/>
  <c r="X68" i="72" s="1"/>
  <c r="AH32" i="72"/>
  <c r="AT33" i="72" s="1"/>
  <c r="BF34" i="72" s="1"/>
  <c r="BR35" i="72" s="1"/>
  <c r="CD36" i="72" s="1"/>
  <c r="CP37" i="72" s="1"/>
  <c r="DB38" i="72" s="1"/>
  <c r="DN39" i="72" s="1"/>
  <c r="L62" i="88"/>
  <c r="M62" i="86"/>
  <c r="L65" i="74"/>
  <c r="W9" i="72" s="1"/>
  <c r="W98" i="72" s="1"/>
  <c r="W102" i="72" s="1"/>
  <c r="M61" i="86"/>
  <c r="N57" i="86" s="1"/>
  <c r="N54" i="86" s="1"/>
  <c r="M50" i="86"/>
  <c r="M63" i="86" s="1"/>
  <c r="AA65" i="72" s="1"/>
  <c r="N49" i="87"/>
  <c r="M63" i="87"/>
  <c r="AD66" i="72" s="1"/>
  <c r="M51" i="87"/>
  <c r="AC29" i="72"/>
  <c r="L69" i="87"/>
  <c r="M67" i="74"/>
  <c r="N54" i="87"/>
  <c r="N58" i="87"/>
  <c r="N59" i="87" s="1"/>
  <c r="N60" i="87" s="1"/>
  <c r="K70" i="88"/>
  <c r="L69" i="86"/>
  <c r="M61" i="74"/>
  <c r="N57" i="74" s="1"/>
  <c r="M62" i="74"/>
  <c r="M64" i="74"/>
  <c r="W78" i="72" l="1"/>
  <c r="V28" i="60" s="1"/>
  <c r="L55" i="88"/>
  <c r="M49" i="88" s="1"/>
  <c r="K69" i="74"/>
  <c r="K70" i="74" s="1"/>
  <c r="AI103" i="72"/>
  <c r="AU104" i="72" s="1"/>
  <c r="BG105" i="72" s="1"/>
  <c r="BS106" i="72" s="1"/>
  <c r="CE107" i="72" s="1"/>
  <c r="CQ108" i="72" s="1"/>
  <c r="DC109" i="72" s="1"/>
  <c r="DO110" i="72" s="1"/>
  <c r="W112" i="72"/>
  <c r="AH14" i="72"/>
  <c r="AT15" i="72" s="1"/>
  <c r="BF16" i="72" s="1"/>
  <c r="BR17" i="72" s="1"/>
  <c r="CD18" i="72" s="1"/>
  <c r="CP19" i="72" s="1"/>
  <c r="DB20" i="72" s="1"/>
  <c r="DN21" i="72" s="1"/>
  <c r="L63" i="88"/>
  <c r="AF67" i="72" s="1"/>
  <c r="W13" i="72"/>
  <c r="W23" i="72" s="1"/>
  <c r="W5" i="44" s="1"/>
  <c r="M52" i="88"/>
  <c r="M60" i="88"/>
  <c r="M67" i="88"/>
  <c r="M54" i="88"/>
  <c r="M64" i="88" s="1"/>
  <c r="R22" i="60"/>
  <c r="U21" i="60"/>
  <c r="M55" i="86"/>
  <c r="L68" i="74"/>
  <c r="M55" i="74"/>
  <c r="M65" i="74" s="1"/>
  <c r="N58" i="86"/>
  <c r="N59" i="86" s="1"/>
  <c r="M65" i="87"/>
  <c r="AD11" i="72" s="1"/>
  <c r="AD100" i="72" s="1"/>
  <c r="M51" i="86"/>
  <c r="M53" i="86" s="1"/>
  <c r="M51" i="74"/>
  <c r="M53" i="74" s="1"/>
  <c r="L70" i="86"/>
  <c r="N64" i="87"/>
  <c r="L70" i="87"/>
  <c r="V37" i="60"/>
  <c r="N58" i="74"/>
  <c r="N59" i="74" s="1"/>
  <c r="N60" i="74" s="1"/>
  <c r="N54" i="74"/>
  <c r="N64" i="86"/>
  <c r="N52" i="87"/>
  <c r="N50" i="87" s="1"/>
  <c r="N63" i="87" s="1"/>
  <c r="AE66" i="72" s="1"/>
  <c r="N67" i="87"/>
  <c r="AJ69" i="72"/>
  <c r="AV70" i="72" s="1"/>
  <c r="BH71" i="72" s="1"/>
  <c r="BT72" i="72" s="1"/>
  <c r="CF73" i="72" s="1"/>
  <c r="CR74" i="72" s="1"/>
  <c r="DD75" i="72" s="1"/>
  <c r="DP76" i="72" s="1"/>
  <c r="X78" i="72"/>
  <c r="W28" i="60" s="1"/>
  <c r="M53" i="87"/>
  <c r="N62" i="87"/>
  <c r="N61" i="87"/>
  <c r="O57" i="87" s="1"/>
  <c r="L69" i="74" l="1"/>
  <c r="L65" i="88"/>
  <c r="AF12" i="72" s="1"/>
  <c r="AF101" i="72" s="1"/>
  <c r="M68" i="87"/>
  <c r="AD29" i="72" s="1"/>
  <c r="AI14" i="72"/>
  <c r="AU15" i="72" s="1"/>
  <c r="BG16" i="72" s="1"/>
  <c r="BS17" i="72" s="1"/>
  <c r="CE18" i="72" s="1"/>
  <c r="CQ19" i="72" s="1"/>
  <c r="DC20" i="72" s="1"/>
  <c r="DO21" i="72" s="1"/>
  <c r="N52" i="86"/>
  <c r="N60" i="86"/>
  <c r="N52" i="74"/>
  <c r="W27" i="72"/>
  <c r="W31" i="72" s="1"/>
  <c r="W42" i="72" s="1"/>
  <c r="M50" i="88"/>
  <c r="M55" i="88" s="1"/>
  <c r="N49" i="88" s="1"/>
  <c r="N55" i="87"/>
  <c r="O49" i="87" s="1"/>
  <c r="M61" i="88"/>
  <c r="N57" i="88" s="1"/>
  <c r="N54" i="88" s="1"/>
  <c r="N64" i="88" s="1"/>
  <c r="M62" i="88"/>
  <c r="N67" i="86"/>
  <c r="M65" i="86"/>
  <c r="N49" i="86"/>
  <c r="N51" i="87"/>
  <c r="N53" i="87" s="1"/>
  <c r="N49" i="74"/>
  <c r="N67" i="74"/>
  <c r="N64" i="74"/>
  <c r="X9" i="72"/>
  <c r="X98" i="72" s="1"/>
  <c r="X102" i="72" s="1"/>
  <c r="M68" i="74"/>
  <c r="X27" i="72" s="1"/>
  <c r="X31" i="72" s="1"/>
  <c r="X42" i="72" s="1"/>
  <c r="L70" i="74"/>
  <c r="O54" i="87"/>
  <c r="O58" i="87"/>
  <c r="O59" i="87" s="1"/>
  <c r="O60" i="87" s="1"/>
  <c r="L68" i="88" l="1"/>
  <c r="AF30" i="72" s="1"/>
  <c r="M69" i="87"/>
  <c r="AJ103" i="72"/>
  <c r="AV104" i="72" s="1"/>
  <c r="BH105" i="72" s="1"/>
  <c r="BT106" i="72" s="1"/>
  <c r="CF107" i="72" s="1"/>
  <c r="CR108" i="72" s="1"/>
  <c r="DD109" i="72" s="1"/>
  <c r="DP110" i="72" s="1"/>
  <c r="X112" i="72"/>
  <c r="X13" i="72"/>
  <c r="X23" i="72" s="1"/>
  <c r="X5" i="44" s="1"/>
  <c r="W6" i="44"/>
  <c r="AI32" i="72"/>
  <c r="AU33" i="72" s="1"/>
  <c r="BG34" i="72" s="1"/>
  <c r="BS35" i="72" s="1"/>
  <c r="CE36" i="72" s="1"/>
  <c r="CQ37" i="72" s="1"/>
  <c r="DC38" i="72" s="1"/>
  <c r="DO39" i="72" s="1"/>
  <c r="M63" i="88"/>
  <c r="AG67" i="72" s="1"/>
  <c r="M51" i="88"/>
  <c r="M53" i="88" s="1"/>
  <c r="N62" i="74"/>
  <c r="N62" i="88"/>
  <c r="N58" i="88"/>
  <c r="N59" i="88" s="1"/>
  <c r="M65" i="88"/>
  <c r="N61" i="74"/>
  <c r="O57" i="74" s="1"/>
  <c r="O58" i="74" s="1"/>
  <c r="O59" i="74" s="1"/>
  <c r="O60" i="74" s="1"/>
  <c r="N62" i="86"/>
  <c r="N61" i="86"/>
  <c r="O57" i="86" s="1"/>
  <c r="M68" i="86"/>
  <c r="AA10" i="72"/>
  <c r="AA99" i="72" s="1"/>
  <c r="N50" i="86"/>
  <c r="N55" i="86" s="1"/>
  <c r="N65" i="87"/>
  <c r="AE11" i="72" s="1"/>
  <c r="AE100" i="72" s="1"/>
  <c r="N50" i="74"/>
  <c r="N55" i="74" s="1"/>
  <c r="M69" i="74"/>
  <c r="M70" i="74" s="1"/>
  <c r="O64" i="87"/>
  <c r="X6" i="44"/>
  <c r="W21" i="60" s="1"/>
  <c r="AJ32" i="72"/>
  <c r="AV33" i="72" s="1"/>
  <c r="BH34" i="72" s="1"/>
  <c r="BT35" i="72" s="1"/>
  <c r="CF36" i="72" s="1"/>
  <c r="CR37" i="72" s="1"/>
  <c r="DD38" i="72" s="1"/>
  <c r="DP39" i="72" s="1"/>
  <c r="M70" i="87"/>
  <c r="O61" i="87"/>
  <c r="P57" i="87" s="1"/>
  <c r="O62" i="87"/>
  <c r="O67" i="87"/>
  <c r="O52" i="87"/>
  <c r="O50" i="87" s="1"/>
  <c r="O55" i="87" s="1"/>
  <c r="L69" i="88" l="1"/>
  <c r="L70" i="88" s="1"/>
  <c r="AJ14" i="72"/>
  <c r="AV15" i="72" s="1"/>
  <c r="BH16" i="72" s="1"/>
  <c r="BT17" i="72" s="1"/>
  <c r="CF18" i="72" s="1"/>
  <c r="CR19" i="72" s="1"/>
  <c r="DD20" i="72" s="1"/>
  <c r="DP21" i="72" s="1"/>
  <c r="N67" i="88"/>
  <c r="N60" i="88"/>
  <c r="N61" i="88" s="1"/>
  <c r="O57" i="88" s="1"/>
  <c r="O54" i="88" s="1"/>
  <c r="O64" i="88" s="1"/>
  <c r="O52" i="74"/>
  <c r="V21" i="60"/>
  <c r="S22" i="60"/>
  <c r="AG12" i="72"/>
  <c r="AG101" i="72" s="1"/>
  <c r="M68" i="88"/>
  <c r="N52" i="88"/>
  <c r="N50" i="88" s="1"/>
  <c r="N55" i="88" s="1"/>
  <c r="O54" i="74"/>
  <c r="O64" i="74" s="1"/>
  <c r="O49" i="74"/>
  <c r="N68" i="87"/>
  <c r="AE29" i="72" s="1"/>
  <c r="N51" i="74"/>
  <c r="N53" i="74" s="1"/>
  <c r="N63" i="74"/>
  <c r="Y64" i="72" s="1"/>
  <c r="Y68" i="72" s="1"/>
  <c r="Y78" i="72" s="1"/>
  <c r="X28" i="60" s="1"/>
  <c r="AA28" i="72"/>
  <c r="M69" i="86"/>
  <c r="M70" i="86" s="1"/>
  <c r="O58" i="86"/>
  <c r="O59" i="86" s="1"/>
  <c r="O60" i="86" s="1"/>
  <c r="O54" i="86"/>
  <c r="O64" i="86" s="1"/>
  <c r="N63" i="86"/>
  <c r="AB65" i="72" s="1"/>
  <c r="N51" i="86"/>
  <c r="N53" i="86" s="1"/>
  <c r="O65" i="87"/>
  <c r="O51" i="87"/>
  <c r="O63" i="87"/>
  <c r="AF66" i="72" s="1"/>
  <c r="O67" i="74"/>
  <c r="P58" i="87"/>
  <c r="P59" i="87" s="1"/>
  <c r="P60" i="87" s="1"/>
  <c r="P54" i="87"/>
  <c r="T22" i="60"/>
  <c r="O58" i="88" l="1"/>
  <c r="O59" i="88" s="1"/>
  <c r="O67" i="88" s="1"/>
  <c r="AG30" i="72"/>
  <c r="M69" i="88"/>
  <c r="M70" i="88" s="1"/>
  <c r="O61" i="74"/>
  <c r="P57" i="74" s="1"/>
  <c r="P58" i="74" s="1"/>
  <c r="P59" i="74" s="1"/>
  <c r="P60" i="74" s="1"/>
  <c r="O49" i="88"/>
  <c r="N65" i="88"/>
  <c r="AH12" i="72" s="1"/>
  <c r="AH101" i="72" s="1"/>
  <c r="N63" i="88"/>
  <c r="AH67" i="72" s="1"/>
  <c r="N51" i="88"/>
  <c r="N53" i="88" s="1"/>
  <c r="O50" i="74"/>
  <c r="O63" i="74" s="1"/>
  <c r="Z64" i="72" s="1"/>
  <c r="Z68" i="72" s="1"/>
  <c r="AL69" i="72" s="1"/>
  <c r="AX70" i="72" s="1"/>
  <c r="BJ71" i="72" s="1"/>
  <c r="BV72" i="72" s="1"/>
  <c r="CH73" i="72" s="1"/>
  <c r="CT74" i="72" s="1"/>
  <c r="DF75" i="72" s="1"/>
  <c r="DR76" i="72" s="1"/>
  <c r="N65" i="74"/>
  <c r="Y9" i="72" s="1"/>
  <c r="Y98" i="72" s="1"/>
  <c r="Y102" i="72" s="1"/>
  <c r="AK69" i="72"/>
  <c r="AW70" i="72" s="1"/>
  <c r="BI71" i="72" s="1"/>
  <c r="BU72" i="72" s="1"/>
  <c r="CG73" i="72" s="1"/>
  <c r="CS74" i="72" s="1"/>
  <c r="DE75" i="72" s="1"/>
  <c r="DQ76" i="72" s="1"/>
  <c r="N69" i="87"/>
  <c r="N70" i="87" s="1"/>
  <c r="O62" i="74"/>
  <c r="O67" i="86"/>
  <c r="O52" i="86"/>
  <c r="N65" i="86"/>
  <c r="O49" i="86"/>
  <c r="N68" i="74"/>
  <c r="Y27" i="72" s="1"/>
  <c r="Y31" i="72" s="1"/>
  <c r="Y42" i="72" s="1"/>
  <c r="P49" i="87"/>
  <c r="O53" i="87"/>
  <c r="P64" i="87"/>
  <c r="AF11" i="72"/>
  <c r="AF100" i="72" s="1"/>
  <c r="O68" i="87"/>
  <c r="AF29" i="72" s="1"/>
  <c r="P67" i="87"/>
  <c r="P52" i="87"/>
  <c r="AK103" i="72" l="1"/>
  <c r="AW104" i="72" s="1"/>
  <c r="BI105" i="72" s="1"/>
  <c r="BU106" i="72" s="1"/>
  <c r="CG107" i="72" s="1"/>
  <c r="CS108" i="72" s="1"/>
  <c r="DE109" i="72" s="1"/>
  <c r="DQ110" i="72" s="1"/>
  <c r="Y112" i="72"/>
  <c r="Y13" i="72"/>
  <c r="Y23" i="72" s="1"/>
  <c r="Y5" i="44" s="1"/>
  <c r="O52" i="88"/>
  <c r="O60" i="88"/>
  <c r="O61" i="88" s="1"/>
  <c r="P57" i="88" s="1"/>
  <c r="P58" i="88" s="1"/>
  <c r="P59" i="88" s="1"/>
  <c r="P60" i="88" s="1"/>
  <c r="P52" i="74"/>
  <c r="N68" i="88"/>
  <c r="N69" i="88" s="1"/>
  <c r="P62" i="87"/>
  <c r="P67" i="74"/>
  <c r="O55" i="74"/>
  <c r="P49" i="74" s="1"/>
  <c r="O62" i="88"/>
  <c r="O51" i="74"/>
  <c r="O53" i="74" s="1"/>
  <c r="O50" i="88"/>
  <c r="O55" i="88" s="1"/>
  <c r="Z78" i="72"/>
  <c r="Y28" i="60" s="1"/>
  <c r="P50" i="87"/>
  <c r="P51" i="87" s="1"/>
  <c r="P61" i="87"/>
  <c r="Q57" i="87" s="1"/>
  <c r="Q58" i="87" s="1"/>
  <c r="Q59" i="87" s="1"/>
  <c r="Q60" i="87" s="1"/>
  <c r="O50" i="86"/>
  <c r="O55" i="86" s="1"/>
  <c r="O61" i="86"/>
  <c r="P57" i="86" s="1"/>
  <c r="O62" i="86"/>
  <c r="N68" i="86"/>
  <c r="AB10" i="72"/>
  <c r="AB99" i="72" s="1"/>
  <c r="N69" i="74"/>
  <c r="N70" i="74" s="1"/>
  <c r="O69" i="87"/>
  <c r="O70" i="87" s="1"/>
  <c r="Y6" i="44"/>
  <c r="X21" i="60" s="1"/>
  <c r="AK32" i="72"/>
  <c r="AK14" i="72" l="1"/>
  <c r="AW15" i="72" s="1"/>
  <c r="P54" i="88"/>
  <c r="AH30" i="72"/>
  <c r="P55" i="87"/>
  <c r="P65" i="87" s="1"/>
  <c r="O51" i="88"/>
  <c r="O65" i="88"/>
  <c r="Y37" i="60"/>
  <c r="P50" i="74"/>
  <c r="P63" i="74" s="1"/>
  <c r="AA64" i="72" s="1"/>
  <c r="AA68" i="72" s="1"/>
  <c r="O63" i="88"/>
  <c r="AI67" i="72" s="1"/>
  <c r="P61" i="74"/>
  <c r="Q57" i="74" s="1"/>
  <c r="Q58" i="74" s="1"/>
  <c r="Q59" i="74" s="1"/>
  <c r="Q60" i="74" s="1"/>
  <c r="P62" i="74"/>
  <c r="P63" i="87"/>
  <c r="AG66" i="72" s="1"/>
  <c r="O65" i="74"/>
  <c r="O68" i="74" s="1"/>
  <c r="Z27" i="72" s="1"/>
  <c r="Z31" i="72" s="1"/>
  <c r="Z42" i="72" s="1"/>
  <c r="Q54" i="87"/>
  <c r="Q64" i="87" s="1"/>
  <c r="P54" i="86"/>
  <c r="P64" i="86" s="1"/>
  <c r="P58" i="86"/>
  <c r="P59" i="86" s="1"/>
  <c r="P60" i="86" s="1"/>
  <c r="AB28" i="72"/>
  <c r="N69" i="86"/>
  <c r="N70" i="86" s="1"/>
  <c r="O51" i="86"/>
  <c r="O53" i="86" s="1"/>
  <c r="O63" i="86"/>
  <c r="AC65" i="72" s="1"/>
  <c r="O53" i="88"/>
  <c r="P67" i="88"/>
  <c r="P52" i="88"/>
  <c r="P53" i="87"/>
  <c r="Q67" i="87"/>
  <c r="Q52" i="87"/>
  <c r="U22" i="60"/>
  <c r="P64" i="88"/>
  <c r="P54" i="74"/>
  <c r="N70" i="88"/>
  <c r="AW33" i="72"/>
  <c r="Q52" i="74" l="1"/>
  <c r="P51" i="74"/>
  <c r="P53" i="74" s="1"/>
  <c r="Z6" i="44"/>
  <c r="BI16" i="72"/>
  <c r="P55" i="74"/>
  <c r="P49" i="88"/>
  <c r="P50" i="88" s="1"/>
  <c r="P63" i="88" s="1"/>
  <c r="AJ67" i="72" s="1"/>
  <c r="AL32" i="72"/>
  <c r="Q49" i="87"/>
  <c r="Q61" i="87" s="1"/>
  <c r="R57" i="87" s="1"/>
  <c r="O69" i="74"/>
  <c r="O70" i="74" s="1"/>
  <c r="Z9" i="72"/>
  <c r="Z98" i="72" s="1"/>
  <c r="Z102" i="72" s="1"/>
  <c r="O65" i="86"/>
  <c r="P49" i="86"/>
  <c r="P52" i="86"/>
  <c r="P67" i="86"/>
  <c r="AI12" i="72"/>
  <c r="AI101" i="72" s="1"/>
  <c r="O68" i="88"/>
  <c r="P64" i="74"/>
  <c r="BI34" i="72"/>
  <c r="AM69" i="72"/>
  <c r="AY70" i="72" s="1"/>
  <c r="BK71" i="72" s="1"/>
  <c r="BW72" i="72" s="1"/>
  <c r="CI73" i="72" s="1"/>
  <c r="CU74" i="72" s="1"/>
  <c r="DG75" i="72" s="1"/>
  <c r="DS76" i="72" s="1"/>
  <c r="AA78" i="72"/>
  <c r="Z28" i="60" s="1"/>
  <c r="AG11" i="72"/>
  <c r="AG100" i="72" s="1"/>
  <c r="P68" i="87"/>
  <c r="Q67" i="74"/>
  <c r="AL103" i="72" l="1"/>
  <c r="AX104" i="72" s="1"/>
  <c r="BJ105" i="72" s="1"/>
  <c r="BV106" i="72" s="1"/>
  <c r="CH107" i="72" s="1"/>
  <c r="CT108" i="72" s="1"/>
  <c r="DF109" i="72" s="1"/>
  <c r="DR110" i="72" s="1"/>
  <c r="Z112" i="72"/>
  <c r="Z13" i="72"/>
  <c r="Z23" i="72" s="1"/>
  <c r="Z5" i="44" s="1"/>
  <c r="Y21" i="60"/>
  <c r="V22" i="60"/>
  <c r="BU17" i="72"/>
  <c r="AX33" i="72"/>
  <c r="P61" i="88"/>
  <c r="Q57" i="88" s="1"/>
  <c r="Q54" i="88" s="1"/>
  <c r="P62" i="88"/>
  <c r="P55" i="88"/>
  <c r="Q49" i="88" s="1"/>
  <c r="Q62" i="87"/>
  <c r="Q50" i="87"/>
  <c r="Q51" i="87" s="1"/>
  <c r="P51" i="88"/>
  <c r="P53" i="88" s="1"/>
  <c r="P50" i="86"/>
  <c r="P63" i="86" s="1"/>
  <c r="AD65" i="72" s="1"/>
  <c r="P62" i="86"/>
  <c r="P61" i="86"/>
  <c r="Q57" i="86" s="1"/>
  <c r="AC10" i="72"/>
  <c r="AC99" i="72" s="1"/>
  <c r="O68" i="86"/>
  <c r="Z37" i="60"/>
  <c r="P65" i="74"/>
  <c r="Q49" i="74"/>
  <c r="Q54" i="74" s="1"/>
  <c r="Q64" i="74" s="1"/>
  <c r="AG29" i="72"/>
  <c r="P69" i="87"/>
  <c r="R58" i="87"/>
  <c r="R59" i="87" s="1"/>
  <c r="R60" i="87" s="1"/>
  <c r="R54" i="87"/>
  <c r="AI30" i="72"/>
  <c r="O69" i="88"/>
  <c r="BU35" i="72"/>
  <c r="AL14" i="72" l="1"/>
  <c r="AX15" i="72" s="1"/>
  <c r="BJ34" i="72"/>
  <c r="BV35" i="72" s="1"/>
  <c r="CG18" i="72"/>
  <c r="Q63" i="87"/>
  <c r="AH66" i="72" s="1"/>
  <c r="Q55" i="87"/>
  <c r="R49" i="87" s="1"/>
  <c r="Q58" i="88"/>
  <c r="Q59" i="88" s="1"/>
  <c r="P55" i="86"/>
  <c r="P65" i="86" s="1"/>
  <c r="P51" i="86"/>
  <c r="P53" i="86" s="1"/>
  <c r="Q54" i="86"/>
  <c r="Q64" i="86" s="1"/>
  <c r="Q58" i="86"/>
  <c r="Q59" i="86" s="1"/>
  <c r="Q60" i="86" s="1"/>
  <c r="AC28" i="72"/>
  <c r="O69" i="86"/>
  <c r="O70" i="86" s="1"/>
  <c r="P65" i="88"/>
  <c r="AJ12" i="72" s="1"/>
  <c r="AJ101" i="72" s="1"/>
  <c r="P70" i="87"/>
  <c r="Q62" i="74"/>
  <c r="Q61" i="74"/>
  <c r="R57" i="74" s="1"/>
  <c r="R58" i="74" s="1"/>
  <c r="R59" i="74" s="1"/>
  <c r="R60" i="74" s="1"/>
  <c r="Q50" i="74"/>
  <c r="Q55" i="74" s="1"/>
  <c r="CG36" i="72"/>
  <c r="AA9" i="72"/>
  <c r="AA98" i="72" s="1"/>
  <c r="AA102" i="72" s="1"/>
  <c r="P68" i="74"/>
  <c r="R64" i="87"/>
  <c r="Q64" i="88"/>
  <c r="Q62" i="88"/>
  <c r="R67" i="87"/>
  <c r="R52" i="87"/>
  <c r="Q53" i="87"/>
  <c r="O70" i="88"/>
  <c r="AA112" i="72" l="1"/>
  <c r="AM103" i="72"/>
  <c r="AY104" i="72" s="1"/>
  <c r="BK105" i="72" s="1"/>
  <c r="BW106" i="72" s="1"/>
  <c r="CI107" i="72" s="1"/>
  <c r="CU108" i="72" s="1"/>
  <c r="DG109" i="72" s="1"/>
  <c r="DS110" i="72" s="1"/>
  <c r="AA13" i="72"/>
  <c r="AA23" i="72" s="1"/>
  <c r="AA5" i="44" s="1"/>
  <c r="Q67" i="88"/>
  <c r="Q60" i="88"/>
  <c r="Q61" i="88" s="1"/>
  <c r="R57" i="88" s="1"/>
  <c r="R58" i="88" s="1"/>
  <c r="R59" i="88" s="1"/>
  <c r="R60" i="88" s="1"/>
  <c r="R52" i="74"/>
  <c r="CS19" i="72"/>
  <c r="BJ16" i="72"/>
  <c r="P68" i="88"/>
  <c r="AJ30" i="72" s="1"/>
  <c r="Q52" i="88"/>
  <c r="Q50" i="88" s="1"/>
  <c r="Q55" i="88" s="1"/>
  <c r="R49" i="88" s="1"/>
  <c r="AD10" i="72"/>
  <c r="AD99" i="72" s="1"/>
  <c r="P68" i="86"/>
  <c r="P69" i="86" s="1"/>
  <c r="P70" i="86" s="1"/>
  <c r="R62" i="87"/>
  <c r="R61" i="87"/>
  <c r="S57" i="87" s="1"/>
  <c r="S58" i="87" s="1"/>
  <c r="S59" i="87" s="1"/>
  <c r="S60" i="87" s="1"/>
  <c r="R50" i="87"/>
  <c r="R63" i="87" s="1"/>
  <c r="AI66" i="72" s="1"/>
  <c r="Q65" i="87"/>
  <c r="AH11" i="72" s="1"/>
  <c r="AH100" i="72" s="1"/>
  <c r="Q49" i="86"/>
  <c r="Q67" i="86"/>
  <c r="Q52" i="86"/>
  <c r="Q65" i="74"/>
  <c r="R67" i="74"/>
  <c r="Q51" i="74"/>
  <c r="Q63" i="74"/>
  <c r="AB64" i="72" s="1"/>
  <c r="AB68" i="72" s="1"/>
  <c r="AA27" i="72"/>
  <c r="AA31" i="72" s="1"/>
  <c r="AA42" i="72" s="1"/>
  <c r="P69" i="74"/>
  <c r="CS37" i="72"/>
  <c r="CH36" i="72"/>
  <c r="R54" i="88" l="1"/>
  <c r="AM14" i="72"/>
  <c r="AY15" i="72" s="1"/>
  <c r="BV17" i="72"/>
  <c r="DE20" i="72"/>
  <c r="Q63" i="88"/>
  <c r="AK67" i="72" s="1"/>
  <c r="Q51" i="88"/>
  <c r="AD28" i="72"/>
  <c r="P69" i="88"/>
  <c r="P70" i="88" s="1"/>
  <c r="Q68" i="87"/>
  <c r="AH29" i="72" s="1"/>
  <c r="S54" i="87"/>
  <c r="S64" i="87" s="1"/>
  <c r="R55" i="87"/>
  <c r="R65" i="87" s="1"/>
  <c r="AI11" i="72" s="1"/>
  <c r="AI100" i="72" s="1"/>
  <c r="Q61" i="86"/>
  <c r="R57" i="86" s="1"/>
  <c r="R54" i="86" s="1"/>
  <c r="R64" i="86" s="1"/>
  <c r="R51" i="87"/>
  <c r="R53" i="87" s="1"/>
  <c r="Q50" i="86"/>
  <c r="Q51" i="86" s="1"/>
  <c r="Q53" i="86" s="1"/>
  <c r="Q62" i="86"/>
  <c r="Q65" i="88"/>
  <c r="AK12" i="72" s="1"/>
  <c r="AK101" i="72" s="1"/>
  <c r="R49" i="74"/>
  <c r="R52" i="88"/>
  <c r="R50" i="88" s="1"/>
  <c r="R63" i="88" s="1"/>
  <c r="AL67" i="72" s="1"/>
  <c r="R67" i="88"/>
  <c r="AA6" i="44"/>
  <c r="Z21" i="60" s="1"/>
  <c r="AM32" i="72"/>
  <c r="AN69" i="72"/>
  <c r="AZ70" i="72" s="1"/>
  <c r="BL71" i="72" s="1"/>
  <c r="BX72" i="72" s="1"/>
  <c r="CJ73" i="72" s="1"/>
  <c r="CV74" i="72" s="1"/>
  <c r="DH75" i="72" s="1"/>
  <c r="DT76" i="72" s="1"/>
  <c r="AB78" i="72"/>
  <c r="AA28" i="60" s="1"/>
  <c r="AB9" i="72"/>
  <c r="AB98" i="72" s="1"/>
  <c r="AB102" i="72" s="1"/>
  <c r="Q68" i="74"/>
  <c r="AB27" i="72" s="1"/>
  <c r="AB31" i="72" s="1"/>
  <c r="AB42" i="72" s="1"/>
  <c r="R61" i="88"/>
  <c r="S57" i="88" s="1"/>
  <c r="R62" i="88"/>
  <c r="Q53" i="88"/>
  <c r="R64" i="88"/>
  <c r="CT37" i="72"/>
  <c r="DE38" i="72"/>
  <c r="Q53" i="74"/>
  <c r="S52" i="87"/>
  <c r="S67" i="87"/>
  <c r="AN103" i="72" l="1"/>
  <c r="AZ104" i="72" s="1"/>
  <c r="BL105" i="72" s="1"/>
  <c r="BX106" i="72" s="1"/>
  <c r="CJ107" i="72" s="1"/>
  <c r="CV108" i="72" s="1"/>
  <c r="DH109" i="72" s="1"/>
  <c r="DT110" i="72" s="1"/>
  <c r="AB112" i="72"/>
  <c r="AB13" i="72"/>
  <c r="AB23" i="72" s="1"/>
  <c r="AB5" i="44" s="1"/>
  <c r="BK16" i="72"/>
  <c r="AY33" i="72"/>
  <c r="DQ21" i="72"/>
  <c r="CH18" i="72"/>
  <c r="Q69" i="87"/>
  <c r="Q70" i="87" s="1"/>
  <c r="R55" i="88"/>
  <c r="R68" i="87"/>
  <c r="AI29" i="72" s="1"/>
  <c r="R58" i="86"/>
  <c r="R59" i="86" s="1"/>
  <c r="Q55" i="86"/>
  <c r="Q63" i="86"/>
  <c r="AE65" i="72" s="1"/>
  <c r="S49" i="87"/>
  <c r="R62" i="74"/>
  <c r="R49" i="86"/>
  <c r="Q68" i="88"/>
  <c r="AK30" i="72" s="1"/>
  <c r="Q69" i="74"/>
  <c r="R61" i="74"/>
  <c r="S57" i="74" s="1"/>
  <c r="S58" i="74" s="1"/>
  <c r="S59" i="74" s="1"/>
  <c r="S60" i="74" s="1"/>
  <c r="R50" i="74"/>
  <c r="R51" i="74" s="1"/>
  <c r="R53" i="74" s="1"/>
  <c r="S49" i="88"/>
  <c r="R51" i="88"/>
  <c r="R53" i="88" s="1"/>
  <c r="AJ47" i="72"/>
  <c r="DQ39" i="72"/>
  <c r="R54" i="74"/>
  <c r="W22" i="60"/>
  <c r="DF38" i="72"/>
  <c r="S58" i="88"/>
  <c r="S59" i="88" s="1"/>
  <c r="S60" i="88" s="1"/>
  <c r="S54" i="88"/>
  <c r="AA37" i="60"/>
  <c r="AB6" i="44"/>
  <c r="AA21" i="60" s="1"/>
  <c r="AN32" i="72"/>
  <c r="AN14" i="72" l="1"/>
  <c r="AZ15" i="72" s="1"/>
  <c r="R67" i="86"/>
  <c r="R60" i="86"/>
  <c r="R61" i="86" s="1"/>
  <c r="S57" i="86" s="1"/>
  <c r="S58" i="86" s="1"/>
  <c r="S59" i="86" s="1"/>
  <c r="S52" i="74"/>
  <c r="CT19" i="72"/>
  <c r="BK34" i="72"/>
  <c r="BW17" i="72"/>
  <c r="R69" i="87"/>
  <c r="R70" i="87" s="1"/>
  <c r="S62" i="87"/>
  <c r="R52" i="86"/>
  <c r="R50" i="86" s="1"/>
  <c r="S61" i="87"/>
  <c r="T57" i="87" s="1"/>
  <c r="T58" i="87" s="1"/>
  <c r="T59" i="87" s="1"/>
  <c r="S50" i="87"/>
  <c r="S63" i="87" s="1"/>
  <c r="AJ66" i="72" s="1"/>
  <c r="R55" i="74"/>
  <c r="Q69" i="88"/>
  <c r="Q70" i="88" s="1"/>
  <c r="R62" i="86"/>
  <c r="Q65" i="86"/>
  <c r="AE10" i="72" s="1"/>
  <c r="AE99" i="72" s="1"/>
  <c r="R65" i="88"/>
  <c r="AL12" i="72" s="1"/>
  <c r="AL101" i="72" s="1"/>
  <c r="S67" i="74"/>
  <c r="R63" i="74"/>
  <c r="AC64" i="72" s="1"/>
  <c r="AC68" i="72" s="1"/>
  <c r="AC78" i="72" s="1"/>
  <c r="AB28" i="60" s="1"/>
  <c r="X22" i="60"/>
  <c r="S67" i="88"/>
  <c r="S52" i="88"/>
  <c r="S50" i="88" s="1"/>
  <c r="S55" i="88" s="1"/>
  <c r="R64" i="74"/>
  <c r="AZ33" i="72"/>
  <c r="S64" i="88"/>
  <c r="DR39" i="72"/>
  <c r="S62" i="88"/>
  <c r="S61" i="88"/>
  <c r="T57" i="88" s="1"/>
  <c r="T67" i="87" l="1"/>
  <c r="T60" i="87"/>
  <c r="S67" i="86"/>
  <c r="S60" i="86"/>
  <c r="CI18" i="72"/>
  <c r="BW35" i="72"/>
  <c r="BL16" i="72"/>
  <c r="DF20" i="72"/>
  <c r="S55" i="87"/>
  <c r="T49" i="87" s="1"/>
  <c r="T52" i="87"/>
  <c r="R63" i="86"/>
  <c r="AF65" i="72" s="1"/>
  <c r="R55" i="86"/>
  <c r="S49" i="86" s="1"/>
  <c r="Q68" i="86"/>
  <c r="AE28" i="72" s="1"/>
  <c r="S51" i="87"/>
  <c r="S53" i="87" s="1"/>
  <c r="S54" i="86"/>
  <c r="S64" i="86" s="1"/>
  <c r="AG46" i="72" s="1"/>
  <c r="S52" i="86"/>
  <c r="R51" i="86"/>
  <c r="R53" i="86" s="1"/>
  <c r="R68" i="88"/>
  <c r="R69" i="88" s="1"/>
  <c r="AO69" i="72"/>
  <c r="BA70" i="72" s="1"/>
  <c r="BM71" i="72" s="1"/>
  <c r="BY72" i="72" s="1"/>
  <c r="CK73" i="72" s="1"/>
  <c r="CW74" i="72" s="1"/>
  <c r="DI75" i="72" s="1"/>
  <c r="BL34" i="72"/>
  <c r="T58" i="88"/>
  <c r="T59" i="88" s="1"/>
  <c r="T60" i="88" s="1"/>
  <c r="T54" i="87"/>
  <c r="S63" i="88"/>
  <c r="AM67" i="72" s="1"/>
  <c r="S51" i="88"/>
  <c r="AB37" i="60"/>
  <c r="R65" i="74"/>
  <c r="S49" i="74"/>
  <c r="AM48" i="72"/>
  <c r="DR21" i="72" l="1"/>
  <c r="CI36" i="72"/>
  <c r="BX17" i="72"/>
  <c r="CU19" i="72"/>
  <c r="S65" i="87"/>
  <c r="AJ11" i="72" s="1"/>
  <c r="AJ100" i="72" s="1"/>
  <c r="Q69" i="86"/>
  <c r="Q70" i="86" s="1"/>
  <c r="T50" i="87"/>
  <c r="T55" i="87" s="1"/>
  <c r="U49" i="87" s="1"/>
  <c r="R65" i="86"/>
  <c r="T62" i="87"/>
  <c r="AL30" i="72"/>
  <c r="T61" i="87"/>
  <c r="U57" i="87" s="1"/>
  <c r="U58" i="87" s="1"/>
  <c r="U59" i="87" s="1"/>
  <c r="U60" i="87" s="1"/>
  <c r="S62" i="86"/>
  <c r="S61" i="86"/>
  <c r="T57" i="86" s="1"/>
  <c r="T58" i="86" s="1"/>
  <c r="T59" i="86" s="1"/>
  <c r="S50" i="86"/>
  <c r="S55" i="86" s="1"/>
  <c r="T52" i="88"/>
  <c r="T67" i="88"/>
  <c r="S53" i="88"/>
  <c r="T64" i="87"/>
  <c r="AK47" i="72" s="1"/>
  <c r="BX35" i="72"/>
  <c r="S50" i="74"/>
  <c r="S61" i="74"/>
  <c r="T57" i="74" s="1"/>
  <c r="S62" i="74"/>
  <c r="T49" i="88"/>
  <c r="S65" i="88"/>
  <c r="R70" i="88"/>
  <c r="AC9" i="72"/>
  <c r="AC98" i="72" s="1"/>
  <c r="AC102" i="72" s="1"/>
  <c r="R68" i="74"/>
  <c r="AO103" i="72" l="1"/>
  <c r="BA104" i="72" s="1"/>
  <c r="BM105" i="72" s="1"/>
  <c r="BY106" i="72" s="1"/>
  <c r="CK107" i="72" s="1"/>
  <c r="CW108" i="72" s="1"/>
  <c r="DI109" i="72" s="1"/>
  <c r="AC112" i="72"/>
  <c r="AC13" i="72"/>
  <c r="AC23" i="72" s="1"/>
  <c r="AC5" i="44" s="1"/>
  <c r="T52" i="86"/>
  <c r="T60" i="86"/>
  <c r="DG20" i="72"/>
  <c r="CU37" i="72"/>
  <c r="CJ18" i="72"/>
  <c r="S68" i="87"/>
  <c r="AJ29" i="72" s="1"/>
  <c r="T63" i="87"/>
  <c r="AK66" i="72" s="1"/>
  <c r="T51" i="87"/>
  <c r="T53" i="87" s="1"/>
  <c r="R68" i="86"/>
  <c r="AF10" i="72"/>
  <c r="AF99" i="72" s="1"/>
  <c r="T67" i="86"/>
  <c r="S65" i="86"/>
  <c r="AG10" i="72" s="1"/>
  <c r="AG99" i="72" s="1"/>
  <c r="T54" i="86"/>
  <c r="T64" i="86" s="1"/>
  <c r="AH46" i="72" s="1"/>
  <c r="S51" i="86"/>
  <c r="S53" i="86" s="1"/>
  <c r="S63" i="86"/>
  <c r="AG65" i="72" s="1"/>
  <c r="T49" i="86"/>
  <c r="T65" i="87"/>
  <c r="AK11" i="72" s="1"/>
  <c r="AK100" i="72" s="1"/>
  <c r="T58" i="74"/>
  <c r="T59" i="74" s="1"/>
  <c r="T60" i="74" s="1"/>
  <c r="CJ36" i="72"/>
  <c r="U52" i="87"/>
  <c r="U50" i="87" s="1"/>
  <c r="U67" i="87"/>
  <c r="T62" i="88"/>
  <c r="T61" i="88"/>
  <c r="U57" i="88" s="1"/>
  <c r="T50" i="88"/>
  <c r="T54" i="88"/>
  <c r="S54" i="74"/>
  <c r="S55" i="74" s="1"/>
  <c r="S63" i="74"/>
  <c r="AD64" i="72" s="1"/>
  <c r="AD68" i="72" s="1"/>
  <c r="S51" i="74"/>
  <c r="AC27" i="72"/>
  <c r="AC31" i="72" s="1"/>
  <c r="AC42" i="72" s="1"/>
  <c r="R69" i="74"/>
  <c r="AM12" i="72"/>
  <c r="AM101" i="72" s="1"/>
  <c r="S68" i="88"/>
  <c r="U61" i="87"/>
  <c r="V57" i="87" s="1"/>
  <c r="U62" i="87"/>
  <c r="AO14" i="72" l="1"/>
  <c r="BA15" i="72" s="1"/>
  <c r="T52" i="74"/>
  <c r="DG38" i="72"/>
  <c r="CV19" i="72"/>
  <c r="DS21" i="72"/>
  <c r="S69" i="87"/>
  <c r="T55" i="88"/>
  <c r="S68" i="86"/>
  <c r="AG28" i="72" s="1"/>
  <c r="T50" i="86"/>
  <c r="T63" i="86" s="1"/>
  <c r="AH65" i="72" s="1"/>
  <c r="AF28" i="72"/>
  <c r="R69" i="86"/>
  <c r="R70" i="86" s="1"/>
  <c r="T68" i="87"/>
  <c r="AK29" i="72" s="1"/>
  <c r="T61" i="86"/>
  <c r="U57" i="86" s="1"/>
  <c r="U58" i="86" s="1"/>
  <c r="U59" i="86" s="1"/>
  <c r="T62" i="86"/>
  <c r="U63" i="87"/>
  <c r="AL66" i="72" s="1"/>
  <c r="U54" i="87"/>
  <c r="U55" i="87" s="1"/>
  <c r="U51" i="87"/>
  <c r="S64" i="74"/>
  <c r="T64" i="88"/>
  <c r="AN48" i="72" s="1"/>
  <c r="CV37" i="72"/>
  <c r="V58" i="87"/>
  <c r="V59" i="87" s="1"/>
  <c r="V60" i="87" s="1"/>
  <c r="R70" i="74"/>
  <c r="S53" i="74"/>
  <c r="T63" i="88"/>
  <c r="AN67" i="72" s="1"/>
  <c r="T51" i="88"/>
  <c r="AM30" i="72"/>
  <c r="S69" i="88"/>
  <c r="AC6" i="44"/>
  <c r="AB21" i="60" s="1"/>
  <c r="AO32" i="72"/>
  <c r="AP69" i="72"/>
  <c r="BB70" i="72" s="1"/>
  <c r="BN71" i="72" s="1"/>
  <c r="BZ72" i="72" s="1"/>
  <c r="CL73" i="72" s="1"/>
  <c r="CX74" i="72" s="1"/>
  <c r="DJ75" i="72" s="1"/>
  <c r="AD78" i="72"/>
  <c r="AC28" i="60" s="1"/>
  <c r="U58" i="88"/>
  <c r="U59" i="88" s="1"/>
  <c r="U60" i="88" s="1"/>
  <c r="T67" i="74"/>
  <c r="U67" i="86" l="1"/>
  <c r="U60" i="86"/>
  <c r="P70" i="74"/>
  <c r="Q70" i="74"/>
  <c r="DS39" i="72"/>
  <c r="DH20" i="72"/>
  <c r="BM16" i="72"/>
  <c r="T55" i="86"/>
  <c r="T65" i="86" s="1"/>
  <c r="T68" i="86" s="1"/>
  <c r="T51" i="86"/>
  <c r="T53" i="86" s="1"/>
  <c r="S69" i="86"/>
  <c r="T69" i="87"/>
  <c r="U52" i="86"/>
  <c r="U54" i="86"/>
  <c r="U64" i="86" s="1"/>
  <c r="AI46" i="72" s="1"/>
  <c r="U67" i="88"/>
  <c r="U52" i="88"/>
  <c r="Y22" i="60"/>
  <c r="U64" i="87"/>
  <c r="T49" i="74"/>
  <c r="S65" i="74"/>
  <c r="AC37" i="60"/>
  <c r="T53" i="88"/>
  <c r="V52" i="87"/>
  <c r="V67" i="87"/>
  <c r="AD45" i="72"/>
  <c r="AD49" i="72" s="1"/>
  <c r="DH38" i="72"/>
  <c r="BA33" i="72"/>
  <c r="U49" i="88"/>
  <c r="T65" i="88"/>
  <c r="U53" i="87"/>
  <c r="DT21" i="72" l="1"/>
  <c r="BY17" i="72"/>
  <c r="U49" i="86"/>
  <c r="U62" i="86" s="1"/>
  <c r="AH10" i="72"/>
  <c r="AH99" i="72" s="1"/>
  <c r="AH28" i="72"/>
  <c r="T69" i="86"/>
  <c r="AL47" i="72"/>
  <c r="DT39" i="72"/>
  <c r="AN12" i="72"/>
  <c r="AN101" i="72" s="1"/>
  <c r="T68" i="88"/>
  <c r="BM34" i="72"/>
  <c r="U50" i="88"/>
  <c r="U62" i="88"/>
  <c r="U61" i="88"/>
  <c r="V57" i="88" s="1"/>
  <c r="U54" i="88"/>
  <c r="AD9" i="72"/>
  <c r="AD98" i="72" s="1"/>
  <c r="AD102" i="72" s="1"/>
  <c r="S68" i="74"/>
  <c r="V49" i="87"/>
  <c r="U65" i="87"/>
  <c r="AP50" i="72"/>
  <c r="BZ53" i="72"/>
  <c r="AD60" i="72"/>
  <c r="AD7" i="44" s="1"/>
  <c r="CL54" i="72"/>
  <c r="CX55" i="72"/>
  <c r="DJ56" i="72"/>
  <c r="BB51" i="72"/>
  <c r="BN52" i="72"/>
  <c r="T61" i="74"/>
  <c r="U57" i="74" s="1"/>
  <c r="U58" i="74" s="1"/>
  <c r="U59" i="74" s="1"/>
  <c r="U60" i="74" s="1"/>
  <c r="T62" i="74"/>
  <c r="T50" i="74"/>
  <c r="T54" i="74"/>
  <c r="AP103" i="72" l="1"/>
  <c r="BB104" i="72" s="1"/>
  <c r="BN105" i="72" s="1"/>
  <c r="BZ106" i="72" s="1"/>
  <c r="CL107" i="72" s="1"/>
  <c r="CX108" i="72" s="1"/>
  <c r="DJ109" i="72" s="1"/>
  <c r="AD112" i="72"/>
  <c r="AD13" i="72"/>
  <c r="AD23" i="72" s="1"/>
  <c r="AD5" i="44" s="1"/>
  <c r="U52" i="74"/>
  <c r="CK18" i="72"/>
  <c r="U50" i="86"/>
  <c r="U51" i="86" s="1"/>
  <c r="U53" i="86" s="1"/>
  <c r="U61" i="86"/>
  <c r="V57" i="86" s="1"/>
  <c r="V58" i="86" s="1"/>
  <c r="V59" i="86" s="1"/>
  <c r="U55" i="88"/>
  <c r="T55" i="74"/>
  <c r="T65" i="74" s="1"/>
  <c r="AE9" i="72" s="1"/>
  <c r="AE98" i="72" s="1"/>
  <c r="AE102" i="72" s="1"/>
  <c r="AL11" i="72"/>
  <c r="AL100" i="72" s="1"/>
  <c r="U68" i="87"/>
  <c r="T64" i="74"/>
  <c r="AD10" i="44"/>
  <c r="AD8" i="44"/>
  <c r="AD9" i="44"/>
  <c r="V62" i="87"/>
  <c r="V61" i="87"/>
  <c r="W57" i="87" s="1"/>
  <c r="U67" i="74"/>
  <c r="U64" i="88"/>
  <c r="U63" i="88"/>
  <c r="AO67" i="72" s="1"/>
  <c r="U51" i="88"/>
  <c r="AN30" i="72"/>
  <c r="T69" i="88"/>
  <c r="V50" i="87"/>
  <c r="T63" i="74"/>
  <c r="AE64" i="72" s="1"/>
  <c r="AE68" i="72" s="1"/>
  <c r="T51" i="74"/>
  <c r="AD27" i="72"/>
  <c r="AD31" i="72" s="1"/>
  <c r="AD42" i="72" s="1"/>
  <c r="S69" i="74"/>
  <c r="V58" i="88"/>
  <c r="V59" i="88" s="1"/>
  <c r="V60" i="88" s="1"/>
  <c r="BY35" i="72"/>
  <c r="AP14" i="72" l="1"/>
  <c r="BB15" i="72" s="1"/>
  <c r="AQ103" i="72"/>
  <c r="BC104" i="72" s="1"/>
  <c r="BO105" i="72" s="1"/>
  <c r="CA106" i="72" s="1"/>
  <c r="CM107" i="72" s="1"/>
  <c r="CY108" i="72" s="1"/>
  <c r="DK109" i="72" s="1"/>
  <c r="AE112" i="72"/>
  <c r="V67" i="86"/>
  <c r="V60" i="86"/>
  <c r="CW19" i="72"/>
  <c r="U63" i="86"/>
  <c r="AI65" i="72" s="1"/>
  <c r="V54" i="86"/>
  <c r="V64" i="86" s="1"/>
  <c r="AJ46" i="72" s="1"/>
  <c r="U55" i="86"/>
  <c r="V49" i="86" s="1"/>
  <c r="V52" i="86"/>
  <c r="U49" i="74"/>
  <c r="T68" i="74"/>
  <c r="AE27" i="72" s="1"/>
  <c r="AE31" i="72" s="1"/>
  <c r="AE42" i="72" s="1"/>
  <c r="U69" i="87"/>
  <c r="AL29" i="72"/>
  <c r="AD6" i="44"/>
  <c r="AC21" i="60" s="1"/>
  <c r="AP32" i="72"/>
  <c r="AQ69" i="72"/>
  <c r="BC70" i="72" s="1"/>
  <c r="BO71" i="72" s="1"/>
  <c r="CA72" i="72" s="1"/>
  <c r="CM73" i="72" s="1"/>
  <c r="CY74" i="72" s="1"/>
  <c r="DK75" i="72" s="1"/>
  <c r="AE78" i="72"/>
  <c r="AD28" i="60" s="1"/>
  <c r="W58" i="87"/>
  <c r="W59" i="87" s="1"/>
  <c r="W60" i="87" s="1"/>
  <c r="AD21" i="44"/>
  <c r="AE45" i="72"/>
  <c r="AE49" i="72" s="1"/>
  <c r="AO48" i="72"/>
  <c r="V52" i="88"/>
  <c r="V67" i="88"/>
  <c r="V49" i="88"/>
  <c r="U65" i="88"/>
  <c r="CK36" i="72"/>
  <c r="T53" i="74"/>
  <c r="V63" i="87"/>
  <c r="AM66" i="72" s="1"/>
  <c r="V51" i="87"/>
  <c r="U53" i="88"/>
  <c r="V54" i="87"/>
  <c r="V55" i="87" s="1"/>
  <c r="AE13" i="72"/>
  <c r="AE23" i="72" s="1"/>
  <c r="AE6" i="44" l="1"/>
  <c r="DI20" i="72"/>
  <c r="BN16" i="72"/>
  <c r="U65" i="86"/>
  <c r="AI10" i="72" s="1"/>
  <c r="AI99" i="72" s="1"/>
  <c r="V61" i="86"/>
  <c r="W57" i="86" s="1"/>
  <c r="W58" i="86" s="1"/>
  <c r="W59" i="86" s="1"/>
  <c r="U61" i="74"/>
  <c r="V57" i="74" s="1"/>
  <c r="V58" i="74" s="1"/>
  <c r="V59" i="74" s="1"/>
  <c r="V60" i="74" s="1"/>
  <c r="V50" i="86"/>
  <c r="V51" i="86" s="1"/>
  <c r="V53" i="86" s="1"/>
  <c r="V62" i="86"/>
  <c r="U50" i="74"/>
  <c r="U51" i="74" s="1"/>
  <c r="U53" i="74" s="1"/>
  <c r="T69" i="74"/>
  <c r="U62" i="74"/>
  <c r="AQ32" i="72"/>
  <c r="V50" i="88"/>
  <c r="V63" i="88" s="1"/>
  <c r="AP67" i="72" s="1"/>
  <c r="AO12" i="72"/>
  <c r="AO101" i="72" s="1"/>
  <c r="U68" i="88"/>
  <c r="AD22" i="44"/>
  <c r="AD9" i="16" s="1"/>
  <c r="AC9" i="29" s="1"/>
  <c r="AC10" i="1" s="1"/>
  <c r="CW37" i="72"/>
  <c r="AQ14" i="72"/>
  <c r="AE5" i="44"/>
  <c r="V53" i="87"/>
  <c r="V64" i="87"/>
  <c r="V61" i="88"/>
  <c r="W57" i="88" s="1"/>
  <c r="W58" i="88" s="1"/>
  <c r="W59" i="88" s="1"/>
  <c r="W60" i="88" s="1"/>
  <c r="V62" i="88"/>
  <c r="V54" i="88"/>
  <c r="BB33" i="72"/>
  <c r="W67" i="87"/>
  <c r="W52" i="87"/>
  <c r="Z22" i="60"/>
  <c r="U54" i="74"/>
  <c r="AQ50" i="72"/>
  <c r="CA53" i="72"/>
  <c r="BO52" i="72"/>
  <c r="CY55" i="72"/>
  <c r="BC51" i="72"/>
  <c r="DK56" i="72"/>
  <c r="AE60" i="72"/>
  <c r="AE7" i="44" s="1"/>
  <c r="CM54" i="72"/>
  <c r="AD37" i="60"/>
  <c r="W67" i="86" l="1"/>
  <c r="W60" i="86"/>
  <c r="V52" i="74"/>
  <c r="AD21" i="60"/>
  <c r="AA22" i="60"/>
  <c r="BC33" i="72"/>
  <c r="BC15" i="72"/>
  <c r="BZ17" i="72"/>
  <c r="U68" i="86"/>
  <c r="AI28" i="72" s="1"/>
  <c r="V55" i="88"/>
  <c r="W52" i="86"/>
  <c r="V55" i="86"/>
  <c r="V65" i="86" s="1"/>
  <c r="AJ10" i="72" s="1"/>
  <c r="AJ99" i="72" s="1"/>
  <c r="V67" i="74"/>
  <c r="U55" i="74"/>
  <c r="V63" i="86"/>
  <c r="AJ65" i="72" s="1"/>
  <c r="U63" i="74"/>
  <c r="AF64" i="72" s="1"/>
  <c r="AF68" i="72" s="1"/>
  <c r="AF78" i="72" s="1"/>
  <c r="AE28" i="60" s="1"/>
  <c r="V51" i="88"/>
  <c r="V53" i="88" s="1"/>
  <c r="AO30" i="72"/>
  <c r="U69" i="88"/>
  <c r="AE9" i="44"/>
  <c r="AE10" i="44"/>
  <c r="AE8" i="44"/>
  <c r="U64" i="74"/>
  <c r="W67" i="88"/>
  <c r="W52" i="88"/>
  <c r="DI38" i="72"/>
  <c r="V64" i="88"/>
  <c r="W49" i="87"/>
  <c r="V65" i="87"/>
  <c r="BN34" i="72"/>
  <c r="AD23" i="44"/>
  <c r="AE20" i="44" s="1"/>
  <c r="BO34" i="72" l="1"/>
  <c r="CA35" i="72" s="1"/>
  <c r="CL18" i="72"/>
  <c r="BO16" i="72"/>
  <c r="U69" i="86"/>
  <c r="V68" i="86"/>
  <c r="AR69" i="72"/>
  <c r="BD70" i="72" s="1"/>
  <c r="BP71" i="72" s="1"/>
  <c r="CB72" i="72" s="1"/>
  <c r="CN73" i="72" s="1"/>
  <c r="CZ74" i="72" s="1"/>
  <c r="DL75" i="72" s="1"/>
  <c r="W49" i="86"/>
  <c r="U65" i="74"/>
  <c r="V49" i="74"/>
  <c r="AE21" i="44"/>
  <c r="W49" i="88"/>
  <c r="V65" i="88"/>
  <c r="AP48" i="72"/>
  <c r="BZ35" i="72"/>
  <c r="AM11" i="72"/>
  <c r="AM100" i="72" s="1"/>
  <c r="V68" i="87"/>
  <c r="AF45" i="72"/>
  <c r="AF49" i="72" s="1"/>
  <c r="AE37" i="60"/>
  <c r="W50" i="87"/>
  <c r="W62" i="87"/>
  <c r="W61" i="87"/>
  <c r="X57" i="87" s="1"/>
  <c r="X58" i="87" s="1"/>
  <c r="X59" i="87" s="1"/>
  <c r="X60" i="87" s="1"/>
  <c r="W54" i="87"/>
  <c r="CA17" i="72" l="1"/>
  <c r="CX19" i="72"/>
  <c r="V69" i="86"/>
  <c r="V70" i="86" s="1"/>
  <c r="W55" i="87"/>
  <c r="W54" i="86"/>
  <c r="W64" i="86" s="1"/>
  <c r="AK46" i="72" s="1"/>
  <c r="AJ28" i="72"/>
  <c r="W50" i="86"/>
  <c r="W63" i="86" s="1"/>
  <c r="AK65" i="72" s="1"/>
  <c r="W62" i="86"/>
  <c r="W61" i="86"/>
  <c r="X57" i="86" s="1"/>
  <c r="X58" i="86" s="1"/>
  <c r="X59" i="86" s="1"/>
  <c r="AF9" i="72"/>
  <c r="AF98" i="72" s="1"/>
  <c r="AF102" i="72" s="1"/>
  <c r="U68" i="74"/>
  <c r="AE22" i="44"/>
  <c r="AE23" i="44" s="1"/>
  <c r="AF20" i="44" s="1"/>
  <c r="CL36" i="72"/>
  <c r="CM36" i="72"/>
  <c r="W64" i="87"/>
  <c r="W63" i="87"/>
  <c r="AN66" i="72" s="1"/>
  <c r="W51" i="87"/>
  <c r="AP12" i="72"/>
  <c r="AP101" i="72" s="1"/>
  <c r="V68" i="88"/>
  <c r="AM29" i="72"/>
  <c r="V69" i="87"/>
  <c r="W62" i="88"/>
  <c r="W61" i="88"/>
  <c r="X57" i="88" s="1"/>
  <c r="X58" i="88" s="1"/>
  <c r="X59" i="88" s="1"/>
  <c r="X60" i="88" s="1"/>
  <c r="W50" i="88"/>
  <c r="V50" i="74"/>
  <c r="V54" i="74" s="1"/>
  <c r="V61" i="74"/>
  <c r="W57" i="74" s="1"/>
  <c r="W58" i="74" s="1"/>
  <c r="W59" i="74" s="1"/>
  <c r="W60" i="74" s="1"/>
  <c r="V62" i="74"/>
  <c r="X52" i="87"/>
  <c r="X67" i="87"/>
  <c r="CB53" i="72"/>
  <c r="AR50" i="72"/>
  <c r="CZ55" i="72"/>
  <c r="CN54" i="72"/>
  <c r="BP52" i="72"/>
  <c r="BD51" i="72"/>
  <c r="AF60" i="72"/>
  <c r="AF7" i="44" s="1"/>
  <c r="DL56" i="72"/>
  <c r="AR103" i="72" l="1"/>
  <c r="BD104" i="72" s="1"/>
  <c r="BP105" i="72" s="1"/>
  <c r="CB106" i="72" s="1"/>
  <c r="CN107" i="72" s="1"/>
  <c r="CZ108" i="72" s="1"/>
  <c r="DL109" i="72" s="1"/>
  <c r="AF112" i="72"/>
  <c r="AF13" i="72"/>
  <c r="AF23" i="72" s="1"/>
  <c r="AF5" i="44" s="1"/>
  <c r="X67" i="86"/>
  <c r="X60" i="86"/>
  <c r="W52" i="74"/>
  <c r="DJ20" i="72"/>
  <c r="CM18" i="72"/>
  <c r="W55" i="86"/>
  <c r="X49" i="86" s="1"/>
  <c r="V55" i="74"/>
  <c r="V65" i="74" s="1"/>
  <c r="AG9" i="72" s="1"/>
  <c r="AG98" i="72" s="1"/>
  <c r="AG102" i="72" s="1"/>
  <c r="W51" i="86"/>
  <c r="W53" i="86" s="1"/>
  <c r="X52" i="86"/>
  <c r="AE9" i="16"/>
  <c r="AF29" i="16" s="1"/>
  <c r="AF27" i="72"/>
  <c r="AF31" i="72" s="1"/>
  <c r="AF42" i="72" s="1"/>
  <c r="U69" i="74"/>
  <c r="AD9" i="29"/>
  <c r="AD10" i="1" s="1"/>
  <c r="X52" i="88"/>
  <c r="X67" i="88"/>
  <c r="V70" i="87"/>
  <c r="AP30" i="72"/>
  <c r="V69" i="88"/>
  <c r="V64" i="74"/>
  <c r="AN47" i="72"/>
  <c r="W67" i="74"/>
  <c r="X49" i="87"/>
  <c r="W65" i="87"/>
  <c r="W53" i="87"/>
  <c r="CY37" i="72"/>
  <c r="CX37" i="72"/>
  <c r="AF10" i="44"/>
  <c r="AF8" i="44"/>
  <c r="AF9" i="44"/>
  <c r="V63" i="74"/>
  <c r="AG64" i="72" s="1"/>
  <c r="AG68" i="72" s="1"/>
  <c r="V51" i="74"/>
  <c r="W54" i="88"/>
  <c r="W55" i="88" s="1"/>
  <c r="W63" i="88"/>
  <c r="AQ67" i="72" s="1"/>
  <c r="W51" i="88"/>
  <c r="AE25" i="1" l="1"/>
  <c r="AE8" i="1"/>
  <c r="AS103" i="72"/>
  <c r="BE104" i="72" s="1"/>
  <c r="BQ105" i="72" s="1"/>
  <c r="CC106" i="72" s="1"/>
  <c r="CO107" i="72" s="1"/>
  <c r="DA108" i="72" s="1"/>
  <c r="DM109" i="72" s="1"/>
  <c r="AG112" i="72"/>
  <c r="AR14" i="72"/>
  <c r="BD15" i="72" s="1"/>
  <c r="CY19" i="72"/>
  <c r="X62" i="86"/>
  <c r="X50" i="86"/>
  <c r="X51" i="86" s="1"/>
  <c r="X53" i="86" s="1"/>
  <c r="X61" i="86"/>
  <c r="Y57" i="86" s="1"/>
  <c r="Y58" i="86" s="1"/>
  <c r="Y59" i="86" s="1"/>
  <c r="Y60" i="86" s="1"/>
  <c r="W65" i="86"/>
  <c r="W49" i="74"/>
  <c r="W54" i="74" s="1"/>
  <c r="V68" i="74"/>
  <c r="AG27" i="72" s="1"/>
  <c r="AG31" i="72" s="1"/>
  <c r="AG42" i="72" s="1"/>
  <c r="AF6" i="44"/>
  <c r="AE21" i="60" s="1"/>
  <c r="AR32" i="72"/>
  <c r="V53" i="74"/>
  <c r="AF21" i="44"/>
  <c r="DK38" i="72"/>
  <c r="AN11" i="72"/>
  <c r="AN100" i="72" s="1"/>
  <c r="W68" i="87"/>
  <c r="W53" i="88"/>
  <c r="AS69" i="72"/>
  <c r="BE70" i="72" s="1"/>
  <c r="BQ71" i="72" s="1"/>
  <c r="CC72" i="72" s="1"/>
  <c r="CO73" i="72" s="1"/>
  <c r="DA74" i="72" s="1"/>
  <c r="DM75" i="72" s="1"/>
  <c r="AG78" i="72"/>
  <c r="AF28" i="60" s="1"/>
  <c r="X61" i="87"/>
  <c r="Y57" i="87" s="1"/>
  <c r="X50" i="87"/>
  <c r="X62" i="87"/>
  <c r="AG45" i="72"/>
  <c r="AG49" i="72" s="1"/>
  <c r="AG13" i="72"/>
  <c r="AG23" i="72" s="1"/>
  <c r="X54" i="86"/>
  <c r="DJ38" i="72"/>
  <c r="W64" i="88"/>
  <c r="V70" i="88"/>
  <c r="DK20" i="72" l="1"/>
  <c r="BD33" i="72"/>
  <c r="BP16" i="72"/>
  <c r="X55" i="86"/>
  <c r="AK10" i="72"/>
  <c r="AK99" i="72" s="1"/>
  <c r="W68" i="86"/>
  <c r="W50" i="74"/>
  <c r="W55" i="74" s="1"/>
  <c r="X63" i="86"/>
  <c r="AL65" i="72" s="1"/>
  <c r="W61" i="74"/>
  <c r="X57" i="74" s="1"/>
  <c r="X58" i="74" s="1"/>
  <c r="X59" i="74" s="1"/>
  <c r="X60" i="74" s="1"/>
  <c r="W62" i="74"/>
  <c r="V69" i="74"/>
  <c r="V70" i="74" s="1"/>
  <c r="AB22" i="60"/>
  <c r="W64" i="74"/>
  <c r="Y58" i="87"/>
  <c r="Y59" i="87" s="1"/>
  <c r="Y60" i="87" s="1"/>
  <c r="AQ48" i="72"/>
  <c r="W65" i="88"/>
  <c r="X49" i="88"/>
  <c r="X54" i="87"/>
  <c r="X55" i="87" s="1"/>
  <c r="X63" i="87"/>
  <c r="AO66" i="72" s="1"/>
  <c r="X51" i="87"/>
  <c r="AF37" i="60"/>
  <c r="AN29" i="72"/>
  <c r="W69" i="87"/>
  <c r="Y52" i="86"/>
  <c r="Y67" i="86"/>
  <c r="AG6" i="44"/>
  <c r="AF21" i="60" s="1"/>
  <c r="AS32" i="72"/>
  <c r="X64" i="86"/>
  <c r="AG5" i="44"/>
  <c r="AS14" i="72"/>
  <c r="DA55" i="72"/>
  <c r="AS50" i="72"/>
  <c r="BE51" i="72"/>
  <c r="CC53" i="72"/>
  <c r="AG60" i="72"/>
  <c r="AG7" i="44" s="1"/>
  <c r="DM56" i="72"/>
  <c r="CO54" i="72"/>
  <c r="BQ52" i="72"/>
  <c r="AF22" i="44"/>
  <c r="AF23" i="44" s="1"/>
  <c r="AG20" i="44" s="1"/>
  <c r="X52" i="74" l="1"/>
  <c r="BP34" i="72"/>
  <c r="BE15" i="72"/>
  <c r="CB17" i="72"/>
  <c r="AK28" i="72"/>
  <c r="W69" i="86"/>
  <c r="W70" i="86" s="1"/>
  <c r="W51" i="74"/>
  <c r="W53" i="74" s="1"/>
  <c r="W63" i="74"/>
  <c r="AH64" i="72" s="1"/>
  <c r="AH68" i="72" s="1"/>
  <c r="AH78" i="72" s="1"/>
  <c r="AG28" i="60" s="1"/>
  <c r="W65" i="74"/>
  <c r="AH9" i="72" s="1"/>
  <c r="AH98" i="72" s="1"/>
  <c r="AH102" i="72" s="1"/>
  <c r="X67" i="74"/>
  <c r="X49" i="74"/>
  <c r="X53" i="87"/>
  <c r="X65" i="86"/>
  <c r="Y49" i="86"/>
  <c r="BE33" i="72"/>
  <c r="AQ12" i="72"/>
  <c r="AQ101" i="72" s="1"/>
  <c r="W68" i="88"/>
  <c r="Y52" i="87"/>
  <c r="Y67" i="87"/>
  <c r="AH45" i="72"/>
  <c r="AH49" i="72" s="1"/>
  <c r="AG9" i="44"/>
  <c r="AG8" i="44"/>
  <c r="AG10" i="44"/>
  <c r="AC22" i="60"/>
  <c r="AF9" i="16"/>
  <c r="AG29" i="16" s="1"/>
  <c r="AE9" i="29"/>
  <c r="AE10" i="1" s="1"/>
  <c r="AL46" i="72"/>
  <c r="S70" i="86"/>
  <c r="U70" i="86"/>
  <c r="T70" i="86"/>
  <c r="X64" i="87"/>
  <c r="W70" i="87" s="1"/>
  <c r="X50" i="88"/>
  <c r="X61" i="88"/>
  <c r="Y57" i="88" s="1"/>
  <c r="Y58" i="88" s="1"/>
  <c r="Y59" i="88" s="1"/>
  <c r="Y60" i="88" s="1"/>
  <c r="X62" i="88"/>
  <c r="AF8" i="1" l="1"/>
  <c r="AF25" i="1"/>
  <c r="AT103" i="72"/>
  <c r="BF104" i="72" s="1"/>
  <c r="BR105" i="72" s="1"/>
  <c r="CD106" i="72" s="1"/>
  <c r="CP107" i="72" s="1"/>
  <c r="DB108" i="72" s="1"/>
  <c r="DN109" i="72" s="1"/>
  <c r="AH112" i="72"/>
  <c r="AH13" i="72"/>
  <c r="AH23" i="72" s="1"/>
  <c r="AH5" i="44" s="1"/>
  <c r="BQ16" i="72"/>
  <c r="CN18" i="72"/>
  <c r="CB35" i="72"/>
  <c r="AG37" i="60"/>
  <c r="AT69" i="72"/>
  <c r="BF70" i="72" s="1"/>
  <c r="X62" i="74"/>
  <c r="W68" i="74"/>
  <c r="AH27" i="72" s="1"/>
  <c r="AH31" i="72" s="1"/>
  <c r="AH42" i="72" s="1"/>
  <c r="X50" i="74"/>
  <c r="X63" i="74" s="1"/>
  <c r="AI64" i="72" s="1"/>
  <c r="AI68" i="72" s="1"/>
  <c r="X61" i="74"/>
  <c r="Y57" i="74" s="1"/>
  <c r="Y58" i="74" s="1"/>
  <c r="Y59" i="74" s="1"/>
  <c r="Y60" i="74" s="1"/>
  <c r="Y67" i="88"/>
  <c r="Y52" i="88"/>
  <c r="X54" i="88"/>
  <c r="X55" i="88" s="1"/>
  <c r="X63" i="88"/>
  <c r="AR67" i="72" s="1"/>
  <c r="X51" i="88"/>
  <c r="AG21" i="44"/>
  <c r="AG22" i="44" s="1"/>
  <c r="X65" i="87"/>
  <c r="Y49" i="87"/>
  <c r="BQ34" i="72"/>
  <c r="AO47" i="72"/>
  <c r="U70" i="87"/>
  <c r="S70" i="87"/>
  <c r="T70" i="87"/>
  <c r="X54" i="74"/>
  <c r="AT50" i="72"/>
  <c r="CP54" i="72"/>
  <c r="BF51" i="72"/>
  <c r="BR52" i="72"/>
  <c r="DB55" i="72"/>
  <c r="DN56" i="72"/>
  <c r="AH60" i="72"/>
  <c r="AH7" i="44" s="1"/>
  <c r="CD53" i="72"/>
  <c r="Y61" i="86"/>
  <c r="Z57" i="86" s="1"/>
  <c r="Y50" i="86"/>
  <c r="Y62" i="86"/>
  <c r="AQ30" i="72"/>
  <c r="W69" i="88"/>
  <c r="AL10" i="72"/>
  <c r="AL99" i="72" s="1"/>
  <c r="X68" i="86"/>
  <c r="AT14" i="72" l="1"/>
  <c r="F19" i="80"/>
  <c r="Z58" i="86"/>
  <c r="Z59" i="86" s="1"/>
  <c r="Y52" i="74"/>
  <c r="CZ19" i="72"/>
  <c r="CN36" i="72"/>
  <c r="CC17" i="72"/>
  <c r="BR71" i="72"/>
  <c r="CD72" i="72" s="1"/>
  <c r="X55" i="74"/>
  <c r="X51" i="74"/>
  <c r="X53" i="74" s="1"/>
  <c r="W69" i="74"/>
  <c r="Y54" i="86"/>
  <c r="AT32" i="72"/>
  <c r="AH6" i="44"/>
  <c r="AG21" i="60" s="1"/>
  <c r="AL28" i="72"/>
  <c r="X69" i="86"/>
  <c r="Y51" i="86"/>
  <c r="Y63" i="86"/>
  <c r="AM65" i="72" s="1"/>
  <c r="AU69" i="72"/>
  <c r="AI78" i="72"/>
  <c r="AH28" i="60" s="1"/>
  <c r="AO11" i="72"/>
  <c r="AO100" i="72" s="1"/>
  <c r="X68" i="87"/>
  <c r="Y67" i="74"/>
  <c r="X64" i="88"/>
  <c r="W70" i="88" s="1"/>
  <c r="AH9" i="44"/>
  <c r="AH8" i="44"/>
  <c r="AH10" i="44"/>
  <c r="AH15" i="44" s="1"/>
  <c r="X64" i="74"/>
  <c r="BF15" i="72"/>
  <c r="CC35" i="72"/>
  <c r="Y50" i="87"/>
  <c r="Y54" i="87" s="1"/>
  <c r="Y64" i="87" s="1"/>
  <c r="Y62" i="87"/>
  <c r="Y61" i="87"/>
  <c r="Z57" i="87" s="1"/>
  <c r="AG23" i="44"/>
  <c r="AH20" i="44" s="1"/>
  <c r="AG9" i="16"/>
  <c r="AH29" i="16" s="1"/>
  <c r="AF9" i="29"/>
  <c r="AF10" i="1" s="1"/>
  <c r="X53" i="88"/>
  <c r="AG25" i="1" l="1"/>
  <c r="AG8" i="1"/>
  <c r="Z58" i="87"/>
  <c r="Z59" i="87" s="1"/>
  <c r="Z67" i="86"/>
  <c r="Z60" i="86"/>
  <c r="Z52" i="86"/>
  <c r="Y53" i="86"/>
  <c r="W70" i="74"/>
  <c r="CZ37" i="72"/>
  <c r="CO18" i="72"/>
  <c r="DL20" i="72"/>
  <c r="Y55" i="87"/>
  <c r="Y55" i="86"/>
  <c r="Y64" i="86"/>
  <c r="AD22" i="60"/>
  <c r="BF33" i="72"/>
  <c r="X65" i="88"/>
  <c r="Y49" i="88"/>
  <c r="CP73" i="72"/>
  <c r="CO36" i="72"/>
  <c r="Y63" i="87"/>
  <c r="AP66" i="72" s="1"/>
  <c r="Y51" i="87"/>
  <c r="X65" i="74"/>
  <c r="Y49" i="74"/>
  <c r="AH16" i="44"/>
  <c r="AH8" i="16" s="1"/>
  <c r="AH37" i="60"/>
  <c r="AH21" i="44"/>
  <c r="AH27" i="44"/>
  <c r="AH28" i="44" s="1"/>
  <c r="AH25" i="16"/>
  <c r="AI29" i="16" s="1"/>
  <c r="BG70" i="72"/>
  <c r="BR16" i="72"/>
  <c r="AI45" i="72"/>
  <c r="AI49" i="72" s="1"/>
  <c r="T70" i="74"/>
  <c r="S70" i="74"/>
  <c r="U70" i="74"/>
  <c r="AR48" i="72"/>
  <c r="S70" i="88"/>
  <c r="T70" i="88"/>
  <c r="U70" i="88"/>
  <c r="AO29" i="72"/>
  <c r="X69" i="87"/>
  <c r="X70" i="86"/>
  <c r="Y53" i="87" l="1"/>
  <c r="Y65" i="87"/>
  <c r="Z49" i="87"/>
  <c r="Z67" i="87"/>
  <c r="Z60" i="87"/>
  <c r="Z52" i="87"/>
  <c r="Y65" i="86"/>
  <c r="Z49" i="86"/>
  <c r="Z61" i="86" s="1"/>
  <c r="AA57" i="86" s="1"/>
  <c r="DA19" i="72"/>
  <c r="DL38" i="72"/>
  <c r="AM46" i="72"/>
  <c r="AH17" i="44"/>
  <c r="AI14" i="44" s="1"/>
  <c r="BR34" i="72"/>
  <c r="AH29" i="44"/>
  <c r="AI26" i="44" s="1"/>
  <c r="AG10" i="29"/>
  <c r="AH10" i="16"/>
  <c r="AH26" i="16" s="1"/>
  <c r="AI9" i="72"/>
  <c r="AI98" i="72" s="1"/>
  <c r="AI102" i="72" s="1"/>
  <c r="X68" i="74"/>
  <c r="AH22" i="44"/>
  <c r="CD17" i="72"/>
  <c r="Y50" i="74"/>
  <c r="Y54" i="74" s="1"/>
  <c r="Y61" i="74"/>
  <c r="Z57" i="74" s="1"/>
  <c r="Y62" i="74"/>
  <c r="X70" i="87"/>
  <c r="BS71" i="72"/>
  <c r="DB74" i="72"/>
  <c r="Y62" i="88"/>
  <c r="Y61" i="88"/>
  <c r="Z57" i="88" s="1"/>
  <c r="Z58" i="88" s="1"/>
  <c r="Z59" i="88" s="1"/>
  <c r="Y50" i="88"/>
  <c r="DA37" i="72"/>
  <c r="AU50" i="72"/>
  <c r="BG51" i="72"/>
  <c r="CQ54" i="72"/>
  <c r="DO56" i="72"/>
  <c r="BS52" i="72"/>
  <c r="CE53" i="72"/>
  <c r="AI60" i="72"/>
  <c r="AI7" i="44" s="1"/>
  <c r="DC55" i="72"/>
  <c r="AH8" i="1"/>
  <c r="AH25" i="1"/>
  <c r="AP47" i="72"/>
  <c r="AR12" i="72"/>
  <c r="AR101" i="72" s="1"/>
  <c r="X68" i="88"/>
  <c r="AU103" i="72" l="1"/>
  <c r="BG104" i="72" s="1"/>
  <c r="BS105" i="72" s="1"/>
  <c r="CE106" i="72" s="1"/>
  <c r="CQ107" i="72" s="1"/>
  <c r="DC108" i="72" s="1"/>
  <c r="DO109" i="72" s="1"/>
  <c r="AI112" i="72"/>
  <c r="AM10" i="72"/>
  <c r="AM99" i="72" s="1"/>
  <c r="Y68" i="86"/>
  <c r="AP11" i="72"/>
  <c r="AP100" i="72" s="1"/>
  <c r="Y68" i="87"/>
  <c r="AP29" i="72" s="1"/>
  <c r="Z67" i="88"/>
  <c r="Z60" i="88"/>
  <c r="Z52" i="88"/>
  <c r="Z62" i="87"/>
  <c r="Z54" i="87"/>
  <c r="Z50" i="87"/>
  <c r="Z61" i="87"/>
  <c r="AA57" i="87" s="1"/>
  <c r="AA58" i="86"/>
  <c r="AA59" i="86" s="1"/>
  <c r="Z62" i="86"/>
  <c r="Z54" i="86"/>
  <c r="Z50" i="86"/>
  <c r="Z58" i="74"/>
  <c r="Z59" i="74" s="1"/>
  <c r="DM20" i="72"/>
  <c r="Y55" i="74"/>
  <c r="CD35" i="72"/>
  <c r="AI27" i="72"/>
  <c r="AI31" i="72" s="1"/>
  <c r="AI42" i="72" s="1"/>
  <c r="X69" i="74"/>
  <c r="AR30" i="72"/>
  <c r="X69" i="88"/>
  <c r="DM38" i="72"/>
  <c r="CE72" i="72"/>
  <c r="Y64" i="74"/>
  <c r="AJ45" i="72" s="1"/>
  <c r="AI13" i="72"/>
  <c r="AI23" i="72" s="1"/>
  <c r="AI9" i="44"/>
  <c r="AI10" i="44"/>
  <c r="AI15" i="44" s="1"/>
  <c r="AI8" i="44"/>
  <c r="Y54" i="88"/>
  <c r="Y55" i="88" s="1"/>
  <c r="Z49" i="88" s="1"/>
  <c r="Y63" i="88"/>
  <c r="AS67" i="72" s="1"/>
  <c r="Y51" i="88"/>
  <c r="DN75" i="72"/>
  <c r="Y63" i="74"/>
  <c r="AJ64" i="72" s="1"/>
  <c r="AJ68" i="72" s="1"/>
  <c r="Y51" i="74"/>
  <c r="CP18" i="72"/>
  <c r="AH9" i="16"/>
  <c r="AG9" i="29"/>
  <c r="AG10" i="1" s="1"/>
  <c r="AH23" i="44"/>
  <c r="AI20" i="44" s="1"/>
  <c r="Z55" i="87" l="1"/>
  <c r="Z65" i="87" s="1"/>
  <c r="AQ11" i="72" s="1"/>
  <c r="AQ100" i="72" s="1"/>
  <c r="Y69" i="87"/>
  <c r="AM28" i="72"/>
  <c r="Y69" i="86"/>
  <c r="Z50" i="88"/>
  <c r="Z63" i="88" s="1"/>
  <c r="AT67" i="72" s="1"/>
  <c r="Y53" i="88"/>
  <c r="Z54" i="88"/>
  <c r="Z64" i="88" s="1"/>
  <c r="AT48" i="72" s="1"/>
  <c r="Z62" i="88"/>
  <c r="Z61" i="88"/>
  <c r="AA57" i="88" s="1"/>
  <c r="Z64" i="87"/>
  <c r="AA58" i="87"/>
  <c r="AA59" i="87" s="1"/>
  <c r="Z63" i="87"/>
  <c r="AQ66" i="72" s="1"/>
  <c r="Z51" i="87"/>
  <c r="Z63" i="86"/>
  <c r="AN65" i="72" s="1"/>
  <c r="Z51" i="86"/>
  <c r="Z64" i="86"/>
  <c r="Z55" i="86"/>
  <c r="AA67" i="86"/>
  <c r="AA52" i="86"/>
  <c r="AA60" i="86"/>
  <c r="Y65" i="74"/>
  <c r="Z49" i="74"/>
  <c r="Y53" i="74"/>
  <c r="Z67" i="74"/>
  <c r="Z60" i="74"/>
  <c r="Z52" i="74"/>
  <c r="CP36" i="72"/>
  <c r="AJ78" i="72"/>
  <c r="AI28" i="60" s="1"/>
  <c r="AV69" i="72"/>
  <c r="Y64" i="88"/>
  <c r="CQ73" i="72"/>
  <c r="DB19" i="72"/>
  <c r="AI27" i="44"/>
  <c r="AI28" i="44" s="1"/>
  <c r="AI21" i="44"/>
  <c r="AI22" i="44" s="1"/>
  <c r="AI25" i="16"/>
  <c r="AJ49" i="72"/>
  <c r="X70" i="74"/>
  <c r="Y65" i="88"/>
  <c r="AI16" i="44"/>
  <c r="AI8" i="16" s="1"/>
  <c r="AU14" i="72"/>
  <c r="AI5" i="44"/>
  <c r="X70" i="88"/>
  <c r="AI6" i="44"/>
  <c r="AH21" i="60" s="1"/>
  <c r="AU32" i="72"/>
  <c r="AA49" i="87" l="1"/>
  <c r="AA62" i="87" s="1"/>
  <c r="Z51" i="88"/>
  <c r="Z53" i="88" s="1"/>
  <c r="Z61" i="74"/>
  <c r="AA57" i="74" s="1"/>
  <c r="AA58" i="74" s="1"/>
  <c r="AA59" i="74" s="1"/>
  <c r="AQ47" i="72"/>
  <c r="AN46" i="72"/>
  <c r="AA58" i="88"/>
  <c r="AA59" i="88" s="1"/>
  <c r="Z55" i="88"/>
  <c r="Z50" i="74"/>
  <c r="Z63" i="74" s="1"/>
  <c r="AK64" i="72" s="1"/>
  <c r="AK68" i="72" s="1"/>
  <c r="AW69" i="72" s="1"/>
  <c r="Z68" i="87"/>
  <c r="AS12" i="72"/>
  <c r="AS101" i="72" s="1"/>
  <c r="Y68" i="88"/>
  <c r="AA67" i="87"/>
  <c r="AA60" i="87"/>
  <c r="AA61" i="87" s="1"/>
  <c r="AB57" i="87" s="1"/>
  <c r="AA52" i="87"/>
  <c r="Z53" i="87"/>
  <c r="AA49" i="86"/>
  <c r="Z65" i="86"/>
  <c r="Z53" i="86"/>
  <c r="Z62" i="74"/>
  <c r="AJ9" i="72"/>
  <c r="AJ98" i="72" s="1"/>
  <c r="AJ102" i="72" s="1"/>
  <c r="Y68" i="74"/>
  <c r="AJ27" i="72" s="1"/>
  <c r="AJ31" i="72" s="1"/>
  <c r="AI17" i="44"/>
  <c r="AJ14" i="44" s="1"/>
  <c r="DB37" i="72"/>
  <c r="AI23" i="44"/>
  <c r="AJ20" i="44" s="1"/>
  <c r="AI9" i="16"/>
  <c r="AJ29" i="16" s="1"/>
  <c r="AH9" i="29"/>
  <c r="DN20" i="72"/>
  <c r="BH70" i="72"/>
  <c r="AE22" i="60"/>
  <c r="DC74" i="72"/>
  <c r="AS48" i="72"/>
  <c r="AI37" i="60"/>
  <c r="BG33" i="72"/>
  <c r="AI29" i="44"/>
  <c r="AJ26" i="44" s="1"/>
  <c r="AH10" i="29"/>
  <c r="AI10" i="16"/>
  <c r="AI26" i="16" s="1"/>
  <c r="BG15" i="72"/>
  <c r="AV50" i="72"/>
  <c r="CR54" i="72"/>
  <c r="CF53" i="72"/>
  <c r="BH51" i="72"/>
  <c r="AJ60" i="72"/>
  <c r="AJ7" i="44" s="1"/>
  <c r="DP56" i="72"/>
  <c r="DD55" i="72"/>
  <c r="BT52" i="72"/>
  <c r="AV103" i="72" l="1"/>
  <c r="BH104" i="72" s="1"/>
  <c r="BT105" i="72" s="1"/>
  <c r="CF106" i="72" s="1"/>
  <c r="CR107" i="72" s="1"/>
  <c r="DD108" i="72" s="1"/>
  <c r="DP109" i="72" s="1"/>
  <c r="AJ112" i="72"/>
  <c r="AB58" i="87"/>
  <c r="AB59" i="87" s="1"/>
  <c r="AA50" i="87"/>
  <c r="AA63" i="87" s="1"/>
  <c r="AR66" i="72" s="1"/>
  <c r="AR68" i="72" s="1"/>
  <c r="AR78" i="72" s="1"/>
  <c r="Z51" i="74"/>
  <c r="Z53" i="74" s="1"/>
  <c r="AK78" i="72"/>
  <c r="AJ37" i="60" s="1"/>
  <c r="Z54" i="74"/>
  <c r="Z55" i="74" s="1"/>
  <c r="AA49" i="74" s="1"/>
  <c r="AJ13" i="72"/>
  <c r="AV14" i="72" s="1"/>
  <c r="AA54" i="87"/>
  <c r="AA64" i="87" s="1"/>
  <c r="AN10" i="72"/>
  <c r="AN99" i="72" s="1"/>
  <c r="AN102" i="72" s="1"/>
  <c r="Z68" i="86"/>
  <c r="AA49" i="88"/>
  <c r="Z65" i="88"/>
  <c r="AA67" i="88"/>
  <c r="AA52" i="88"/>
  <c r="AA60" i="88"/>
  <c r="AJ42" i="72"/>
  <c r="AJ6" i="44" s="1"/>
  <c r="AQ29" i="72"/>
  <c r="Z69" i="87"/>
  <c r="AA51" i="87"/>
  <c r="AA62" i="86"/>
  <c r="AA61" i="86"/>
  <c r="AB57" i="86" s="1"/>
  <c r="AA50" i="86"/>
  <c r="AV32" i="72"/>
  <c r="BI70" i="72"/>
  <c r="AA67" i="74"/>
  <c r="AA60" i="74"/>
  <c r="AA52" i="74"/>
  <c r="Y69" i="74"/>
  <c r="DN38" i="72"/>
  <c r="AH10" i="1"/>
  <c r="AJ9" i="44"/>
  <c r="AJ10" i="44"/>
  <c r="AJ15" i="44" s="1"/>
  <c r="AJ8" i="44"/>
  <c r="DO75" i="72"/>
  <c r="BS16" i="72"/>
  <c r="AI8" i="1"/>
  <c r="AI25" i="1"/>
  <c r="AS30" i="72"/>
  <c r="Y69" i="88"/>
  <c r="BS34" i="72"/>
  <c r="BT71" i="72"/>
  <c r="AB67" i="87" l="1"/>
  <c r="AB60" i="87"/>
  <c r="AB52" i="87"/>
  <c r="AZ103" i="72"/>
  <c r="AN112" i="72"/>
  <c r="AA55" i="87"/>
  <c r="AA53" i="87"/>
  <c r="AB58" i="86"/>
  <c r="AB59" i="86" s="1"/>
  <c r="AJ28" i="60"/>
  <c r="Z64" i="74"/>
  <c r="AK45" i="72" s="1"/>
  <c r="AK49" i="72" s="1"/>
  <c r="Z65" i="74"/>
  <c r="AK9" i="72" s="1"/>
  <c r="AK98" i="72" s="1"/>
  <c r="AK102" i="72" s="1"/>
  <c r="AJ23" i="72"/>
  <c r="AJ5" i="44" s="1"/>
  <c r="BD69" i="72"/>
  <c r="BP70" i="72" s="1"/>
  <c r="AN13" i="72"/>
  <c r="AN23" i="72" s="1"/>
  <c r="AN5" i="44" s="1"/>
  <c r="Z70" i="87"/>
  <c r="AI21" i="60"/>
  <c r="AF22" i="60"/>
  <c r="AA61" i="88"/>
  <c r="AB57" i="88" s="1"/>
  <c r="AA62" i="88"/>
  <c r="AA50" i="88"/>
  <c r="BH33" i="72"/>
  <c r="AR47" i="72"/>
  <c r="AR49" i="72" s="1"/>
  <c r="Y70" i="87"/>
  <c r="Z68" i="88"/>
  <c r="AT30" i="72" s="1"/>
  <c r="AT12" i="72"/>
  <c r="AT101" i="72" s="1"/>
  <c r="AN28" i="72"/>
  <c r="Z69" i="86"/>
  <c r="AQ28" i="60"/>
  <c r="AQ37" i="60"/>
  <c r="AA63" i="86"/>
  <c r="AO65" i="72" s="1"/>
  <c r="AO68" i="72" s="1"/>
  <c r="AA51" i="86"/>
  <c r="AA54" i="86"/>
  <c r="BU71" i="72"/>
  <c r="BH15" i="72"/>
  <c r="AA62" i="74"/>
  <c r="AA61" i="74"/>
  <c r="AB57" i="74" s="1"/>
  <c r="AA50" i="74"/>
  <c r="AA54" i="74" s="1"/>
  <c r="CF72" i="72"/>
  <c r="AJ27" i="44"/>
  <c r="AJ28" i="44" s="1"/>
  <c r="AJ25" i="16"/>
  <c r="AJ21" i="44"/>
  <c r="AJ16" i="44"/>
  <c r="AJ8" i="16" s="1"/>
  <c r="CE17" i="72"/>
  <c r="CE35" i="72"/>
  <c r="Z68" i="74" l="1"/>
  <c r="AK27" i="72" s="1"/>
  <c r="AK31" i="72" s="1"/>
  <c r="AK42" i="72" s="1"/>
  <c r="AK6" i="44" s="1"/>
  <c r="AJ21" i="60" s="1"/>
  <c r="AB58" i="74"/>
  <c r="AB59" i="74" s="1"/>
  <c r="AB58" i="88"/>
  <c r="AB59" i="88" s="1"/>
  <c r="AW103" i="72"/>
  <c r="AK112" i="72"/>
  <c r="AB49" i="87"/>
  <c r="AB50" i="87" s="1"/>
  <c r="AA65" i="87"/>
  <c r="BL104" i="72"/>
  <c r="AZ112" i="72"/>
  <c r="AB67" i="86"/>
  <c r="AB52" i="86"/>
  <c r="AB60" i="86"/>
  <c r="AA53" i="86"/>
  <c r="AK13" i="72"/>
  <c r="AK23" i="72" s="1"/>
  <c r="AK5" i="44" s="1"/>
  <c r="BD78" i="72"/>
  <c r="BC37" i="60" s="1"/>
  <c r="AZ14" i="72"/>
  <c r="AZ23" i="72" s="1"/>
  <c r="AZ5" i="44" s="1"/>
  <c r="Z69" i="88"/>
  <c r="BH42" i="72"/>
  <c r="BH6" i="44" s="1"/>
  <c r="CZ54" i="72"/>
  <c r="CZ60" i="72" s="1"/>
  <c r="CZ7" i="44" s="1"/>
  <c r="AR60" i="72"/>
  <c r="AR7" i="44" s="1"/>
  <c r="CB52" i="72"/>
  <c r="CB60" i="72" s="1"/>
  <c r="CB7" i="44" s="1"/>
  <c r="CN53" i="72"/>
  <c r="CN60" i="72" s="1"/>
  <c r="CN7" i="44" s="1"/>
  <c r="BD50" i="72"/>
  <c r="BD60" i="72" s="1"/>
  <c r="BD7" i="44" s="1"/>
  <c r="BP51" i="72"/>
  <c r="BP60" i="72" s="1"/>
  <c r="BP7" i="44" s="1"/>
  <c r="DL55" i="72"/>
  <c r="DL60" i="72" s="1"/>
  <c r="DL7" i="44" s="1"/>
  <c r="BT34" i="72"/>
  <c r="CF35" i="72" s="1"/>
  <c r="AA63" i="88"/>
  <c r="AU67" i="72" s="1"/>
  <c r="AU68" i="72" s="1"/>
  <c r="AA51" i="88"/>
  <c r="AA54" i="88"/>
  <c r="CB71" i="72"/>
  <c r="BP78" i="72"/>
  <c r="AA64" i="86"/>
  <c r="AA55" i="86"/>
  <c r="BA69" i="72"/>
  <c r="AO78" i="72"/>
  <c r="AA64" i="74"/>
  <c r="AA55" i="74"/>
  <c r="BT16" i="72"/>
  <c r="AG22" i="60"/>
  <c r="AA63" i="74"/>
  <c r="AL64" i="72" s="1"/>
  <c r="AL68" i="72" s="1"/>
  <c r="AA51" i="74"/>
  <c r="AK60" i="72"/>
  <c r="AK7" i="44" s="1"/>
  <c r="DQ56" i="72"/>
  <c r="AW50" i="72"/>
  <c r="CG53" i="72"/>
  <c r="CS54" i="72"/>
  <c r="BI51" i="72"/>
  <c r="DE55" i="72"/>
  <c r="BU52" i="72"/>
  <c r="CG72" i="72"/>
  <c r="AJ17" i="44"/>
  <c r="AK14" i="44" s="1"/>
  <c r="AJ22" i="44"/>
  <c r="CQ36" i="72"/>
  <c r="CQ18" i="72"/>
  <c r="AJ29" i="44"/>
  <c r="AK26" i="44" s="1"/>
  <c r="AI10" i="29"/>
  <c r="AJ10" i="16"/>
  <c r="AJ26" i="16" s="1"/>
  <c r="CR73" i="72"/>
  <c r="AW32" i="72" l="1"/>
  <c r="BI33" i="72" s="1"/>
  <c r="BI42" i="72" s="1"/>
  <c r="BI6" i="44" s="1"/>
  <c r="Z69" i="74"/>
  <c r="AB61" i="87"/>
  <c r="AC57" i="87" s="1"/>
  <c r="AC58" i="87" s="1"/>
  <c r="AC59" i="87" s="1"/>
  <c r="AB63" i="87"/>
  <c r="AS66" i="72" s="1"/>
  <c r="AS68" i="72" s="1"/>
  <c r="AB51" i="87"/>
  <c r="AA65" i="74"/>
  <c r="AB49" i="74"/>
  <c r="BX105" i="72"/>
  <c r="BL112" i="72"/>
  <c r="AB67" i="88"/>
  <c r="AB52" i="88"/>
  <c r="AB60" i="88"/>
  <c r="AR11" i="72"/>
  <c r="AA68" i="87"/>
  <c r="AA53" i="74"/>
  <c r="AA53" i="88"/>
  <c r="AB62" i="87"/>
  <c r="AB54" i="87"/>
  <c r="BI104" i="72"/>
  <c r="AB67" i="74"/>
  <c r="AB60" i="74"/>
  <c r="AB52" i="74"/>
  <c r="AA65" i="86"/>
  <c r="AB49" i="86"/>
  <c r="AB50" i="86" s="1"/>
  <c r="AW14" i="72"/>
  <c r="BC28" i="60"/>
  <c r="BL15" i="72"/>
  <c r="BL23" i="72" s="1"/>
  <c r="BL5" i="44" s="1"/>
  <c r="AL45" i="72"/>
  <c r="AL49" i="72" s="1"/>
  <c r="BV52" i="72" s="1"/>
  <c r="BV60" i="72" s="1"/>
  <c r="BV7" i="44" s="1"/>
  <c r="Z70" i="86"/>
  <c r="DL9" i="44"/>
  <c r="DL8" i="44"/>
  <c r="DL10" i="44"/>
  <c r="DL15" i="44" s="1"/>
  <c r="CF42" i="72"/>
  <c r="CF6" i="44" s="1"/>
  <c r="BG69" i="72"/>
  <c r="AU78" i="72"/>
  <c r="BP8" i="44"/>
  <c r="BP9" i="44"/>
  <c r="BP10" i="44"/>
  <c r="BP15" i="44" s="1"/>
  <c r="AR9" i="44"/>
  <c r="AR8" i="44"/>
  <c r="AR10" i="44"/>
  <c r="AR15" i="44" s="1"/>
  <c r="CB8" i="44"/>
  <c r="CB9" i="44"/>
  <c r="CB10" i="44"/>
  <c r="CB15" i="44" s="1"/>
  <c r="AO46" i="72"/>
  <c r="AO49" i="72" s="1"/>
  <c r="Y70" i="86"/>
  <c r="BD9" i="44"/>
  <c r="BD8" i="44"/>
  <c r="BD10" i="44"/>
  <c r="BD15" i="44" s="1"/>
  <c r="CZ9" i="44"/>
  <c r="CZ10" i="44"/>
  <c r="CZ15" i="44" s="1"/>
  <c r="CZ8" i="44"/>
  <c r="BG21" i="60"/>
  <c r="BD22" i="60"/>
  <c r="AA64" i="88"/>
  <c r="AA55" i="88"/>
  <c r="BT42" i="72"/>
  <c r="BT6" i="44" s="1"/>
  <c r="CN9" i="44"/>
  <c r="CN10" i="44"/>
  <c r="CN15" i="44" s="1"/>
  <c r="CN8" i="44"/>
  <c r="BO28" i="60"/>
  <c r="BO37" i="60"/>
  <c r="CN72" i="72"/>
  <c r="CB78" i="72"/>
  <c r="AN28" i="60"/>
  <c r="AN37" i="60"/>
  <c r="BA78" i="72"/>
  <c r="BM70" i="72"/>
  <c r="CR36" i="72"/>
  <c r="CR42" i="72" s="1"/>
  <c r="CR6" i="44" s="1"/>
  <c r="CQ21" i="60" s="1"/>
  <c r="CF17" i="72"/>
  <c r="Y70" i="74"/>
  <c r="Z70" i="74"/>
  <c r="CS73" i="72"/>
  <c r="AK9" i="44"/>
  <c r="AK8" i="44"/>
  <c r="AK10" i="44"/>
  <c r="AK15" i="44" s="1"/>
  <c r="AK16" i="44" s="1"/>
  <c r="AX69" i="72"/>
  <c r="AL78" i="72"/>
  <c r="DD74" i="72"/>
  <c r="DC37" i="72"/>
  <c r="DC19" i="72"/>
  <c r="AJ23" i="44"/>
  <c r="AK20" i="44" s="1"/>
  <c r="AJ9" i="16"/>
  <c r="AK29" i="16" s="1"/>
  <c r="AI9" i="29"/>
  <c r="AI10" i="1" s="1"/>
  <c r="AB61" i="74" l="1"/>
  <c r="AC57" i="74" s="1"/>
  <c r="AB53" i="87"/>
  <c r="AB55" i="87"/>
  <c r="AC67" i="87"/>
  <c r="AC60" i="87"/>
  <c r="AC52" i="87"/>
  <c r="AB61" i="86"/>
  <c r="AC57" i="86" s="1"/>
  <c r="AA65" i="88"/>
  <c r="AB49" i="88"/>
  <c r="AB61" i="88" s="1"/>
  <c r="AC57" i="88" s="1"/>
  <c r="AB64" i="87"/>
  <c r="AS47" i="72" s="1"/>
  <c r="CJ106" i="72"/>
  <c r="BX112" i="72"/>
  <c r="BE69" i="72"/>
  <c r="AS78" i="72"/>
  <c r="AA69" i="87"/>
  <c r="AR29" i="72"/>
  <c r="AR31" i="72" s="1"/>
  <c r="AB62" i="74"/>
  <c r="AB50" i="74"/>
  <c r="AB54" i="74"/>
  <c r="AR100" i="72"/>
  <c r="AR102" i="72" s="1"/>
  <c r="AR13" i="72"/>
  <c r="AL9" i="72"/>
  <c r="AA68" i="74"/>
  <c r="AL27" i="72" s="1"/>
  <c r="AL31" i="72" s="1"/>
  <c r="AL42" i="72" s="1"/>
  <c r="AL6" i="44" s="1"/>
  <c r="AH22" i="60" s="1"/>
  <c r="AA68" i="86"/>
  <c r="AO10" i="72"/>
  <c r="BU105" i="72"/>
  <c r="AB63" i="86"/>
  <c r="AB51" i="86"/>
  <c r="AB62" i="86"/>
  <c r="AB54" i="86"/>
  <c r="BI15" i="72"/>
  <c r="BX16" i="72"/>
  <c r="CJ17" i="72" s="1"/>
  <c r="BJ51" i="72"/>
  <c r="BJ60" i="72" s="1"/>
  <c r="BJ7" i="44" s="1"/>
  <c r="BJ9" i="44" s="1"/>
  <c r="DF55" i="72"/>
  <c r="DF60" i="72" s="1"/>
  <c r="DF7" i="44" s="1"/>
  <c r="DF9" i="44" s="1"/>
  <c r="DR56" i="72"/>
  <c r="DR60" i="72" s="1"/>
  <c r="DR7" i="44" s="1"/>
  <c r="DR8" i="44" s="1"/>
  <c r="CH53" i="72"/>
  <c r="CH60" i="72" s="1"/>
  <c r="CH7" i="44" s="1"/>
  <c r="CH9" i="44" s="1"/>
  <c r="AL60" i="72"/>
  <c r="AL7" i="44" s="1"/>
  <c r="AL9" i="44" s="1"/>
  <c r="AX50" i="72"/>
  <c r="AX60" i="72" s="1"/>
  <c r="AX7" i="44" s="1"/>
  <c r="AX10" i="44" s="1"/>
  <c r="AX15" i="44" s="1"/>
  <c r="CT54" i="72"/>
  <c r="CT60" i="72" s="1"/>
  <c r="CT7" i="44" s="1"/>
  <c r="CT10" i="44" s="1"/>
  <c r="CT15" i="44" s="1"/>
  <c r="BU34" i="72"/>
  <c r="BU42" i="72" s="1"/>
  <c r="BU6" i="44" s="1"/>
  <c r="CM17" i="60"/>
  <c r="CA17" i="60"/>
  <c r="BO17" i="60"/>
  <c r="CY17" i="60"/>
  <c r="CE21" i="60"/>
  <c r="CB22" i="60"/>
  <c r="BS21" i="60"/>
  <c r="BP22" i="60"/>
  <c r="AR21" i="44"/>
  <c r="AR25" i="16"/>
  <c r="AR27" i="44"/>
  <c r="AT28" i="60"/>
  <c r="AT37" i="60"/>
  <c r="DL21" i="44"/>
  <c r="DL27" i="44"/>
  <c r="DL25" i="16"/>
  <c r="BV9" i="44"/>
  <c r="BV10" i="44"/>
  <c r="BV15" i="44" s="1"/>
  <c r="BV8" i="44"/>
  <c r="CN27" i="44"/>
  <c r="CN21" i="44"/>
  <c r="CN25" i="16"/>
  <c r="BP21" i="44"/>
  <c r="BP25" i="16"/>
  <c r="BP27" i="44"/>
  <c r="BS70" i="72"/>
  <c r="BG78" i="72"/>
  <c r="AU48" i="72"/>
  <c r="AU49" i="72" s="1"/>
  <c r="Y70" i="88"/>
  <c r="Z70" i="88"/>
  <c r="BD27" i="44"/>
  <c r="BD21" i="44"/>
  <c r="BD25" i="16"/>
  <c r="BC17" i="60"/>
  <c r="AQ17" i="60"/>
  <c r="DK17" i="60"/>
  <c r="CZ21" i="44"/>
  <c r="CZ27" i="44"/>
  <c r="CZ25" i="16"/>
  <c r="CW54" i="72"/>
  <c r="CW60" i="72" s="1"/>
  <c r="CW7" i="44" s="1"/>
  <c r="BM51" i="72"/>
  <c r="BM60" i="72" s="1"/>
  <c r="BM7" i="44" s="1"/>
  <c r="BY52" i="72"/>
  <c r="BY60" i="72" s="1"/>
  <c r="BY7" i="44" s="1"/>
  <c r="BA50" i="72"/>
  <c r="BA60" i="72" s="1"/>
  <c r="BA7" i="44" s="1"/>
  <c r="CK53" i="72"/>
  <c r="CK60" i="72" s="1"/>
  <c r="CK7" i="44" s="1"/>
  <c r="AO60" i="72"/>
  <c r="AO7" i="44" s="1"/>
  <c r="DI55" i="72"/>
  <c r="DI60" i="72" s="1"/>
  <c r="DI7" i="44" s="1"/>
  <c r="CB25" i="16"/>
  <c r="CB27" i="44"/>
  <c r="CB21" i="44"/>
  <c r="CA28" i="60"/>
  <c r="CA37" i="60"/>
  <c r="CZ73" i="72"/>
  <c r="CN78" i="72"/>
  <c r="BM78" i="72"/>
  <c r="BY71" i="72"/>
  <c r="AZ28" i="60"/>
  <c r="AZ37" i="60"/>
  <c r="DD37" i="72"/>
  <c r="DP38" i="72" s="1"/>
  <c r="DP42" i="72" s="1"/>
  <c r="AK8" i="16"/>
  <c r="AK17" i="44"/>
  <c r="AL14" i="44" s="1"/>
  <c r="AK25" i="16"/>
  <c r="AK21" i="44"/>
  <c r="AK22" i="44" s="1"/>
  <c r="AK27" i="44"/>
  <c r="BH21" i="60"/>
  <c r="BE22" i="60"/>
  <c r="AK28" i="60"/>
  <c r="AK37" i="60"/>
  <c r="CR18" i="72"/>
  <c r="BJ70" i="72"/>
  <c r="AX78" i="72"/>
  <c r="DE74" i="72"/>
  <c r="DO20" i="72"/>
  <c r="AJ25" i="1"/>
  <c r="AJ8" i="1"/>
  <c r="CN22" i="60"/>
  <c r="DO38" i="72"/>
  <c r="DP75" i="72"/>
  <c r="AK21" i="60" l="1"/>
  <c r="BX23" i="72"/>
  <c r="BX5" i="44" s="1"/>
  <c r="AX32" i="72"/>
  <c r="AX42" i="72" s="1"/>
  <c r="AX6" i="44" s="1"/>
  <c r="AT22" i="60" s="1"/>
  <c r="AB55" i="86"/>
  <c r="AC58" i="88"/>
  <c r="AC59" i="88" s="1"/>
  <c r="AB53" i="86"/>
  <c r="AB55" i="74"/>
  <c r="AC58" i="86"/>
  <c r="AC59" i="86" s="1"/>
  <c r="AB65" i="87"/>
  <c r="AC49" i="87"/>
  <c r="AC58" i="74"/>
  <c r="AC59" i="74" s="1"/>
  <c r="AB50" i="88"/>
  <c r="AB63" i="88" s="1"/>
  <c r="AV67" i="72" s="1"/>
  <c r="AV68" i="72" s="1"/>
  <c r="CH8" i="44"/>
  <c r="CG17" i="60" s="1"/>
  <c r="AA69" i="74"/>
  <c r="AO99" i="72"/>
  <c r="AO102" i="72" s="1"/>
  <c r="AO13" i="72"/>
  <c r="AB64" i="74"/>
  <c r="AM45" i="72" s="1"/>
  <c r="CV107" i="72"/>
  <c r="CJ112" i="72"/>
  <c r="AP65" i="72"/>
  <c r="AP68" i="72" s="1"/>
  <c r="AO28" i="72"/>
  <c r="AO31" i="72" s="1"/>
  <c r="AA69" i="86"/>
  <c r="AA70" i="86" s="1"/>
  <c r="AL98" i="72"/>
  <c r="AL102" i="72" s="1"/>
  <c r="AL13" i="72"/>
  <c r="AR42" i="72"/>
  <c r="AR6" i="44" s="1"/>
  <c r="BD32" i="72"/>
  <c r="AR28" i="60"/>
  <c r="AR37" i="60"/>
  <c r="AS49" i="72"/>
  <c r="AR23" i="72"/>
  <c r="AR5" i="44" s="1"/>
  <c r="BD14" i="72"/>
  <c r="AB63" i="74"/>
  <c r="AM64" i="72" s="1"/>
  <c r="AM68" i="72" s="1"/>
  <c r="AB51" i="74"/>
  <c r="AA70" i="87"/>
  <c r="BQ70" i="72"/>
  <c r="BE78" i="72"/>
  <c r="AB62" i="88"/>
  <c r="AB54" i="88"/>
  <c r="CG106" i="72"/>
  <c r="BD103" i="72"/>
  <c r="AR112" i="72"/>
  <c r="AU12" i="72"/>
  <c r="AA68" i="88"/>
  <c r="AB64" i="86"/>
  <c r="AP46" i="72" s="1"/>
  <c r="BJ33" i="72"/>
  <c r="BJ42" i="72" s="1"/>
  <c r="BJ6" i="44" s="1"/>
  <c r="BU16" i="72"/>
  <c r="DF10" i="44"/>
  <c r="DF15" i="44" s="1"/>
  <c r="DF8" i="44"/>
  <c r="DF25" i="16" s="1"/>
  <c r="BJ10" i="44"/>
  <c r="BJ15" i="44" s="1"/>
  <c r="AX8" i="44"/>
  <c r="CH10" i="44"/>
  <c r="CH15" i="44" s="1"/>
  <c r="CG35" i="72"/>
  <c r="CG42" i="72" s="1"/>
  <c r="CG6" i="44" s="1"/>
  <c r="BJ8" i="44"/>
  <c r="BI17" i="60" s="1"/>
  <c r="AX9" i="44"/>
  <c r="DR9" i="44"/>
  <c r="DQ17" i="60" s="1"/>
  <c r="CT9" i="44"/>
  <c r="DR10" i="44"/>
  <c r="DR15" i="44" s="1"/>
  <c r="AL10" i="44"/>
  <c r="AL15" i="44" s="1"/>
  <c r="AL16" i="44" s="1"/>
  <c r="AL8" i="44"/>
  <c r="AL25" i="16" s="1"/>
  <c r="CT8" i="44"/>
  <c r="BU17" i="60"/>
  <c r="BS51" i="72"/>
  <c r="BS60" i="72" s="1"/>
  <c r="BS7" i="44" s="1"/>
  <c r="CQ53" i="72"/>
  <c r="CQ60" i="72" s="1"/>
  <c r="CQ7" i="44" s="1"/>
  <c r="CE52" i="72"/>
  <c r="CE60" i="72" s="1"/>
  <c r="CE7" i="44" s="1"/>
  <c r="DO55" i="72"/>
  <c r="DO60" i="72" s="1"/>
  <c r="DO7" i="44" s="1"/>
  <c r="BG50" i="72"/>
  <c r="BG60" i="72" s="1"/>
  <c r="BG7" i="44" s="1"/>
  <c r="DC54" i="72"/>
  <c r="DC60" i="72" s="1"/>
  <c r="DC7" i="44" s="1"/>
  <c r="AU60" i="72"/>
  <c r="AU7" i="44" s="1"/>
  <c r="BV25" i="16"/>
  <c r="BV21" i="44"/>
  <c r="BV27" i="44"/>
  <c r="DI8" i="44"/>
  <c r="DI9" i="44"/>
  <c r="DI10" i="44"/>
  <c r="DI15" i="44" s="1"/>
  <c r="AO9" i="44"/>
  <c r="AO10" i="44"/>
  <c r="AO15" i="44" s="1"/>
  <c r="AO8" i="44"/>
  <c r="BM10" i="44"/>
  <c r="BM15" i="44" s="1"/>
  <c r="BM8" i="44"/>
  <c r="BM9" i="44"/>
  <c r="CJ23" i="72"/>
  <c r="CJ5" i="44" s="1"/>
  <c r="CV18" i="72"/>
  <c r="BF28" i="60"/>
  <c r="BF37" i="60"/>
  <c r="DD42" i="72"/>
  <c r="DD6" i="44" s="1"/>
  <c r="BA9" i="44"/>
  <c r="BA10" i="44"/>
  <c r="BA15" i="44" s="1"/>
  <c r="BA8" i="44"/>
  <c r="BY8" i="44"/>
  <c r="BY10" i="44"/>
  <c r="BY15" i="44" s="1"/>
  <c r="BY9" i="44"/>
  <c r="CK9" i="44"/>
  <c r="CK10" i="44"/>
  <c r="CK15" i="44" s="1"/>
  <c r="CK8" i="44"/>
  <c r="CW9" i="44"/>
  <c r="CW8" i="44"/>
  <c r="CW10" i="44"/>
  <c r="CW15" i="44" s="1"/>
  <c r="CE71" i="72"/>
  <c r="BS78" i="72"/>
  <c r="CM28" i="60"/>
  <c r="CM37" i="60"/>
  <c r="DL74" i="72"/>
  <c r="DL78" i="72" s="1"/>
  <c r="CZ78" i="72"/>
  <c r="BY78" i="72"/>
  <c r="CK72" i="72"/>
  <c r="BL28" i="60"/>
  <c r="BL37" i="60"/>
  <c r="AJ9" i="29"/>
  <c r="BT21" i="60"/>
  <c r="BQ22" i="60"/>
  <c r="DD19" i="72"/>
  <c r="AK28" i="44"/>
  <c r="AK9" i="16"/>
  <c r="AL29" i="16" s="1"/>
  <c r="AK8" i="1" s="1"/>
  <c r="AW28" i="60"/>
  <c r="AW37" i="60"/>
  <c r="DQ75" i="72"/>
  <c r="AW21" i="60"/>
  <c r="AK23" i="44"/>
  <c r="AL20" i="44" s="1"/>
  <c r="BJ78" i="72"/>
  <c r="BV71" i="72"/>
  <c r="DP6" i="44"/>
  <c r="DF27" i="44" l="1"/>
  <c r="CH25" i="16"/>
  <c r="DE17" i="60"/>
  <c r="AC67" i="88"/>
  <c r="AC60" i="88"/>
  <c r="AC52" i="88"/>
  <c r="AB55" i="88"/>
  <c r="AB53" i="74"/>
  <c r="AA70" i="74"/>
  <c r="AB68" i="87"/>
  <c r="AB69" i="87" s="1"/>
  <c r="AB70" i="87" s="1"/>
  <c r="AS11" i="72"/>
  <c r="AS29" i="72"/>
  <c r="AS31" i="72" s="1"/>
  <c r="AB65" i="74"/>
  <c r="AC49" i="74"/>
  <c r="DF21" i="44"/>
  <c r="AB51" i="88"/>
  <c r="AC67" i="86"/>
  <c r="AC60" i="86"/>
  <c r="AC52" i="86"/>
  <c r="AC60" i="74"/>
  <c r="AC67" i="74"/>
  <c r="AC52" i="74"/>
  <c r="AC50" i="74" s="1"/>
  <c r="AC63" i="74" s="1"/>
  <c r="AN64" i="72" s="1"/>
  <c r="AN68" i="72" s="1"/>
  <c r="AC50" i="87"/>
  <c r="AC62" i="87"/>
  <c r="AC54" i="87"/>
  <c r="AC61" i="87"/>
  <c r="AB65" i="86"/>
  <c r="AC49" i="86"/>
  <c r="AP49" i="72"/>
  <c r="BB50" i="72" s="1"/>
  <c r="BB60" i="72" s="1"/>
  <c r="BB7" i="44" s="1"/>
  <c r="AA69" i="88"/>
  <c r="AU30" i="72"/>
  <c r="AU31" i="72" s="1"/>
  <c r="AB64" i="88"/>
  <c r="AV48" i="72" s="1"/>
  <c r="BQ51" i="72"/>
  <c r="BQ60" i="72" s="1"/>
  <c r="BQ7" i="44" s="1"/>
  <c r="CO53" i="72"/>
  <c r="CO60" i="72" s="1"/>
  <c r="CO7" i="44" s="1"/>
  <c r="D17" i="47" s="1"/>
  <c r="CC52" i="72"/>
  <c r="CC60" i="72" s="1"/>
  <c r="CC7" i="44" s="1"/>
  <c r="DA54" i="72"/>
  <c r="DA60" i="72" s="1"/>
  <c r="DA7" i="44" s="1"/>
  <c r="AS60" i="72"/>
  <c r="AS7" i="44" s="1"/>
  <c r="DM55" i="72"/>
  <c r="DM60" i="72" s="1"/>
  <c r="DM7" i="44" s="1"/>
  <c r="BE50" i="72"/>
  <c r="BE60" i="72" s="1"/>
  <c r="BE7" i="44" s="1"/>
  <c r="AQ21" i="60"/>
  <c r="AN22" i="60"/>
  <c r="AX103" i="72"/>
  <c r="AL112" i="72"/>
  <c r="AM49" i="72"/>
  <c r="AU101" i="72"/>
  <c r="AU102" i="72" s="1"/>
  <c r="AU13" i="72"/>
  <c r="BD112" i="72"/>
  <c r="BP104" i="72"/>
  <c r="BD28" i="60"/>
  <c r="BD37" i="60"/>
  <c r="AO23" i="72"/>
  <c r="AO5" i="44" s="1"/>
  <c r="BA14" i="72"/>
  <c r="CC71" i="72"/>
  <c r="BQ78" i="72"/>
  <c r="AM78" i="72"/>
  <c r="AY69" i="72"/>
  <c r="AO42" i="72"/>
  <c r="AO6" i="44" s="1"/>
  <c r="BA32" i="72"/>
  <c r="DH108" i="72"/>
  <c r="CV112" i="72"/>
  <c r="BH69" i="72"/>
  <c r="AV78" i="72"/>
  <c r="BA103" i="72"/>
  <c r="AO112" i="72"/>
  <c r="CS107" i="72"/>
  <c r="BD23" i="72"/>
  <c r="BD5" i="44" s="1"/>
  <c r="BP15" i="72"/>
  <c r="BD42" i="72"/>
  <c r="BD6" i="44" s="1"/>
  <c r="BP33" i="72"/>
  <c r="AX14" i="72"/>
  <c r="AL23" i="72"/>
  <c r="AL5" i="44" s="1"/>
  <c r="AP78" i="72"/>
  <c r="AO28" i="60" s="1"/>
  <c r="BB69" i="72"/>
  <c r="AX27" i="44"/>
  <c r="BV34" i="72"/>
  <c r="BV42" i="72" s="1"/>
  <c r="BV6" i="44" s="1"/>
  <c r="DJ55" i="72"/>
  <c r="DJ60" i="72" s="1"/>
  <c r="DJ7" i="44" s="1"/>
  <c r="AP60" i="72"/>
  <c r="AP7" i="44" s="1"/>
  <c r="CG17" i="72"/>
  <c r="CS36" i="72"/>
  <c r="CS42" i="72" s="1"/>
  <c r="CS6" i="44" s="1"/>
  <c r="BJ27" i="44"/>
  <c r="AW17" i="60"/>
  <c r="CH27" i="44"/>
  <c r="AX21" i="44"/>
  <c r="AX25" i="16"/>
  <c r="CH21" i="44"/>
  <c r="DR25" i="16"/>
  <c r="BJ21" i="44"/>
  <c r="BJ25" i="16"/>
  <c r="DR21" i="44"/>
  <c r="CT21" i="44"/>
  <c r="CT27" i="44"/>
  <c r="CT25" i="16"/>
  <c r="AL21" i="44"/>
  <c r="AL22" i="44" s="1"/>
  <c r="AK10" i="60" s="1"/>
  <c r="CS17" i="60"/>
  <c r="DR27" i="44"/>
  <c r="AL27" i="44"/>
  <c r="AL8" i="16"/>
  <c r="AL17" i="44"/>
  <c r="AM14" i="44" s="1"/>
  <c r="AK17" i="60"/>
  <c r="AZ17" i="60"/>
  <c r="CV17" i="60"/>
  <c r="AN17" i="60"/>
  <c r="CJ17" i="60"/>
  <c r="DC21" i="60"/>
  <c r="CZ22" i="60"/>
  <c r="BY27" i="44"/>
  <c r="BY21" i="44"/>
  <c r="BY25" i="16"/>
  <c r="BM27" i="44"/>
  <c r="BM25" i="16"/>
  <c r="BM21" i="44"/>
  <c r="BA21" i="44"/>
  <c r="BA25" i="16"/>
  <c r="BA27" i="44"/>
  <c r="AU10" i="44"/>
  <c r="AU15" i="44" s="1"/>
  <c r="AU8" i="44"/>
  <c r="AU9" i="44"/>
  <c r="CE10" i="44"/>
  <c r="CE15" i="44" s="1"/>
  <c r="CE8" i="44"/>
  <c r="CE9" i="44"/>
  <c r="CQ72" i="72"/>
  <c r="CE78" i="72"/>
  <c r="CK27" i="44"/>
  <c r="CK25" i="16"/>
  <c r="CK21" i="44"/>
  <c r="CV23" i="72"/>
  <c r="CV5" i="44" s="1"/>
  <c r="DH19" i="72"/>
  <c r="BL17" i="60"/>
  <c r="DC8" i="44"/>
  <c r="DC10" i="44"/>
  <c r="DC15" i="44" s="1"/>
  <c r="DC9" i="44"/>
  <c r="CQ9" i="44"/>
  <c r="CQ10" i="44"/>
  <c r="CQ15" i="44" s="1"/>
  <c r="CQ8" i="44"/>
  <c r="DI27" i="44"/>
  <c r="DI25" i="16"/>
  <c r="DI21" i="44"/>
  <c r="DO9" i="44"/>
  <c r="DO8" i="44"/>
  <c r="DO10" i="44"/>
  <c r="DO15" i="44" s="1"/>
  <c r="BR28" i="60"/>
  <c r="BR37" i="60"/>
  <c r="BX17" i="60"/>
  <c r="DH17" i="60"/>
  <c r="CW21" i="44"/>
  <c r="CW27" i="44"/>
  <c r="CW25" i="16"/>
  <c r="AO27" i="44"/>
  <c r="AO21" i="44"/>
  <c r="AO25" i="16"/>
  <c r="BG8" i="44"/>
  <c r="BG10" i="44"/>
  <c r="BG15" i="44" s="1"/>
  <c r="BG9" i="44"/>
  <c r="BS8" i="44"/>
  <c r="BS10" i="44"/>
  <c r="BS15" i="44" s="1"/>
  <c r="BS9" i="44"/>
  <c r="CY28" i="60"/>
  <c r="CY37" i="60"/>
  <c r="DK28" i="60"/>
  <c r="DK37" i="60"/>
  <c r="CK78" i="72"/>
  <c r="CW73" i="72"/>
  <c r="BX28" i="60"/>
  <c r="BX37" i="60"/>
  <c r="AK25" i="1"/>
  <c r="CH72" i="72"/>
  <c r="BV78" i="72"/>
  <c r="CF21" i="60"/>
  <c r="CC22" i="60"/>
  <c r="DP20" i="72"/>
  <c r="BI28" i="60"/>
  <c r="BI37" i="60"/>
  <c r="CH35" i="72"/>
  <c r="CH42" i="72" s="1"/>
  <c r="AJ10" i="29"/>
  <c r="AJ10" i="1" s="1"/>
  <c r="AK10" i="16"/>
  <c r="AK26" i="16" s="1"/>
  <c r="AK29" i="44"/>
  <c r="AL26" i="44" s="1"/>
  <c r="BI21" i="60"/>
  <c r="BF22" i="60"/>
  <c r="DO21" i="60"/>
  <c r="DL22" i="60"/>
  <c r="BZ52" i="72" l="1"/>
  <c r="BZ60" i="72" s="1"/>
  <c r="BZ7" i="44" s="1"/>
  <c r="CX54" i="72"/>
  <c r="CX60" i="72" s="1"/>
  <c r="CX7" i="44" s="1"/>
  <c r="AK9" i="29"/>
  <c r="D18" i="47"/>
  <c r="D16" i="47"/>
  <c r="AK17" i="47"/>
  <c r="AO17" i="47"/>
  <c r="AI17" i="47"/>
  <c r="AJ17" i="47"/>
  <c r="AN17" i="47"/>
  <c r="AM17" i="47"/>
  <c r="AL17" i="47"/>
  <c r="AS17" i="47"/>
  <c r="AP17" i="47"/>
  <c r="AX17" i="47"/>
  <c r="AT17" i="47"/>
  <c r="AW17" i="47"/>
  <c r="BA17" i="47"/>
  <c r="AZ17" i="47"/>
  <c r="AQ17" i="47"/>
  <c r="AY17" i="47"/>
  <c r="AU17" i="47"/>
  <c r="AR17" i="47"/>
  <c r="AV17" i="47"/>
  <c r="BI17" i="47"/>
  <c r="BM17" i="47"/>
  <c r="BL17" i="47"/>
  <c r="BE17" i="47"/>
  <c r="BK17" i="47"/>
  <c r="BF17" i="47"/>
  <c r="BD17" i="47"/>
  <c r="BH17" i="47"/>
  <c r="BC17" i="47"/>
  <c r="BB17" i="47"/>
  <c r="BJ17" i="47"/>
  <c r="BG17" i="47"/>
  <c r="BY17" i="47"/>
  <c r="BQ17" i="47"/>
  <c r="BP17" i="47"/>
  <c r="BR17" i="47"/>
  <c r="BO17" i="47"/>
  <c r="BN17" i="47"/>
  <c r="BT17" i="47"/>
  <c r="BX17" i="47"/>
  <c r="BU17" i="47"/>
  <c r="BV17" i="47"/>
  <c r="BW17" i="47"/>
  <c r="BS17" i="47"/>
  <c r="CK17" i="47"/>
  <c r="CG17" i="47"/>
  <c r="CI17" i="47"/>
  <c r="CA17" i="47"/>
  <c r="CE17" i="47"/>
  <c r="CH17" i="47"/>
  <c r="CJ17" i="47"/>
  <c r="CF17" i="47"/>
  <c r="CC17" i="47"/>
  <c r="CB17" i="47"/>
  <c r="CD17" i="47"/>
  <c r="BZ17" i="47"/>
  <c r="CR17" i="47"/>
  <c r="CT17" i="47"/>
  <c r="CP17" i="47"/>
  <c r="CQ17" i="47"/>
  <c r="CU17" i="47"/>
  <c r="CS17" i="47"/>
  <c r="CW17" i="47"/>
  <c r="CV17" i="47"/>
  <c r="CO17" i="47"/>
  <c r="CN17" i="47"/>
  <c r="CM17" i="47"/>
  <c r="CL17" i="47"/>
  <c r="DD17" i="47"/>
  <c r="DH17" i="47"/>
  <c r="DI17" i="47"/>
  <c r="DC17" i="47"/>
  <c r="DG17" i="47"/>
  <c r="DE17" i="47"/>
  <c r="CZ17" i="47"/>
  <c r="DA17" i="47"/>
  <c r="DB17" i="47"/>
  <c r="DF17" i="47"/>
  <c r="CY17" i="47"/>
  <c r="CX17" i="47"/>
  <c r="DT17" i="47"/>
  <c r="DM17" i="47"/>
  <c r="DP17" i="47"/>
  <c r="DR17" i="47"/>
  <c r="DO17" i="47"/>
  <c r="DJ17" i="47"/>
  <c r="DL17" i="47"/>
  <c r="DQ17" i="47"/>
  <c r="DS17" i="47"/>
  <c r="DU17" i="47"/>
  <c r="DK17" i="47"/>
  <c r="DN17" i="47"/>
  <c r="CL53" i="72"/>
  <c r="CL60" i="72" s="1"/>
  <c r="CL7" i="44" s="1"/>
  <c r="CL10" i="44" s="1"/>
  <c r="CL15" i="44" s="1"/>
  <c r="BN51" i="72"/>
  <c r="BN60" i="72" s="1"/>
  <c r="BN7" i="44" s="1"/>
  <c r="BN10" i="44" s="1"/>
  <c r="BN15" i="44" s="1"/>
  <c r="AC63" i="87"/>
  <c r="AT66" i="72" s="1"/>
  <c r="AT68" i="72" s="1"/>
  <c r="AC51" i="87"/>
  <c r="AC53" i="87" s="1"/>
  <c r="AC50" i="86"/>
  <c r="AC54" i="86" s="1"/>
  <c r="AS13" i="72"/>
  <c r="AS100" i="72"/>
  <c r="AS102" i="72" s="1"/>
  <c r="AC68" i="87"/>
  <c r="AC64" i="87"/>
  <c r="AZ69" i="72"/>
  <c r="AN78" i="72"/>
  <c r="AC61" i="86"/>
  <c r="AC62" i="74"/>
  <c r="AC54" i="74"/>
  <c r="AC55" i="74" s="1"/>
  <c r="AC62" i="86"/>
  <c r="AC55" i="87"/>
  <c r="AC65" i="87" s="1"/>
  <c r="AM9" i="72"/>
  <c r="AB68" i="74"/>
  <c r="AB65" i="88"/>
  <c r="AC49" i="88"/>
  <c r="AP10" i="72"/>
  <c r="AB68" i="86"/>
  <c r="AC61" i="74"/>
  <c r="AB53" i="88"/>
  <c r="AS42" i="72"/>
  <c r="AS6" i="44" s="1"/>
  <c r="BE32" i="72"/>
  <c r="AC51" i="74"/>
  <c r="AC53" i="74" s="1"/>
  <c r="BC21" i="60"/>
  <c r="AZ22" i="60"/>
  <c r="DE108" i="72"/>
  <c r="BT70" i="72"/>
  <c r="BH78" i="72"/>
  <c r="AK22" i="60"/>
  <c r="AN21" i="60"/>
  <c r="CC78" i="72"/>
  <c r="CO72" i="72"/>
  <c r="BG103" i="72"/>
  <c r="AU112" i="72"/>
  <c r="DA10" i="44"/>
  <c r="DA15" i="44" s="1"/>
  <c r="DA9" i="44"/>
  <c r="DA8" i="44"/>
  <c r="BG32" i="72"/>
  <c r="AU42" i="72"/>
  <c r="AU6" i="44" s="1"/>
  <c r="BP23" i="72"/>
  <c r="BP5" i="44" s="1"/>
  <c r="CB16" i="72"/>
  <c r="BK70" i="72"/>
  <c r="BP112" i="72"/>
  <c r="CB105" i="72"/>
  <c r="BE8" i="44"/>
  <c r="BE10" i="44"/>
  <c r="BE15" i="44" s="1"/>
  <c r="BE9" i="44"/>
  <c r="CC9" i="44"/>
  <c r="CC10" i="44"/>
  <c r="CC15" i="44" s="1"/>
  <c r="CC8" i="44"/>
  <c r="AA70" i="88"/>
  <c r="BJ15" i="72"/>
  <c r="AX23" i="72"/>
  <c r="AX5" i="44" s="1"/>
  <c r="BA112" i="72"/>
  <c r="BM104" i="72"/>
  <c r="DT109" i="72"/>
  <c r="DT112" i="72" s="1"/>
  <c r="DH112" i="72"/>
  <c r="AL28" i="60"/>
  <c r="AL37" i="60"/>
  <c r="DG55" i="72"/>
  <c r="DG60" i="72" s="1"/>
  <c r="DG7" i="44" s="1"/>
  <c r="BK51" i="72"/>
  <c r="BK60" i="72" s="1"/>
  <c r="BK7" i="44" s="1"/>
  <c r="CI53" i="72"/>
  <c r="CI60" i="72" s="1"/>
  <c r="CI7" i="44" s="1"/>
  <c r="BW52" i="72"/>
  <c r="BW60" i="72" s="1"/>
  <c r="BW7" i="44" s="1"/>
  <c r="AM60" i="72"/>
  <c r="AM7" i="44" s="1"/>
  <c r="AY50" i="72"/>
  <c r="AY60" i="72" s="1"/>
  <c r="AY7" i="44" s="1"/>
  <c r="CU54" i="72"/>
  <c r="CU60" i="72" s="1"/>
  <c r="CU7" i="44" s="1"/>
  <c r="DS56" i="72"/>
  <c r="DS60" i="72" s="1"/>
  <c r="DS7" i="44" s="1"/>
  <c r="BJ104" i="72"/>
  <c r="AX112" i="72"/>
  <c r="DM9" i="44"/>
  <c r="DM8" i="44"/>
  <c r="DM10" i="44"/>
  <c r="DM15" i="44" s="1"/>
  <c r="CO8" i="44"/>
  <c r="CO9" i="44"/>
  <c r="CO10" i="44"/>
  <c r="CO15" i="44" s="1"/>
  <c r="BN70" i="72"/>
  <c r="BB78" i="72"/>
  <c r="BA28" i="60" s="1"/>
  <c r="BP42" i="72"/>
  <c r="BP6" i="44" s="1"/>
  <c r="CB34" i="72"/>
  <c r="AU28" i="60"/>
  <c r="AU37" i="60"/>
  <c r="BA42" i="72"/>
  <c r="BA6" i="44" s="1"/>
  <c r="BM33" i="72"/>
  <c r="BP28" i="60"/>
  <c r="BP37" i="60"/>
  <c r="BA23" i="72"/>
  <c r="BA5" i="44" s="1"/>
  <c r="BM15" i="72"/>
  <c r="AU23" i="72"/>
  <c r="AU5" i="44" s="1"/>
  <c r="BG14" i="72"/>
  <c r="BG23" i="72" s="1"/>
  <c r="BG5" i="44" s="1"/>
  <c r="BS15" i="72"/>
  <c r="AS10" i="44"/>
  <c r="AS15" i="44" s="1"/>
  <c r="AS9" i="44"/>
  <c r="AS8" i="44"/>
  <c r="BQ9" i="44"/>
  <c r="BQ10" i="44"/>
  <c r="BQ15" i="44" s="1"/>
  <c r="BQ8" i="44"/>
  <c r="AV49" i="72"/>
  <c r="AP9" i="44"/>
  <c r="AP8" i="44"/>
  <c r="AP10" i="44"/>
  <c r="AP15" i="44" s="1"/>
  <c r="DJ8" i="44"/>
  <c r="DJ10" i="44"/>
  <c r="DJ15" i="44" s="1"/>
  <c r="DJ9" i="44"/>
  <c r="CX8" i="44"/>
  <c r="CX9" i="44"/>
  <c r="CX10" i="44"/>
  <c r="CX15" i="44" s="1"/>
  <c r="BZ8" i="44"/>
  <c r="BZ9" i="44"/>
  <c r="BZ10" i="44"/>
  <c r="BZ15" i="44" s="1"/>
  <c r="BN8" i="44"/>
  <c r="BB10" i="44"/>
  <c r="BB15" i="44" s="1"/>
  <c r="BB9" i="44"/>
  <c r="BB8" i="44"/>
  <c r="DE37" i="72"/>
  <c r="DE42" i="72" s="1"/>
  <c r="DE6" i="44" s="1"/>
  <c r="CS18" i="72"/>
  <c r="BF17" i="60"/>
  <c r="DB17" i="60"/>
  <c r="BR17" i="60"/>
  <c r="DO25" i="16"/>
  <c r="DO21" i="44"/>
  <c r="DO27" i="44"/>
  <c r="CD28" i="60"/>
  <c r="CD37" i="60"/>
  <c r="AU27" i="44"/>
  <c r="AU25" i="16"/>
  <c r="AU21" i="44"/>
  <c r="BS21" i="44"/>
  <c r="BS27" i="44"/>
  <c r="BS25" i="16"/>
  <c r="BG21" i="44"/>
  <c r="BG27" i="44"/>
  <c r="BG25" i="16"/>
  <c r="DN17" i="60"/>
  <c r="DC25" i="16"/>
  <c r="DC27" i="44"/>
  <c r="DC21" i="44"/>
  <c r="DH23" i="72"/>
  <c r="DH5" i="44" s="1"/>
  <c r="DT20" i="72"/>
  <c r="DT23" i="72" s="1"/>
  <c r="DT5" i="44" s="1"/>
  <c r="DC73" i="72"/>
  <c r="CQ78" i="72"/>
  <c r="CQ27" i="44"/>
  <c r="CQ21" i="44"/>
  <c r="CQ25" i="16"/>
  <c r="CE25" i="16"/>
  <c r="CE21" i="44"/>
  <c r="CE27" i="44"/>
  <c r="AL9" i="16"/>
  <c r="AM29" i="16" s="1"/>
  <c r="AL25" i="1" s="1"/>
  <c r="AL23" i="44"/>
  <c r="AM20" i="44" s="1"/>
  <c r="CP17" i="60"/>
  <c r="CD17" i="60"/>
  <c r="AT17" i="60"/>
  <c r="CW78" i="72"/>
  <c r="DI74" i="72"/>
  <c r="DI78" i="72" s="1"/>
  <c r="CJ28" i="60"/>
  <c r="CJ37" i="60"/>
  <c r="BU21" i="60"/>
  <c r="BR22" i="60"/>
  <c r="BU28" i="60"/>
  <c r="BU37" i="60"/>
  <c r="AL28" i="44"/>
  <c r="CR21" i="60"/>
  <c r="CO22" i="60"/>
  <c r="CT73" i="72"/>
  <c r="CH78" i="72"/>
  <c r="CT36" i="72"/>
  <c r="CT42" i="72" s="1"/>
  <c r="CL9" i="44" l="1"/>
  <c r="CL8" i="44"/>
  <c r="BN9" i="44"/>
  <c r="Q8" i="87"/>
  <c r="AT47" i="72"/>
  <c r="AT49" i="72" s="1"/>
  <c r="DQ13" i="60"/>
  <c r="BU13" i="60"/>
  <c r="DH13" i="60"/>
  <c r="DB13" i="60"/>
  <c r="BF13" i="60"/>
  <c r="DK13" i="60"/>
  <c r="BO13" i="60"/>
  <c r="BL13" i="60"/>
  <c r="BI13" i="60"/>
  <c r="BX13" i="60"/>
  <c r="CP13" i="60"/>
  <c r="AT13" i="60"/>
  <c r="BC13" i="60"/>
  <c r="CJ13" i="60"/>
  <c r="DE13" i="60"/>
  <c r="CY13" i="60"/>
  <c r="AQ13" i="60"/>
  <c r="CS13" i="60"/>
  <c r="AW13" i="60"/>
  <c r="AN13" i="60"/>
  <c r="CD13" i="60"/>
  <c r="CM13" i="60"/>
  <c r="CG13" i="60"/>
  <c r="AK13" i="60"/>
  <c r="DN13" i="60"/>
  <c r="BR13" i="60"/>
  <c r="AZ13" i="60"/>
  <c r="CA13" i="60"/>
  <c r="CV13" i="60"/>
  <c r="AL14" i="60"/>
  <c r="AM16" i="47"/>
  <c r="AL16" i="47"/>
  <c r="AI16" i="47"/>
  <c r="AN16" i="47"/>
  <c r="AO16" i="47"/>
  <c r="AM12" i="60"/>
  <c r="AL12" i="60"/>
  <c r="AM14" i="60"/>
  <c r="AJ16" i="47"/>
  <c r="AK12" i="60"/>
  <c r="AK14" i="60"/>
  <c r="AK16" i="47"/>
  <c r="AP16" i="47"/>
  <c r="AW12" i="60"/>
  <c r="AT12" i="60"/>
  <c r="AP12" i="60"/>
  <c r="AV12" i="60"/>
  <c r="AQ12" i="60"/>
  <c r="AR14" i="60"/>
  <c r="AY14" i="60"/>
  <c r="AO12" i="60"/>
  <c r="AX14" i="60"/>
  <c r="AS14" i="60"/>
  <c r="AO14" i="60"/>
  <c r="AR12" i="60"/>
  <c r="AY12" i="60"/>
  <c r="AX12" i="60"/>
  <c r="AS12" i="60"/>
  <c r="AU14" i="60"/>
  <c r="AW14" i="60"/>
  <c r="AT14" i="60"/>
  <c r="AP14" i="60"/>
  <c r="AV14" i="60"/>
  <c r="AN12" i="60"/>
  <c r="AQ14" i="60"/>
  <c r="AU12" i="60"/>
  <c r="AN14" i="60"/>
  <c r="BF12" i="60"/>
  <c r="AZ12" i="60"/>
  <c r="BJ12" i="60"/>
  <c r="BI12" i="60"/>
  <c r="BH12" i="60"/>
  <c r="BG12" i="60"/>
  <c r="BD14" i="60"/>
  <c r="BK14" i="60"/>
  <c r="BC14" i="60"/>
  <c r="BB14" i="60"/>
  <c r="BE14" i="60"/>
  <c r="BG14" i="60"/>
  <c r="BD12" i="60"/>
  <c r="BK12" i="60"/>
  <c r="BC12" i="60"/>
  <c r="BB12" i="60"/>
  <c r="BE12" i="60"/>
  <c r="BA14" i="60"/>
  <c r="BA12" i="60"/>
  <c r="BF14" i="60"/>
  <c r="AZ14" i="60"/>
  <c r="BJ14" i="60"/>
  <c r="BI14" i="60"/>
  <c r="BH14" i="60"/>
  <c r="BS12" i="60"/>
  <c r="BM12" i="60"/>
  <c r="BP14" i="60"/>
  <c r="BU14" i="60"/>
  <c r="BO14" i="60"/>
  <c r="BW14" i="60"/>
  <c r="BR14" i="60"/>
  <c r="BM14" i="60"/>
  <c r="BP12" i="60"/>
  <c r="BU12" i="60"/>
  <c r="BO12" i="60"/>
  <c r="BW12" i="60"/>
  <c r="BR12" i="60"/>
  <c r="BQ14" i="60"/>
  <c r="BT14" i="60"/>
  <c r="BN14" i="60"/>
  <c r="BV14" i="60"/>
  <c r="BL14" i="60"/>
  <c r="BQ12" i="60"/>
  <c r="BT12" i="60"/>
  <c r="BN12" i="60"/>
  <c r="BV12" i="60"/>
  <c r="BL12" i="60"/>
  <c r="BS14" i="60"/>
  <c r="CD14" i="60"/>
  <c r="CH14" i="60"/>
  <c r="CA14" i="60"/>
  <c r="CB14" i="60"/>
  <c r="CF14" i="60"/>
  <c r="CE14" i="60"/>
  <c r="CD12" i="60"/>
  <c r="CH12" i="60"/>
  <c r="CA12" i="60"/>
  <c r="CB12" i="60"/>
  <c r="CF12" i="60"/>
  <c r="BY12" i="60"/>
  <c r="CE12" i="60"/>
  <c r="CC14" i="60"/>
  <c r="BX14" i="60"/>
  <c r="CI14" i="60"/>
  <c r="CG14" i="60"/>
  <c r="BZ14" i="60"/>
  <c r="CC12" i="60"/>
  <c r="BX12" i="60"/>
  <c r="CI12" i="60"/>
  <c r="CG12" i="60"/>
  <c r="BZ12" i="60"/>
  <c r="BY14" i="60"/>
  <c r="CP12" i="60"/>
  <c r="CR12" i="60"/>
  <c r="CO12" i="60"/>
  <c r="CK12" i="60"/>
  <c r="CM12" i="60"/>
  <c r="CT12" i="60"/>
  <c r="CO14" i="60"/>
  <c r="CU14" i="60"/>
  <c r="CP14" i="60"/>
  <c r="CK14" i="60"/>
  <c r="CQ14" i="60"/>
  <c r="CM14" i="60"/>
  <c r="CL12" i="60"/>
  <c r="CS12" i="60"/>
  <c r="CU12" i="60"/>
  <c r="CQ12" i="60"/>
  <c r="CN12" i="60"/>
  <c r="CJ14" i="60"/>
  <c r="CS14" i="60"/>
  <c r="CL14" i="60"/>
  <c r="CR14" i="60"/>
  <c r="CJ12" i="60"/>
  <c r="CT14" i="60"/>
  <c r="CN14" i="60"/>
  <c r="DE12" i="60"/>
  <c r="CV12" i="60"/>
  <c r="DG12" i="60"/>
  <c r="DB12" i="60"/>
  <c r="CZ12" i="60"/>
  <c r="DE14" i="60"/>
  <c r="CW14" i="60"/>
  <c r="CY14" i="60"/>
  <c r="DA14" i="60"/>
  <c r="DC14" i="60"/>
  <c r="DB14" i="60"/>
  <c r="DF14" i="60"/>
  <c r="DD12" i="60"/>
  <c r="DA12" i="60"/>
  <c r="CX12" i="60"/>
  <c r="CW12" i="60"/>
  <c r="DC12" i="60"/>
  <c r="CY12" i="60"/>
  <c r="DF12" i="60"/>
  <c r="DD14" i="60"/>
  <c r="DG14" i="60"/>
  <c r="CZ14" i="60"/>
  <c r="CX14" i="60"/>
  <c r="CV14" i="60"/>
  <c r="DH12" i="60"/>
  <c r="DP12" i="60"/>
  <c r="DN12" i="60"/>
  <c r="DJ12" i="60"/>
  <c r="DO12" i="60"/>
  <c r="DI12" i="60"/>
  <c r="DL12" i="60"/>
  <c r="DI14" i="60"/>
  <c r="DO14" i="60"/>
  <c r="DJ14" i="60"/>
  <c r="DQ14" i="60"/>
  <c r="DR14" i="60"/>
  <c r="DM14" i="60"/>
  <c r="DN14" i="60"/>
  <c r="DM12" i="60"/>
  <c r="DQ12" i="60"/>
  <c r="DS12" i="60"/>
  <c r="DK12" i="60"/>
  <c r="DR12" i="60"/>
  <c r="DH14" i="60"/>
  <c r="DK14" i="60"/>
  <c r="DS14" i="60"/>
  <c r="DL14" i="60"/>
  <c r="DP14" i="60"/>
  <c r="BA16" i="47"/>
  <c r="AV16" i="47"/>
  <c r="AS16" i="47"/>
  <c r="AW16" i="47"/>
  <c r="AZ16" i="47"/>
  <c r="AX16" i="47"/>
  <c r="AR16" i="47"/>
  <c r="AQ16" i="47"/>
  <c r="AT16" i="47"/>
  <c r="AY16" i="47"/>
  <c r="AU16" i="47"/>
  <c r="BM16" i="47"/>
  <c r="BH16" i="47"/>
  <c r="BI16" i="47"/>
  <c r="BC16" i="47"/>
  <c r="BK16" i="47"/>
  <c r="BD16" i="47"/>
  <c r="BJ16" i="47"/>
  <c r="BE16" i="47"/>
  <c r="BB16" i="47"/>
  <c r="BG16" i="47"/>
  <c r="BF16" i="47"/>
  <c r="BL16" i="47"/>
  <c r="BQ16" i="47"/>
  <c r="BT16" i="47"/>
  <c r="BS16" i="47"/>
  <c r="BP16" i="47"/>
  <c r="BN16" i="47"/>
  <c r="BX16" i="47"/>
  <c r="BU16" i="47"/>
  <c r="BY16" i="47"/>
  <c r="BV16" i="47"/>
  <c r="BR16" i="47"/>
  <c r="BO16" i="47"/>
  <c r="BW16" i="47"/>
  <c r="CH16" i="47"/>
  <c r="CF16" i="47"/>
  <c r="CI16" i="47"/>
  <c r="CK16" i="47"/>
  <c r="BZ16" i="47"/>
  <c r="CA16" i="47"/>
  <c r="CD16" i="47"/>
  <c r="CE16" i="47"/>
  <c r="CB16" i="47"/>
  <c r="CC16" i="47"/>
  <c r="CG16" i="47"/>
  <c r="CJ16" i="47"/>
  <c r="CQ16" i="47"/>
  <c r="CS16" i="47"/>
  <c r="CL16" i="47"/>
  <c r="CT16" i="47"/>
  <c r="CM16" i="47"/>
  <c r="CW16" i="47"/>
  <c r="CR16" i="47"/>
  <c r="CO16" i="47"/>
  <c r="CP16" i="47"/>
  <c r="CN16" i="47"/>
  <c r="CV16" i="47"/>
  <c r="CU16" i="47"/>
  <c r="DE16" i="47"/>
  <c r="DG16" i="47"/>
  <c r="CY16" i="47"/>
  <c r="DF16" i="47"/>
  <c r="DB16" i="47"/>
  <c r="DI16" i="47"/>
  <c r="DH16" i="47"/>
  <c r="DC16" i="47"/>
  <c r="DA16" i="47"/>
  <c r="CZ16" i="47"/>
  <c r="DD16" i="47"/>
  <c r="CX16" i="47"/>
  <c r="DO16" i="47"/>
  <c r="DK16" i="47"/>
  <c r="DJ16" i="47"/>
  <c r="DT16" i="47"/>
  <c r="DP16" i="47"/>
  <c r="DQ16" i="47"/>
  <c r="DL16" i="47"/>
  <c r="DR16" i="47"/>
  <c r="DU16" i="47"/>
  <c r="DS16" i="47"/>
  <c r="DM16" i="47"/>
  <c r="DN16" i="47"/>
  <c r="AI18" i="47"/>
  <c r="AK18" i="47"/>
  <c r="AO18" i="47"/>
  <c r="AM18" i="47"/>
  <c r="AL18" i="47"/>
  <c r="AJ18" i="47"/>
  <c r="AN18" i="47"/>
  <c r="AR18" i="47"/>
  <c r="AV18" i="47"/>
  <c r="AS18" i="47"/>
  <c r="AQ18" i="47"/>
  <c r="AY18" i="47"/>
  <c r="AU18" i="47"/>
  <c r="AW18" i="47"/>
  <c r="BA18" i="47"/>
  <c r="AZ18" i="47"/>
  <c r="AP18" i="47"/>
  <c r="AX18" i="47"/>
  <c r="AT18" i="47"/>
  <c r="BK18" i="47"/>
  <c r="BF18" i="47"/>
  <c r="BI18" i="47"/>
  <c r="BM18" i="47"/>
  <c r="BL18" i="47"/>
  <c r="BE18" i="47"/>
  <c r="BC18" i="47"/>
  <c r="BB18" i="47"/>
  <c r="BJ18" i="47"/>
  <c r="BG18" i="47"/>
  <c r="BD18" i="47"/>
  <c r="BH18" i="47"/>
  <c r="BR18" i="47"/>
  <c r="BO18" i="47"/>
  <c r="BN18" i="47"/>
  <c r="BY18" i="47"/>
  <c r="BQ18" i="47"/>
  <c r="BP18" i="47"/>
  <c r="BV18" i="47"/>
  <c r="BW18" i="47"/>
  <c r="BS18" i="47"/>
  <c r="BT18" i="47"/>
  <c r="BX18" i="47"/>
  <c r="BU18" i="47"/>
  <c r="CI18" i="47"/>
  <c r="CA18" i="47"/>
  <c r="CE18" i="47"/>
  <c r="CH18" i="47"/>
  <c r="CK18" i="47"/>
  <c r="CG18" i="47"/>
  <c r="CD18" i="47"/>
  <c r="BZ18" i="47"/>
  <c r="CJ18" i="47"/>
  <c r="CF18" i="47"/>
  <c r="CC18" i="47"/>
  <c r="CB18" i="47"/>
  <c r="CT18" i="47"/>
  <c r="CP18" i="47"/>
  <c r="CQ18" i="47"/>
  <c r="CU18" i="47"/>
  <c r="CS18" i="47"/>
  <c r="CR18" i="47"/>
  <c r="CM18" i="47"/>
  <c r="CL18" i="47"/>
  <c r="CW18" i="47"/>
  <c r="CV18" i="47"/>
  <c r="CO18" i="47"/>
  <c r="CN18" i="47"/>
  <c r="DI18" i="47"/>
  <c r="DC18" i="47"/>
  <c r="DG18" i="47"/>
  <c r="DE18" i="47"/>
  <c r="DD18" i="47"/>
  <c r="DH18" i="47"/>
  <c r="DB18" i="47"/>
  <c r="DF18" i="47"/>
  <c r="CY18" i="47"/>
  <c r="CX18" i="47"/>
  <c r="CZ18" i="47"/>
  <c r="DA18" i="47"/>
  <c r="DR18" i="47"/>
  <c r="DO18" i="47"/>
  <c r="DJ18" i="47"/>
  <c r="DT18" i="47"/>
  <c r="DM18" i="47"/>
  <c r="DP18" i="47"/>
  <c r="DS18" i="47"/>
  <c r="DU18" i="47"/>
  <c r="DK18" i="47"/>
  <c r="DN18" i="47"/>
  <c r="DL18" i="47"/>
  <c r="DQ18" i="47"/>
  <c r="AR17" i="60"/>
  <c r="CB17" i="60"/>
  <c r="BY17" i="60"/>
  <c r="AP99" i="72"/>
  <c r="AP102" i="72" s="1"/>
  <c r="AP13" i="72"/>
  <c r="AM13" i="72"/>
  <c r="AM98" i="72"/>
  <c r="AM102" i="72" s="1"/>
  <c r="AS23" i="72"/>
  <c r="AS5" i="44" s="1"/>
  <c r="BE14" i="72"/>
  <c r="AC62" i="88"/>
  <c r="AT11" i="72"/>
  <c r="AT29" i="72"/>
  <c r="AT31" i="72" s="1"/>
  <c r="AC61" i="88"/>
  <c r="AV29" i="72"/>
  <c r="AC69" i="87"/>
  <c r="AC70" i="87" s="1"/>
  <c r="AC63" i="86"/>
  <c r="AQ65" i="72" s="1"/>
  <c r="AQ68" i="72" s="1"/>
  <c r="AC51" i="86"/>
  <c r="AC53" i="86" s="1"/>
  <c r="CZ17" i="60"/>
  <c r="BE42" i="72"/>
  <c r="BE6" i="44" s="1"/>
  <c r="BQ33" i="72"/>
  <c r="AV12" i="72"/>
  <c r="AB68" i="88"/>
  <c r="AC64" i="86"/>
  <c r="AQ46" i="72" s="1"/>
  <c r="AC68" i="86"/>
  <c r="AQ28" i="72" s="1"/>
  <c r="AQ31" i="72" s="1"/>
  <c r="AC64" i="74"/>
  <c r="AC68" i="74"/>
  <c r="AM37" i="60"/>
  <c r="AM28" i="60"/>
  <c r="AC50" i="88"/>
  <c r="AC54" i="88" s="1"/>
  <c r="AR21" i="60"/>
  <c r="AO22" i="60"/>
  <c r="AP28" i="72"/>
  <c r="AP31" i="72" s="1"/>
  <c r="AB69" i="86"/>
  <c r="AM27" i="72"/>
  <c r="AM31" i="72" s="1"/>
  <c r="AB69" i="74"/>
  <c r="AC55" i="86"/>
  <c r="AC65" i="86" s="1"/>
  <c r="AQ10" i="72" s="1"/>
  <c r="AC65" i="74"/>
  <c r="AN27" i="72" s="1"/>
  <c r="AN31" i="72" s="1"/>
  <c r="BL70" i="72"/>
  <c r="AZ78" i="72"/>
  <c r="BE103" i="72"/>
  <c r="AS112" i="72"/>
  <c r="BF69" i="72"/>
  <c r="AT78" i="72"/>
  <c r="BD17" i="60"/>
  <c r="BP17" i="60"/>
  <c r="CW17" i="60"/>
  <c r="DP55" i="72"/>
  <c r="DP60" i="72" s="1"/>
  <c r="DP7" i="44" s="1"/>
  <c r="CF52" i="72"/>
  <c r="CF60" i="72" s="1"/>
  <c r="CF7" i="44" s="1"/>
  <c r="DD54" i="72"/>
  <c r="DD60" i="72" s="1"/>
  <c r="DD7" i="44" s="1"/>
  <c r="BH50" i="72"/>
  <c r="BH60" i="72" s="1"/>
  <c r="BH7" i="44" s="1"/>
  <c r="CR53" i="72"/>
  <c r="CR60" i="72" s="1"/>
  <c r="CR7" i="44" s="1"/>
  <c r="BT51" i="72"/>
  <c r="BT60" i="72" s="1"/>
  <c r="BT7" i="44" s="1"/>
  <c r="AV60" i="72"/>
  <c r="AV7" i="44" s="1"/>
  <c r="BO21" i="60"/>
  <c r="BL22" i="60"/>
  <c r="BV105" i="72"/>
  <c r="BJ112" i="72"/>
  <c r="AM9" i="44"/>
  <c r="AM8" i="44"/>
  <c r="AM10" i="44"/>
  <c r="AM15" i="44" s="1"/>
  <c r="DG10" i="44"/>
  <c r="DG15" i="44" s="1"/>
  <c r="DG9" i="44"/>
  <c r="DG8" i="44"/>
  <c r="BE21" i="44"/>
  <c r="BE25" i="16"/>
  <c r="BE27" i="44"/>
  <c r="CB23" i="72"/>
  <c r="CB5" i="44" s="1"/>
  <c r="CN17" i="72"/>
  <c r="CO78" i="72"/>
  <c r="DA73" i="72"/>
  <c r="AO17" i="60"/>
  <c r="CE16" i="72"/>
  <c r="BS23" i="72"/>
  <c r="BS5" i="44" s="1"/>
  <c r="BM23" i="72"/>
  <c r="BM5" i="44" s="1"/>
  <c r="BY16" i="72"/>
  <c r="BM42" i="72"/>
  <c r="BM6" i="44" s="1"/>
  <c r="BY34" i="72"/>
  <c r="DM27" i="44"/>
  <c r="DM21" i="44"/>
  <c r="DM25" i="16"/>
  <c r="DS8" i="44"/>
  <c r="DS9" i="44"/>
  <c r="DS10" i="44"/>
  <c r="DS15" i="44" s="1"/>
  <c r="BW9" i="44"/>
  <c r="BW8" i="44"/>
  <c r="BW10" i="44"/>
  <c r="BW15" i="44" s="1"/>
  <c r="BS104" i="72"/>
  <c r="BG112" i="72"/>
  <c r="CB28" i="60"/>
  <c r="CB37" i="60"/>
  <c r="BQ27" i="44"/>
  <c r="BQ25" i="16"/>
  <c r="BQ21" i="44"/>
  <c r="AS21" i="44"/>
  <c r="AS27" i="44"/>
  <c r="AS25" i="16"/>
  <c r="AZ21" i="60"/>
  <c r="AW22" i="60"/>
  <c r="BZ71" i="72"/>
  <c r="BN78" i="72"/>
  <c r="BM28" i="60" s="1"/>
  <c r="CO21" i="44"/>
  <c r="CO25" i="16"/>
  <c r="CO27" i="44"/>
  <c r="CU8" i="44"/>
  <c r="CU10" i="44"/>
  <c r="CU15" i="44" s="1"/>
  <c r="CU9" i="44"/>
  <c r="CI9" i="44"/>
  <c r="CI8" i="44"/>
  <c r="CI10" i="44"/>
  <c r="CI15" i="44" s="1"/>
  <c r="BJ23" i="72"/>
  <c r="BJ5" i="44" s="1"/>
  <c r="BV16" i="72"/>
  <c r="CC21" i="44"/>
  <c r="CC25" i="16"/>
  <c r="CC27" i="44"/>
  <c r="CN106" i="72"/>
  <c r="CB112" i="72"/>
  <c r="BW71" i="72"/>
  <c r="AT21" i="60"/>
  <c r="AQ22" i="60"/>
  <c r="BG28" i="60"/>
  <c r="BG37" i="60"/>
  <c r="DI17" i="60"/>
  <c r="CB42" i="72"/>
  <c r="CB6" i="44" s="1"/>
  <c r="CN35" i="72"/>
  <c r="CN17" i="60"/>
  <c r="DL17" i="60"/>
  <c r="AY9" i="44"/>
  <c r="AY10" i="44"/>
  <c r="AY15" i="44" s="1"/>
  <c r="AY8" i="44"/>
  <c r="BK8" i="44"/>
  <c r="BK9" i="44"/>
  <c r="BK10" i="44"/>
  <c r="BK15" i="44" s="1"/>
  <c r="BY105" i="72"/>
  <c r="BM112" i="72"/>
  <c r="BG42" i="72"/>
  <c r="BG6" i="44" s="1"/>
  <c r="BS33" i="72"/>
  <c r="DA25" i="16"/>
  <c r="DA21" i="44"/>
  <c r="DA27" i="44"/>
  <c r="CF71" i="72"/>
  <c r="BT78" i="72"/>
  <c r="DQ109" i="72"/>
  <c r="CK17" i="60"/>
  <c r="BA17" i="60"/>
  <c r="BN21" i="44"/>
  <c r="BN25" i="16"/>
  <c r="BN27" i="44"/>
  <c r="BM17" i="60"/>
  <c r="AP27" i="44"/>
  <c r="AP25" i="16"/>
  <c r="AP21" i="44"/>
  <c r="DQ38" i="72"/>
  <c r="DQ42" i="72" s="1"/>
  <c r="DQ6" i="44" s="1"/>
  <c r="BB25" i="16"/>
  <c r="BB27" i="44"/>
  <c r="BB21" i="44"/>
  <c r="BZ25" i="16"/>
  <c r="BZ27" i="44"/>
  <c r="BZ21" i="44"/>
  <c r="CX21" i="44"/>
  <c r="CX25" i="16"/>
  <c r="CX27" i="44"/>
  <c r="CL27" i="44"/>
  <c r="DJ25" i="16"/>
  <c r="DJ27" i="44"/>
  <c r="DJ21" i="44"/>
  <c r="DE19" i="72"/>
  <c r="AL8" i="1"/>
  <c r="CP28" i="60"/>
  <c r="CP37" i="60"/>
  <c r="DO74" i="72"/>
  <c r="DO78" i="72" s="1"/>
  <c r="DC78" i="72"/>
  <c r="CV28" i="60"/>
  <c r="CV37" i="60"/>
  <c r="DH28" i="60"/>
  <c r="DH37" i="60"/>
  <c r="CH6" i="44"/>
  <c r="DF74" i="72"/>
  <c r="CT78" i="72"/>
  <c r="AL10" i="16"/>
  <c r="AL26" i="16" s="1"/>
  <c r="AK10" i="29"/>
  <c r="AK10" i="1" s="1"/>
  <c r="DD21" i="60"/>
  <c r="DA22" i="60"/>
  <c r="CT6" i="44"/>
  <c r="DF37" i="72"/>
  <c r="DF42" i="72" s="1"/>
  <c r="CG28" i="60"/>
  <c r="CG37" i="60"/>
  <c r="AL29" i="44"/>
  <c r="AM26" i="44" s="1"/>
  <c r="CN42" i="72" l="1"/>
  <c r="CN6" i="44" s="1"/>
  <c r="CZ36" i="72"/>
  <c r="CL21" i="44"/>
  <c r="CL25" i="16"/>
  <c r="DH8" i="60"/>
  <c r="CW8" i="60"/>
  <c r="CP8" i="60"/>
  <c r="CG8" i="60"/>
  <c r="BM8" i="60"/>
  <c r="BD8" i="60"/>
  <c r="AV8" i="60"/>
  <c r="AT8" i="60"/>
  <c r="DQ8" i="60"/>
  <c r="DO8" i="60"/>
  <c r="DI8" i="60"/>
  <c r="CX8" i="60"/>
  <c r="DG8" i="60"/>
  <c r="DE8" i="60"/>
  <c r="CL8" i="60"/>
  <c r="CU8" i="60"/>
  <c r="CQ8" i="60"/>
  <c r="CA8" i="60"/>
  <c r="BY8" i="60"/>
  <c r="CD8" i="60"/>
  <c r="BP8" i="60"/>
  <c r="BV8" i="60"/>
  <c r="BR8" i="60"/>
  <c r="BE8" i="60"/>
  <c r="BB8" i="60"/>
  <c r="BF8" i="60"/>
  <c r="AR8" i="60"/>
  <c r="AX8" i="60"/>
  <c r="AY8" i="60"/>
  <c r="DK8" i="60"/>
  <c r="DF8" i="60"/>
  <c r="CE8" i="60"/>
  <c r="BQ8" i="60"/>
  <c r="BG8" i="60"/>
  <c r="DS8" i="60"/>
  <c r="DN8" i="60"/>
  <c r="DM8" i="60"/>
  <c r="CY8" i="60"/>
  <c r="CZ8" i="60"/>
  <c r="DC8" i="60"/>
  <c r="CN8" i="60"/>
  <c r="CK8" i="60"/>
  <c r="CO8" i="60"/>
  <c r="BZ8" i="60"/>
  <c r="BX8" i="60"/>
  <c r="CF8" i="60"/>
  <c r="BT8" i="60"/>
  <c r="BL8" i="60"/>
  <c r="BO8" i="60"/>
  <c r="AZ8" i="60"/>
  <c r="BI8" i="60"/>
  <c r="BK8" i="60"/>
  <c r="AO8" i="60"/>
  <c r="AU8" i="60"/>
  <c r="AN8" i="60"/>
  <c r="AM8" i="60"/>
  <c r="AK8" i="60"/>
  <c r="CD52" i="72"/>
  <c r="CD60" i="72" s="1"/>
  <c r="CD7" i="44" s="1"/>
  <c r="BF50" i="72"/>
  <c r="BF60" i="72" s="1"/>
  <c r="BF7" i="44" s="1"/>
  <c r="DB54" i="72"/>
  <c r="DB60" i="72" s="1"/>
  <c r="DB7" i="44" s="1"/>
  <c r="DN55" i="72"/>
  <c r="DN60" i="72" s="1"/>
  <c r="DN7" i="44" s="1"/>
  <c r="CP53" i="72"/>
  <c r="CP60" i="72" s="1"/>
  <c r="CP7" i="44" s="1"/>
  <c r="BR51" i="72"/>
  <c r="BR60" i="72" s="1"/>
  <c r="BR7" i="44" s="1"/>
  <c r="AT60" i="72"/>
  <c r="AT7" i="44" s="1"/>
  <c r="DJ8" i="60"/>
  <c r="DB8" i="60"/>
  <c r="CT8" i="60"/>
  <c r="CJ8" i="60"/>
  <c r="CB8" i="60"/>
  <c r="BS8" i="60"/>
  <c r="BH8" i="60"/>
  <c r="AW8" i="60"/>
  <c r="Q8" i="74"/>
  <c r="AN45" i="72"/>
  <c r="AN49" i="72" s="1"/>
  <c r="DL8" i="60"/>
  <c r="DP8" i="60"/>
  <c r="DR8" i="60"/>
  <c r="CV8" i="60"/>
  <c r="DA8" i="60"/>
  <c r="DD8" i="60"/>
  <c r="CS8" i="60"/>
  <c r="CM8" i="60"/>
  <c r="CR8" i="60"/>
  <c r="CH8" i="60"/>
  <c r="CC8" i="60"/>
  <c r="CI8" i="60"/>
  <c r="BU8" i="60"/>
  <c r="BW8" i="60"/>
  <c r="BN8" i="60"/>
  <c r="BJ8" i="60"/>
  <c r="BC8" i="60"/>
  <c r="BA8" i="60"/>
  <c r="AS8" i="60"/>
  <c r="AP8" i="60"/>
  <c r="AQ8" i="60"/>
  <c r="AL8" i="60"/>
  <c r="CT17" i="60"/>
  <c r="DR17" i="60"/>
  <c r="CH17" i="60"/>
  <c r="BJ17" i="60"/>
  <c r="AZ32" i="72"/>
  <c r="AN42" i="72"/>
  <c r="AN6" i="44" s="1"/>
  <c r="AC69" i="86"/>
  <c r="AC70" i="86" s="1"/>
  <c r="AB70" i="86"/>
  <c r="AC63" i="88"/>
  <c r="AC51" i="88"/>
  <c r="AC53" i="88" s="1"/>
  <c r="AV13" i="72"/>
  <c r="AV101" i="72"/>
  <c r="AV102" i="72" s="1"/>
  <c r="AC55" i="88"/>
  <c r="AC65" i="88" s="1"/>
  <c r="AY103" i="72"/>
  <c r="AM112" i="72"/>
  <c r="BQ104" i="72"/>
  <c r="BE112" i="72"/>
  <c r="AQ99" i="72"/>
  <c r="AQ102" i="72" s="1"/>
  <c r="AQ13" i="72"/>
  <c r="BB32" i="72"/>
  <c r="AP42" i="72"/>
  <c r="AP6" i="44" s="1"/>
  <c r="AQ42" i="72"/>
  <c r="AQ6" i="44" s="1"/>
  <c r="BC32" i="72"/>
  <c r="BQ42" i="72"/>
  <c r="BQ6" i="44" s="1"/>
  <c r="CC34" i="72"/>
  <c r="AQ78" i="72"/>
  <c r="BC69" i="72"/>
  <c r="AT42" i="72"/>
  <c r="AT6" i="44" s="1"/>
  <c r="BF32" i="72"/>
  <c r="AY14" i="72"/>
  <c r="AM23" i="72"/>
  <c r="AM5" i="44" s="1"/>
  <c r="AS37" i="60"/>
  <c r="AS28" i="60"/>
  <c r="AY28" i="60"/>
  <c r="AY37" i="60"/>
  <c r="AB70" i="74"/>
  <c r="AC69" i="74"/>
  <c r="AC70" i="74" s="1"/>
  <c r="AQ49" i="72"/>
  <c r="Q8" i="86"/>
  <c r="BD21" i="60"/>
  <c r="BA22" i="60"/>
  <c r="AT100" i="72"/>
  <c r="AT102" i="72" s="1"/>
  <c r="AT13" i="72"/>
  <c r="BE23" i="72"/>
  <c r="BE5" i="44" s="1"/>
  <c r="BQ15" i="72"/>
  <c r="BB14" i="72"/>
  <c r="AP23" i="72"/>
  <c r="AP5" i="44" s="1"/>
  <c r="BF78" i="72"/>
  <c r="BR70" i="72"/>
  <c r="BX71" i="72"/>
  <c r="BL78" i="72"/>
  <c r="AY32" i="72"/>
  <c r="AM42" i="72"/>
  <c r="AM6" i="44" s="1"/>
  <c r="AV30" i="72"/>
  <c r="AV31" i="72" s="1"/>
  <c r="AV42" i="72" s="1"/>
  <c r="AV6" i="44" s="1"/>
  <c r="AB69" i="88"/>
  <c r="AC64" i="88"/>
  <c r="AC68" i="88"/>
  <c r="AP112" i="72"/>
  <c r="BB103" i="72"/>
  <c r="BK27" i="44"/>
  <c r="DF17" i="60"/>
  <c r="BS28" i="60"/>
  <c r="BS37" i="60"/>
  <c r="BF21" i="60"/>
  <c r="BC22" i="60"/>
  <c r="BY112" i="72"/>
  <c r="CK106" i="72"/>
  <c r="BK21" i="44"/>
  <c r="BK25" i="16"/>
  <c r="CJ22" i="60"/>
  <c r="CM21" i="60"/>
  <c r="CI72" i="72"/>
  <c r="CL72" i="72"/>
  <c r="BZ78" i="72"/>
  <c r="BY28" i="60" s="1"/>
  <c r="BV17" i="60"/>
  <c r="BW21" i="44"/>
  <c r="BW25" i="16"/>
  <c r="BW27" i="44"/>
  <c r="BI22" i="60"/>
  <c r="BL21" i="60"/>
  <c r="DM74" i="72"/>
  <c r="DM78" i="72" s="1"/>
  <c r="DA78" i="72"/>
  <c r="DG25" i="16"/>
  <c r="DG27" i="44"/>
  <c r="DG21" i="44"/>
  <c r="AM16" i="44"/>
  <c r="AM8" i="16" s="1"/>
  <c r="CH106" i="72"/>
  <c r="BV112" i="72"/>
  <c r="BT8" i="44"/>
  <c r="BT9" i="44"/>
  <c r="BT10" i="44"/>
  <c r="BT15" i="44" s="1"/>
  <c r="CF9" i="44"/>
  <c r="CF10" i="44"/>
  <c r="CF15" i="44" s="1"/>
  <c r="CF8" i="44"/>
  <c r="CR72" i="72"/>
  <c r="CF78" i="72"/>
  <c r="AX17" i="60"/>
  <c r="AY25" i="16"/>
  <c r="AY21" i="44"/>
  <c r="AY27" i="44"/>
  <c r="CA21" i="60"/>
  <c r="BX22" i="60"/>
  <c r="CU25" i="16"/>
  <c r="DS25" i="16"/>
  <c r="DS27" i="44"/>
  <c r="DS21" i="44"/>
  <c r="BY23" i="72"/>
  <c r="BY5" i="44" s="1"/>
  <c r="CK17" i="72"/>
  <c r="CN28" i="60"/>
  <c r="CN37" i="60"/>
  <c r="AM25" i="16"/>
  <c r="AM21" i="44"/>
  <c r="AM27" i="44"/>
  <c r="AM28" i="44" s="1"/>
  <c r="AM29" i="44" s="1"/>
  <c r="AN26" i="44" s="1"/>
  <c r="CR8" i="44"/>
  <c r="CR10" i="44"/>
  <c r="CR15" i="44" s="1"/>
  <c r="CR9" i="44"/>
  <c r="DP9" i="44"/>
  <c r="DP10" i="44"/>
  <c r="DP15" i="44" s="1"/>
  <c r="DP8" i="44"/>
  <c r="CZ107" i="72"/>
  <c r="CN112" i="72"/>
  <c r="CH17" i="72"/>
  <c r="BV23" i="72"/>
  <c r="BV5" i="44" s="1"/>
  <c r="CI25" i="16"/>
  <c r="CI21" i="44"/>
  <c r="CI27" i="44"/>
  <c r="BS112" i="72"/>
  <c r="CE105" i="72"/>
  <c r="CQ17" i="72"/>
  <c r="CE23" i="72"/>
  <c r="CE5" i="44" s="1"/>
  <c r="CZ18" i="72"/>
  <c r="CN23" i="72"/>
  <c r="CN5" i="44" s="1"/>
  <c r="BH9" i="44"/>
  <c r="BH10" i="44"/>
  <c r="BH15" i="44" s="1"/>
  <c r="BH8" i="44"/>
  <c r="BS42" i="72"/>
  <c r="BS6" i="44" s="1"/>
  <c r="CE34" i="72"/>
  <c r="CU21" i="44"/>
  <c r="CU27" i="44"/>
  <c r="BY42" i="72"/>
  <c r="BY6" i="44" s="1"/>
  <c r="CK35" i="72"/>
  <c r="AL17" i="60"/>
  <c r="AV8" i="44"/>
  <c r="AV9" i="44"/>
  <c r="AV10" i="44"/>
  <c r="AV15" i="44" s="1"/>
  <c r="DD9" i="44"/>
  <c r="DD10" i="44"/>
  <c r="DD15" i="44" s="1"/>
  <c r="DD8" i="44"/>
  <c r="DQ20" i="72"/>
  <c r="DP21" i="60"/>
  <c r="DM22" i="60"/>
  <c r="DB28" i="60"/>
  <c r="DB37" i="60"/>
  <c r="DN28" i="60"/>
  <c r="DN37" i="60"/>
  <c r="CS21" i="60"/>
  <c r="CP22" i="60"/>
  <c r="DR75" i="72"/>
  <c r="DR78" i="72" s="1"/>
  <c r="DF78" i="72"/>
  <c r="CG21" i="60"/>
  <c r="CD22" i="60"/>
  <c r="DF6" i="44"/>
  <c r="DR38" i="72"/>
  <c r="CS28" i="60"/>
  <c r="CS37" i="60"/>
  <c r="DL37" i="72" l="1"/>
  <c r="DL42" i="72" s="1"/>
  <c r="DL6" i="44" s="1"/>
  <c r="CZ42" i="72"/>
  <c r="CZ6" i="44" s="1"/>
  <c r="DN10" i="44"/>
  <c r="DN15" i="44" s="1"/>
  <c r="DN9" i="44"/>
  <c r="DN8" i="44"/>
  <c r="Q8" i="88"/>
  <c r="AW48" i="72"/>
  <c r="AW49" i="72" s="1"/>
  <c r="AT10" i="44"/>
  <c r="AT15" i="44" s="1"/>
  <c r="AT9" i="44"/>
  <c r="AT8" i="44"/>
  <c r="DB8" i="44"/>
  <c r="DB9" i="44"/>
  <c r="DB10" i="44"/>
  <c r="DB15" i="44" s="1"/>
  <c r="BL51" i="72"/>
  <c r="BL60" i="72" s="1"/>
  <c r="BL7" i="44" s="1"/>
  <c r="CV54" i="72"/>
  <c r="CV60" i="72" s="1"/>
  <c r="CV7" i="44" s="1"/>
  <c r="DH55" i="72"/>
  <c r="DH60" i="72" s="1"/>
  <c r="DH7" i="44" s="1"/>
  <c r="AZ50" i="72"/>
  <c r="AZ60" i="72" s="1"/>
  <c r="AZ7" i="44" s="1"/>
  <c r="CJ53" i="72"/>
  <c r="CJ60" i="72" s="1"/>
  <c r="CJ7" i="44" s="1"/>
  <c r="AN60" i="72"/>
  <c r="AN7" i="44" s="1"/>
  <c r="F4" i="103" s="1"/>
  <c r="BX52" i="72"/>
  <c r="BX60" i="72" s="1"/>
  <c r="BX7" i="44" s="1"/>
  <c r="DT56" i="72"/>
  <c r="DT60" i="72" s="1"/>
  <c r="DT7" i="44" s="1"/>
  <c r="BR10" i="44"/>
  <c r="BR15" i="44" s="1"/>
  <c r="BR8" i="44"/>
  <c r="BR9" i="44"/>
  <c r="BF8" i="44"/>
  <c r="BF10" i="44"/>
  <c r="BF15" i="44" s="1"/>
  <c r="BF9" i="44"/>
  <c r="CP10" i="44"/>
  <c r="CP15" i="44" s="1"/>
  <c r="CP9" i="44"/>
  <c r="CP8" i="44"/>
  <c r="CD10" i="44"/>
  <c r="CD15" i="44" s="1"/>
  <c r="CD8" i="44"/>
  <c r="CD9" i="44"/>
  <c r="CE17" i="60"/>
  <c r="AL21" i="60"/>
  <c r="AI22" i="60"/>
  <c r="CD71" i="72"/>
  <c r="BR78" i="72"/>
  <c r="BQ23" i="72"/>
  <c r="BQ5" i="44" s="1"/>
  <c r="CC16" i="72"/>
  <c r="BR33" i="72"/>
  <c r="BF42" i="72"/>
  <c r="BF6" i="44" s="1"/>
  <c r="CC42" i="72"/>
  <c r="CC6" i="44" s="1"/>
  <c r="CO35" i="72"/>
  <c r="AL22" i="60"/>
  <c r="AO21" i="60"/>
  <c r="AW12" i="72"/>
  <c r="AW30" i="72"/>
  <c r="AW31" i="72" s="1"/>
  <c r="AW42" i="72" s="1"/>
  <c r="AW6" i="44" s="1"/>
  <c r="AJ22" i="60"/>
  <c r="AM21" i="60"/>
  <c r="AY42" i="72"/>
  <c r="AY6" i="44" s="1"/>
  <c r="BK33" i="72"/>
  <c r="BE28" i="60"/>
  <c r="BE37" i="60"/>
  <c r="AP22" i="60"/>
  <c r="AS21" i="60"/>
  <c r="BP21" i="60"/>
  <c r="BM22" i="60"/>
  <c r="BB42" i="72"/>
  <c r="BB6" i="44" s="1"/>
  <c r="BN33" i="72"/>
  <c r="BQ112" i="72"/>
  <c r="CC105" i="72"/>
  <c r="BH103" i="72"/>
  <c r="AV112" i="72"/>
  <c r="AW67" i="72"/>
  <c r="AW68" i="72" s="1"/>
  <c r="AY67" i="72"/>
  <c r="AY68" i="72" s="1"/>
  <c r="AZ42" i="72"/>
  <c r="AZ6" i="44" s="1"/>
  <c r="BL33" i="72"/>
  <c r="BN104" i="72"/>
  <c r="BB112" i="72"/>
  <c r="AB70" i="88"/>
  <c r="AC69" i="88"/>
  <c r="AC70" i="88" s="1"/>
  <c r="BK28" i="60"/>
  <c r="BK37" i="60"/>
  <c r="BF14" i="72"/>
  <c r="BF23" i="72" s="1"/>
  <c r="BF5" i="44" s="1"/>
  <c r="BR15" i="72"/>
  <c r="AT23" i="72"/>
  <c r="AT5" i="44" s="1"/>
  <c r="BC78" i="72"/>
  <c r="BO70" i="72"/>
  <c r="BO33" i="72"/>
  <c r="BC42" i="72"/>
  <c r="BC6" i="44" s="1"/>
  <c r="AQ23" i="72"/>
  <c r="AQ5" i="44" s="1"/>
  <c r="BC14" i="72"/>
  <c r="AV23" i="72"/>
  <c r="AV5" i="44" s="1"/>
  <c r="BH14" i="72"/>
  <c r="BH23" i="72" s="1"/>
  <c r="BH5" i="44" s="1"/>
  <c r="BT15" i="72"/>
  <c r="AR22" i="60"/>
  <c r="AU21" i="60"/>
  <c r="CJ72" i="72"/>
  <c r="BX78" i="72"/>
  <c r="BN15" i="72"/>
  <c r="BB23" i="72"/>
  <c r="BB5" i="44" s="1"/>
  <c r="BF103" i="72"/>
  <c r="AT112" i="72"/>
  <c r="BC50" i="72"/>
  <c r="BC60" i="72" s="1"/>
  <c r="BC7" i="44" s="1"/>
  <c r="CM53" i="72"/>
  <c r="CM60" i="72" s="1"/>
  <c r="CM7" i="44" s="1"/>
  <c r="CY54" i="72"/>
  <c r="CY60" i="72" s="1"/>
  <c r="CY7" i="44" s="1"/>
  <c r="CA52" i="72"/>
  <c r="CA60" i="72" s="1"/>
  <c r="CA7" i="44" s="1"/>
  <c r="AQ60" i="72"/>
  <c r="AQ7" i="44" s="1"/>
  <c r="DK55" i="72"/>
  <c r="DK60" i="72" s="1"/>
  <c r="DK7" i="44" s="1"/>
  <c r="BO51" i="72"/>
  <c r="BO60" i="72" s="1"/>
  <c r="BO7" i="44" s="1"/>
  <c r="AY23" i="72"/>
  <c r="AY5" i="44" s="1"/>
  <c r="BK15" i="72"/>
  <c r="AP28" i="60"/>
  <c r="AP37" i="60"/>
  <c r="AP21" i="60"/>
  <c r="AM22" i="60"/>
  <c r="AQ112" i="72"/>
  <c r="BC103" i="72"/>
  <c r="BK104" i="72"/>
  <c r="AY112" i="72"/>
  <c r="BG17" i="60"/>
  <c r="BS17" i="60"/>
  <c r="DO17" i="60"/>
  <c r="DD25" i="16"/>
  <c r="DD27" i="44"/>
  <c r="DD21" i="44"/>
  <c r="BU22" i="60"/>
  <c r="BX21" i="60"/>
  <c r="BR21" i="60"/>
  <c r="BO22" i="60"/>
  <c r="DC18" i="72"/>
  <c r="CQ23" i="72"/>
  <c r="CQ5" i="44" s="1"/>
  <c r="DD73" i="72"/>
  <c r="CR78" i="72"/>
  <c r="BT25" i="16"/>
  <c r="BT27" i="44"/>
  <c r="BT21" i="44"/>
  <c r="AM17" i="44"/>
  <c r="AN14" i="44" s="1"/>
  <c r="CW107" i="72"/>
  <c r="CK112" i="72"/>
  <c r="CH23" i="72"/>
  <c r="CH5" i="44" s="1"/>
  <c r="CT18" i="72"/>
  <c r="CR21" i="44"/>
  <c r="CR25" i="16"/>
  <c r="CR27" i="44"/>
  <c r="CK23" i="72"/>
  <c r="CK5" i="44" s="1"/>
  <c r="CW18" i="72"/>
  <c r="CX73" i="72"/>
  <c r="CL78" i="72"/>
  <c r="CK28" i="60" s="1"/>
  <c r="AV21" i="44"/>
  <c r="AV25" i="16"/>
  <c r="AV27" i="44"/>
  <c r="DC17" i="60"/>
  <c r="AU17" i="60"/>
  <c r="BH25" i="16"/>
  <c r="BH27" i="44"/>
  <c r="BH21" i="44"/>
  <c r="DL19" i="72"/>
  <c r="DL23" i="72" s="1"/>
  <c r="DL5" i="44" s="1"/>
  <c r="CZ23" i="72"/>
  <c r="CZ5" i="44" s="1"/>
  <c r="CQ17" i="60"/>
  <c r="CF27" i="44"/>
  <c r="CF25" i="16"/>
  <c r="CF21" i="44"/>
  <c r="CT107" i="72"/>
  <c r="CH112" i="72"/>
  <c r="CZ28" i="60"/>
  <c r="CZ37" i="60"/>
  <c r="CU73" i="72"/>
  <c r="CK42" i="72"/>
  <c r="CK6" i="44" s="1"/>
  <c r="CW36" i="72"/>
  <c r="CQ35" i="72"/>
  <c r="CE42" i="72"/>
  <c r="CE6" i="44" s="1"/>
  <c r="CE112" i="72"/>
  <c r="CQ106" i="72"/>
  <c r="CZ112" i="72"/>
  <c r="DL108" i="72"/>
  <c r="DL112" i="72" s="1"/>
  <c r="DP25" i="16"/>
  <c r="DP27" i="44"/>
  <c r="DP21" i="44"/>
  <c r="AM22" i="44"/>
  <c r="AL10" i="60" s="1"/>
  <c r="CE28" i="60"/>
  <c r="CE37" i="60"/>
  <c r="DL28" i="60"/>
  <c r="DL37" i="60"/>
  <c r="DR42" i="72"/>
  <c r="DR6" i="44" s="1"/>
  <c r="DQ21" i="60" s="1"/>
  <c r="DQ28" i="60"/>
  <c r="DQ37" i="60"/>
  <c r="DE21" i="60"/>
  <c r="DB22" i="60"/>
  <c r="AL10" i="29"/>
  <c r="AM10" i="16"/>
  <c r="AM26" i="16" s="1"/>
  <c r="DE28" i="60"/>
  <c r="DE37" i="60"/>
  <c r="CO42" i="72" l="1"/>
  <c r="CO6" i="44" s="1"/>
  <c r="DA36" i="72"/>
  <c r="CQ42" i="72"/>
  <c r="CQ6" i="44" s="1"/>
  <c r="DC36" i="72"/>
  <c r="CY21" i="60"/>
  <c r="CV22" i="60"/>
  <c r="DH22" i="60"/>
  <c r="DK21" i="60"/>
  <c r="BQ17" i="60"/>
  <c r="CO17" i="60"/>
  <c r="DM17" i="60"/>
  <c r="CC17" i="60"/>
  <c r="AM23" i="44"/>
  <c r="AN20" i="44" s="1"/>
  <c r="AL9" i="29"/>
  <c r="AL10" i="1" s="1"/>
  <c r="AS17" i="60"/>
  <c r="BF21" i="44"/>
  <c r="BF27" i="44"/>
  <c r="BF25" i="16"/>
  <c r="BL9" i="44"/>
  <c r="BL10" i="44"/>
  <c r="BL15" i="44" s="1"/>
  <c r="BL8" i="44"/>
  <c r="BE17" i="60"/>
  <c r="DT10" i="44"/>
  <c r="DT15" i="44" s="1"/>
  <c r="DT8" i="44"/>
  <c r="DT9" i="44"/>
  <c r="AZ10" i="44"/>
  <c r="AZ15" i="44" s="1"/>
  <c r="AZ8" i="44"/>
  <c r="AZ9" i="44"/>
  <c r="DB21" i="44"/>
  <c r="DB25" i="16"/>
  <c r="DB27" i="44"/>
  <c r="DN27" i="44"/>
  <c r="DN25" i="16"/>
  <c r="DN21" i="44"/>
  <c r="CJ8" i="44"/>
  <c r="CJ9" i="44"/>
  <c r="CJ10" i="44"/>
  <c r="CJ15" i="44" s="1"/>
  <c r="CP25" i="16"/>
  <c r="CP21" i="44"/>
  <c r="CP27" i="44"/>
  <c r="BX8" i="44"/>
  <c r="BX10" i="44"/>
  <c r="BX15" i="44" s="1"/>
  <c r="BX9" i="44"/>
  <c r="DH9" i="44"/>
  <c r="DH10" i="44"/>
  <c r="DH15" i="44" s="1"/>
  <c r="DH8" i="44"/>
  <c r="DA17" i="60"/>
  <c r="DQ55" i="72"/>
  <c r="DQ60" i="72" s="1"/>
  <c r="DQ7" i="44" s="1"/>
  <c r="BI50" i="72"/>
  <c r="BI60" i="72" s="1"/>
  <c r="BI7" i="44" s="1"/>
  <c r="G4" i="103" s="1"/>
  <c r="DE54" i="72"/>
  <c r="DE60" i="72" s="1"/>
  <c r="DE7" i="44" s="1"/>
  <c r="C57" i="82" s="1"/>
  <c r="CG52" i="72"/>
  <c r="CG60" i="72" s="1"/>
  <c r="CG7" i="44" s="1"/>
  <c r="BU51" i="72"/>
  <c r="BU60" i="72" s="1"/>
  <c r="BU7" i="44" s="1"/>
  <c r="CS53" i="72"/>
  <c r="CS60" i="72" s="1"/>
  <c r="CS7" i="44" s="1"/>
  <c r="AW60" i="72"/>
  <c r="AW7" i="44" s="1"/>
  <c r="CD25" i="16"/>
  <c r="CD27" i="44"/>
  <c r="CD21" i="44"/>
  <c r="BR27" i="44"/>
  <c r="BR21" i="44"/>
  <c r="BR25" i="16"/>
  <c r="AN10" i="44"/>
  <c r="AN15" i="44" s="1"/>
  <c r="AN8" i="44"/>
  <c r="AN9" i="44"/>
  <c r="CV9" i="44"/>
  <c r="CV8" i="44"/>
  <c r="CV10" i="44"/>
  <c r="CV15" i="44" s="1"/>
  <c r="AT25" i="16"/>
  <c r="AT27" i="44"/>
  <c r="AT21" i="44"/>
  <c r="BC112" i="72"/>
  <c r="BO104" i="72"/>
  <c r="BO10" i="44"/>
  <c r="BO15" i="44" s="1"/>
  <c r="BO8" i="44"/>
  <c r="BO9" i="44"/>
  <c r="CY10" i="44"/>
  <c r="CY15" i="44" s="1"/>
  <c r="CY9" i="44"/>
  <c r="CY8" i="44"/>
  <c r="BR104" i="72"/>
  <c r="BF112" i="72"/>
  <c r="CV73" i="72"/>
  <c r="CJ78" i="72"/>
  <c r="BB21" i="60"/>
  <c r="AY22" i="60"/>
  <c r="BN112" i="72"/>
  <c r="BZ105" i="72"/>
  <c r="BI69" i="72"/>
  <c r="AW78" i="72"/>
  <c r="BB22" i="60"/>
  <c r="BE21" i="60"/>
  <c r="BQ28" i="60"/>
  <c r="BQ37" i="60"/>
  <c r="DK10" i="44"/>
  <c r="DK15" i="44" s="1"/>
  <c r="DK9" i="44"/>
  <c r="DK8" i="44"/>
  <c r="CM9" i="44"/>
  <c r="CM10" i="44"/>
  <c r="CM15" i="44" s="1"/>
  <c r="CM8" i="44"/>
  <c r="BO42" i="72"/>
  <c r="BO6" i="44" s="1"/>
  <c r="CA34" i="72"/>
  <c r="BR23" i="72"/>
  <c r="BR5" i="44" s="1"/>
  <c r="CD16" i="72"/>
  <c r="BL42" i="72"/>
  <c r="BL6" i="44" s="1"/>
  <c r="BX34" i="72"/>
  <c r="BN42" i="72"/>
  <c r="BN6" i="44" s="1"/>
  <c r="BZ34" i="72"/>
  <c r="BK42" i="72"/>
  <c r="BK6" i="44" s="1"/>
  <c r="BW34" i="72"/>
  <c r="CD34" i="72"/>
  <c r="BR42" i="72"/>
  <c r="BR6" i="44" s="1"/>
  <c r="CD78" i="72"/>
  <c r="CP72" i="72"/>
  <c r="BW16" i="72"/>
  <c r="BK23" i="72"/>
  <c r="BK5" i="44" s="1"/>
  <c r="AQ9" i="44"/>
  <c r="AQ8" i="44"/>
  <c r="AQ10" i="44"/>
  <c r="AQ15" i="44" s="1"/>
  <c r="BC8" i="44"/>
  <c r="BC9" i="44"/>
  <c r="BC10" i="44"/>
  <c r="BC15" i="44" s="1"/>
  <c r="BZ16" i="72"/>
  <c r="BN23" i="72"/>
  <c r="BN5" i="44" s="1"/>
  <c r="BC23" i="72"/>
  <c r="BC5" i="44" s="1"/>
  <c r="BO15" i="72"/>
  <c r="CA71" i="72"/>
  <c r="BO78" i="72"/>
  <c r="AV22" i="60"/>
  <c r="AY21" i="60"/>
  <c r="BH112" i="72"/>
  <c r="BT104" i="72"/>
  <c r="AX22" i="60"/>
  <c r="BA21" i="60"/>
  <c r="AU22" i="60"/>
  <c r="AX21" i="60"/>
  <c r="AV21" i="60"/>
  <c r="AS22" i="60"/>
  <c r="CN21" i="60"/>
  <c r="CK22" i="60"/>
  <c r="CO17" i="72"/>
  <c r="CC23" i="72"/>
  <c r="CC5" i="44" s="1"/>
  <c r="BW105" i="72"/>
  <c r="BK112" i="72"/>
  <c r="CA9" i="44"/>
  <c r="CA10" i="44"/>
  <c r="CA15" i="44" s="1"/>
  <c r="CA8" i="44"/>
  <c r="BW37" i="60"/>
  <c r="BW28" i="60"/>
  <c r="CF16" i="72"/>
  <c r="BT23" i="72"/>
  <c r="BT5" i="44" s="1"/>
  <c r="BB37" i="60"/>
  <c r="BB28" i="60"/>
  <c r="BK69" i="72"/>
  <c r="AY78" i="72"/>
  <c r="CC112" i="72"/>
  <c r="CO106" i="72"/>
  <c r="AW101" i="72"/>
  <c r="AW102" i="72" s="1"/>
  <c r="AW13" i="72"/>
  <c r="CB21" i="60"/>
  <c r="BY22" i="60"/>
  <c r="AM9" i="16"/>
  <c r="AN29" i="16" s="1"/>
  <c r="CD21" i="60"/>
  <c r="CA22" i="60"/>
  <c r="DG74" i="72"/>
  <c r="CW112" i="72"/>
  <c r="DI108" i="72"/>
  <c r="DI112" i="72" s="1"/>
  <c r="DC23" i="72"/>
  <c r="DC5" i="44" s="1"/>
  <c r="DO19" i="72"/>
  <c r="DO23" i="72" s="1"/>
  <c r="DO5" i="44" s="1"/>
  <c r="CM22" i="60"/>
  <c r="CP21" i="60"/>
  <c r="DF108" i="72"/>
  <c r="CT112" i="72"/>
  <c r="CT23" i="72"/>
  <c r="CT5" i="44" s="1"/>
  <c r="DF19" i="72"/>
  <c r="AN16" i="44"/>
  <c r="AN8" i="16" s="1"/>
  <c r="CQ28" i="60"/>
  <c r="CQ37" i="60"/>
  <c r="DC107" i="72"/>
  <c r="CQ112" i="72"/>
  <c r="CW42" i="72"/>
  <c r="CW6" i="44" s="1"/>
  <c r="DI37" i="72"/>
  <c r="DI42" i="72" s="1"/>
  <c r="DI6" i="44" s="1"/>
  <c r="DE22" i="60" s="1"/>
  <c r="DQ22" i="60" s="1"/>
  <c r="CW23" i="72"/>
  <c r="CW5" i="44" s="1"/>
  <c r="DI19" i="72"/>
  <c r="DI23" i="72" s="1"/>
  <c r="DI5" i="44" s="1"/>
  <c r="DP74" i="72"/>
  <c r="DP78" i="72" s="1"/>
  <c r="DD78" i="72"/>
  <c r="CJ21" i="60"/>
  <c r="CG22" i="60"/>
  <c r="DJ74" i="72"/>
  <c r="DJ78" i="72" s="1"/>
  <c r="DI28" i="60" s="1"/>
  <c r="CX78" i="72"/>
  <c r="CW28" i="60" s="1"/>
  <c r="DN22" i="60"/>
  <c r="DO37" i="72" l="1"/>
  <c r="DO42" i="72" s="1"/>
  <c r="DO6" i="44" s="1"/>
  <c r="DC42" i="72"/>
  <c r="DC6" i="44" s="1"/>
  <c r="DM37" i="72"/>
  <c r="DM42" i="72" s="1"/>
  <c r="DM6" i="44" s="1"/>
  <c r="DA42" i="72"/>
  <c r="DA6" i="44" s="1"/>
  <c r="CU17" i="60"/>
  <c r="CI17" i="60"/>
  <c r="G25" i="103"/>
  <c r="AM17" i="60"/>
  <c r="BW17" i="60"/>
  <c r="DS17" i="60"/>
  <c r="BK17" i="60"/>
  <c r="BB17" i="60"/>
  <c r="DG17" i="60"/>
  <c r="G20" i="103"/>
  <c r="G36" i="103"/>
  <c r="C33" i="104" s="1"/>
  <c r="E33" i="104" s="1"/>
  <c r="D37" i="47"/>
  <c r="Q37" i="47" s="1"/>
  <c r="D36" i="47"/>
  <c r="Q36" i="47" s="1"/>
  <c r="D35" i="47"/>
  <c r="H4" i="103"/>
  <c r="AY17" i="60"/>
  <c r="BU9" i="44"/>
  <c r="BU10" i="44"/>
  <c r="BU15" i="44" s="1"/>
  <c r="BU8" i="44"/>
  <c r="CG9" i="44"/>
  <c r="CG10" i="44"/>
  <c r="CG15" i="44" s="1"/>
  <c r="CG8" i="44"/>
  <c r="BX25" i="16"/>
  <c r="BX21" i="44"/>
  <c r="BX27" i="44"/>
  <c r="AZ27" i="44"/>
  <c r="AZ25" i="16"/>
  <c r="AZ21" i="44"/>
  <c r="DT21" i="44"/>
  <c r="DT25" i="16"/>
  <c r="DT27" i="44"/>
  <c r="CV21" i="44"/>
  <c r="CV27" i="44"/>
  <c r="CV25" i="16"/>
  <c r="AN25" i="16"/>
  <c r="AN21" i="44"/>
  <c r="AN22" i="44" s="1"/>
  <c r="AM10" i="60" s="1"/>
  <c r="AN27" i="44"/>
  <c r="AN28" i="44" s="1"/>
  <c r="AC36" i="47"/>
  <c r="AD36" i="47"/>
  <c r="AN36" i="47"/>
  <c r="W36" i="47"/>
  <c r="AG36" i="47"/>
  <c r="S36" i="47"/>
  <c r="AB36" i="47"/>
  <c r="AF36" i="47"/>
  <c r="U36" i="47"/>
  <c r="AI36" i="47"/>
  <c r="AO36" i="47"/>
  <c r="AS36" i="47"/>
  <c r="AU36" i="47"/>
  <c r="AV36" i="47"/>
  <c r="BA36" i="47"/>
  <c r="AY36" i="47"/>
  <c r="AZ36" i="47"/>
  <c r="BH36" i="47"/>
  <c r="BG36" i="47"/>
  <c r="BB36" i="47"/>
  <c r="BL36" i="47"/>
  <c r="BI36" i="47"/>
  <c r="BF36" i="47"/>
  <c r="BX36" i="47"/>
  <c r="BY36" i="47"/>
  <c r="BN36" i="47"/>
  <c r="BQ36" i="47"/>
  <c r="BR36" i="47"/>
  <c r="BW36" i="47"/>
  <c r="CE36" i="47"/>
  <c r="CJ36" i="47"/>
  <c r="CC36" i="47"/>
  <c r="CI36" i="47"/>
  <c r="CF36" i="47"/>
  <c r="CB36" i="47"/>
  <c r="CL36" i="47"/>
  <c r="CN36" i="47"/>
  <c r="CR36" i="47"/>
  <c r="CU36" i="47"/>
  <c r="CS36" i="47"/>
  <c r="CW36" i="47"/>
  <c r="DE36" i="47"/>
  <c r="DF36" i="47"/>
  <c r="DA36" i="47"/>
  <c r="DG36" i="47"/>
  <c r="DI36" i="47"/>
  <c r="DD36" i="47"/>
  <c r="DK36" i="47"/>
  <c r="DS36" i="47"/>
  <c r="DU36" i="47"/>
  <c r="DJ36" i="47"/>
  <c r="DM36" i="47"/>
  <c r="DL36" i="47"/>
  <c r="AW8" i="44"/>
  <c r="AW9" i="44"/>
  <c r="AW10" i="44"/>
  <c r="AW15" i="44" s="1"/>
  <c r="DE8" i="44"/>
  <c r="DE9" i="44"/>
  <c r="DE10" i="44"/>
  <c r="DE15" i="44" s="1"/>
  <c r="BL25" i="16"/>
  <c r="BL27" i="44"/>
  <c r="BL21" i="44"/>
  <c r="DQ8" i="44"/>
  <c r="DQ9" i="44"/>
  <c r="DQ10" i="44"/>
  <c r="DQ15" i="44" s="1"/>
  <c r="CJ21" i="44"/>
  <c r="CJ27" i="44"/>
  <c r="CJ25" i="16"/>
  <c r="DH21" i="60"/>
  <c r="P37" i="47"/>
  <c r="V37" i="47"/>
  <c r="W37" i="47"/>
  <c r="AC37" i="47"/>
  <c r="AE37" i="47"/>
  <c r="AF37" i="47"/>
  <c r="AK37" i="47"/>
  <c r="AY37" i="47"/>
  <c r="AS37" i="47"/>
  <c r="AT37" i="47"/>
  <c r="BJ37" i="47"/>
  <c r="BB37" i="47"/>
  <c r="BI37" i="47"/>
  <c r="BV37" i="47"/>
  <c r="BS37" i="47"/>
  <c r="BX37" i="47"/>
  <c r="CG37" i="47"/>
  <c r="CK37" i="47"/>
  <c r="CD37" i="47"/>
  <c r="CP37" i="47"/>
  <c r="CV37" i="47"/>
  <c r="CR37" i="47"/>
  <c r="DD37" i="47"/>
  <c r="DC37" i="47"/>
  <c r="DH37" i="47"/>
  <c r="DL37" i="47"/>
  <c r="DS37" i="47"/>
  <c r="DU37" i="47"/>
  <c r="CS8" i="44"/>
  <c r="CS9" i="44"/>
  <c r="CS10" i="44"/>
  <c r="CS15" i="44" s="1"/>
  <c r="BI8" i="44"/>
  <c r="G5" i="103" s="1"/>
  <c r="BI9" i="44"/>
  <c r="BI10" i="44"/>
  <c r="BI15" i="44" s="1"/>
  <c r="DH27" i="44"/>
  <c r="DH21" i="44"/>
  <c r="DH25" i="16"/>
  <c r="BZ17" i="60"/>
  <c r="CX17" i="60"/>
  <c r="DJ17" i="60"/>
  <c r="BI103" i="72"/>
  <c r="AW112" i="72"/>
  <c r="BW70" i="72"/>
  <c r="BK78" i="72"/>
  <c r="CR17" i="72"/>
  <c r="CF23" i="72"/>
  <c r="CF5" i="44" s="1"/>
  <c r="CA25" i="16"/>
  <c r="CA27" i="44"/>
  <c r="CA21" i="44"/>
  <c r="CI106" i="72"/>
  <c r="BW112" i="72"/>
  <c r="DA18" i="72"/>
  <c r="CO23" i="72"/>
  <c r="CO5" i="44" s="1"/>
  <c r="AP17" i="60"/>
  <c r="AQ27" i="44"/>
  <c r="AQ21" i="44"/>
  <c r="AQ25" i="16"/>
  <c r="DB73" i="72"/>
  <c r="CP78" i="72"/>
  <c r="BZ42" i="72"/>
  <c r="BZ6" i="44" s="1"/>
  <c r="CL35" i="72"/>
  <c r="CP17" i="72"/>
  <c r="CD23" i="72"/>
  <c r="CD5" i="44" s="1"/>
  <c r="CM25" i="16"/>
  <c r="CM21" i="44"/>
  <c r="CM27" i="44"/>
  <c r="AV28" i="60"/>
  <c r="AV37" i="60"/>
  <c r="BO27" i="44"/>
  <c r="BO25" i="16"/>
  <c r="DA107" i="72"/>
  <c r="CO112" i="72"/>
  <c r="BT112" i="72"/>
  <c r="CF105" i="72"/>
  <c r="BN28" i="60"/>
  <c r="BN37" i="60"/>
  <c r="CC28" i="60"/>
  <c r="CC37" i="60"/>
  <c r="BM21" i="60"/>
  <c r="BJ22" i="60"/>
  <c r="DK25" i="16"/>
  <c r="DK27" i="44"/>
  <c r="DK21" i="44"/>
  <c r="BU70" i="72"/>
  <c r="BI78" i="72"/>
  <c r="BR112" i="72"/>
  <c r="CD105" i="72"/>
  <c r="CA78" i="72"/>
  <c r="CM72" i="72"/>
  <c r="BZ23" i="72"/>
  <c r="BZ5" i="44" s="1"/>
  <c r="CL17" i="72"/>
  <c r="BC25" i="16"/>
  <c r="BC27" i="44"/>
  <c r="BC21" i="44"/>
  <c r="BQ21" i="60"/>
  <c r="BN22" i="60"/>
  <c r="BW42" i="72"/>
  <c r="BW6" i="44" s="1"/>
  <c r="CI35" i="72"/>
  <c r="CJ35" i="72"/>
  <c r="BX42" i="72"/>
  <c r="BX6" i="44" s="1"/>
  <c r="CM35" i="72"/>
  <c r="CA42" i="72"/>
  <c r="CA6" i="44" s="1"/>
  <c r="CL17" i="60"/>
  <c r="CL106" i="72"/>
  <c r="BZ112" i="72"/>
  <c r="CI37" i="60"/>
  <c r="CI28" i="60"/>
  <c r="BN17" i="60"/>
  <c r="CA105" i="72"/>
  <c r="BO112" i="72"/>
  <c r="BI14" i="72"/>
  <c r="BI23" i="72" s="1"/>
  <c r="BI5" i="44" s="1"/>
  <c r="BU15" i="72"/>
  <c r="BU23" i="72" s="1"/>
  <c r="BU5" i="44" s="1"/>
  <c r="CG16" i="72"/>
  <c r="DQ19" i="72"/>
  <c r="DQ23" i="72" s="1"/>
  <c r="DQ5" i="44" s="1"/>
  <c r="AW23" i="72"/>
  <c r="AW5" i="44" s="1"/>
  <c r="AX28" i="60"/>
  <c r="AX37" i="60"/>
  <c r="BO23" i="72"/>
  <c r="BO5" i="44" s="1"/>
  <c r="CA16" i="72"/>
  <c r="CI17" i="72"/>
  <c r="BW23" i="72"/>
  <c r="BW5" i="44" s="1"/>
  <c r="CD42" i="72"/>
  <c r="CD6" i="44" s="1"/>
  <c r="CP35" i="72"/>
  <c r="BG22" i="60"/>
  <c r="BJ21" i="60"/>
  <c r="BK21" i="60"/>
  <c r="BH22" i="60"/>
  <c r="BN21" i="60"/>
  <c r="BK22" i="60"/>
  <c r="CV78" i="72"/>
  <c r="DH74" i="72"/>
  <c r="CY25" i="16"/>
  <c r="CY27" i="44"/>
  <c r="CY21" i="44"/>
  <c r="BO21" i="44"/>
  <c r="DC28" i="60"/>
  <c r="DC37" i="60"/>
  <c r="DR109" i="72"/>
  <c r="DR112" i="72" s="1"/>
  <c r="DF112" i="72"/>
  <c r="DS75" i="72"/>
  <c r="AM8" i="1"/>
  <c r="F6" i="20" s="1"/>
  <c r="E7" i="23" s="1"/>
  <c r="AM25" i="1"/>
  <c r="F26" i="20" s="1"/>
  <c r="DO28" i="60"/>
  <c r="DO37" i="60"/>
  <c r="DO108" i="72"/>
  <c r="DO112" i="72" s="1"/>
  <c r="DC112" i="72"/>
  <c r="AN17" i="44"/>
  <c r="AO14" i="44" s="1"/>
  <c r="CV21" i="60"/>
  <c r="CS22" i="60"/>
  <c r="DF23" i="72"/>
  <c r="DF5" i="44" s="1"/>
  <c r="DR20" i="72"/>
  <c r="DR23" i="72" s="1"/>
  <c r="DR5" i="44" s="1"/>
  <c r="CZ21" i="60" l="1"/>
  <c r="CW22" i="60"/>
  <c r="DL21" i="60"/>
  <c r="DI22" i="60"/>
  <c r="DB21" i="60"/>
  <c r="CY22" i="60"/>
  <c r="CP42" i="72"/>
  <c r="CP6" i="44" s="1"/>
  <c r="DB36" i="72"/>
  <c r="DN21" i="60"/>
  <c r="DK22" i="60"/>
  <c r="V36" i="47"/>
  <c r="P36" i="47"/>
  <c r="DR36" i="47"/>
  <c r="DQ36" i="47"/>
  <c r="DN36" i="47"/>
  <c r="CZ36" i="47"/>
  <c r="CY36" i="47"/>
  <c r="DH36" i="47"/>
  <c r="CO36" i="47"/>
  <c r="CQ36" i="47"/>
  <c r="CP36" i="47"/>
  <c r="CD36" i="47"/>
  <c r="CA36" i="47"/>
  <c r="CH36" i="47"/>
  <c r="BP36" i="47"/>
  <c r="BS36" i="47"/>
  <c r="BO36" i="47"/>
  <c r="BD36" i="47"/>
  <c r="BE36" i="47"/>
  <c r="BM36" i="47"/>
  <c r="AT36" i="47"/>
  <c r="AX36" i="47"/>
  <c r="AW36" i="47"/>
  <c r="AM36" i="47"/>
  <c r="AJ36" i="47"/>
  <c r="AL36" i="47"/>
  <c r="AH36" i="47"/>
  <c r="R36" i="47"/>
  <c r="T36" i="47"/>
  <c r="DT36" i="47"/>
  <c r="DP36" i="47"/>
  <c r="DO36" i="47"/>
  <c r="DB36" i="47"/>
  <c r="DC36" i="47"/>
  <c r="CX36" i="47"/>
  <c r="CV36" i="47"/>
  <c r="CT36" i="47"/>
  <c r="CM36" i="47"/>
  <c r="CK36" i="47"/>
  <c r="BZ36" i="47"/>
  <c r="CG36" i="47"/>
  <c r="BU36" i="47"/>
  <c r="BT36" i="47"/>
  <c r="BV36" i="47"/>
  <c r="BJ36" i="47"/>
  <c r="BC36" i="47"/>
  <c r="BK36" i="47"/>
  <c r="AR36" i="47"/>
  <c r="AP36" i="47"/>
  <c r="AQ36" i="47"/>
  <c r="AK36" i="47"/>
  <c r="Y36" i="47"/>
  <c r="X36" i="47"/>
  <c r="AE36" i="47"/>
  <c r="Z36" i="47"/>
  <c r="AA36" i="47"/>
  <c r="DM37" i="47"/>
  <c r="DQ37" i="47"/>
  <c r="DN37" i="47"/>
  <c r="CY37" i="47"/>
  <c r="DI37" i="47"/>
  <c r="DG37" i="47"/>
  <c r="CM37" i="47"/>
  <c r="CU37" i="47"/>
  <c r="CS48" i="60" s="1"/>
  <c r="CS37" i="47"/>
  <c r="CJ37" i="47"/>
  <c r="CE37" i="47"/>
  <c r="CI37" i="47"/>
  <c r="CG48" i="60" s="1"/>
  <c r="BY37" i="47"/>
  <c r="BQ37" i="47"/>
  <c r="BT37" i="47"/>
  <c r="BH37" i="47"/>
  <c r="BF37" i="47"/>
  <c r="BL37" i="47"/>
  <c r="AU37" i="47"/>
  <c r="AR37" i="47"/>
  <c r="AP48" i="60" s="1"/>
  <c r="AV37" i="47"/>
  <c r="AM37" i="47"/>
  <c r="AI37" i="47"/>
  <c r="AG37" i="47"/>
  <c r="AD37" i="47"/>
  <c r="AN37" i="47"/>
  <c r="S37" i="47"/>
  <c r="DT37" i="47"/>
  <c r="DR48" i="60" s="1"/>
  <c r="DR37" i="47"/>
  <c r="DO37" i="47"/>
  <c r="DE37" i="47"/>
  <c r="CZ37" i="47"/>
  <c r="CX37" i="47"/>
  <c r="CN37" i="47"/>
  <c r="CW37" i="47"/>
  <c r="CQ37" i="47"/>
  <c r="CO48" i="60" s="1"/>
  <c r="CF37" i="47"/>
  <c r="CH37" i="47"/>
  <c r="CC37" i="47"/>
  <c r="BN37" i="47"/>
  <c r="BR37" i="47"/>
  <c r="BO37" i="47"/>
  <c r="BD37" i="47"/>
  <c r="BE37" i="47"/>
  <c r="BC48" i="60" s="1"/>
  <c r="BM37" i="47"/>
  <c r="AZ37" i="47"/>
  <c r="AP37" i="47"/>
  <c r="AQ37" i="47"/>
  <c r="AO48" i="60" s="1"/>
  <c r="AO37" i="47"/>
  <c r="U37" i="47"/>
  <c r="AA37" i="47"/>
  <c r="Y48" i="60" s="1"/>
  <c r="X37" i="47"/>
  <c r="V48" i="60" s="1"/>
  <c r="AB37" i="47"/>
  <c r="T37" i="47"/>
  <c r="DK37" i="47"/>
  <c r="DJ37" i="47"/>
  <c r="DH48" i="60" s="1"/>
  <c r="DP37" i="47"/>
  <c r="DA37" i="47"/>
  <c r="DB37" i="47"/>
  <c r="DF37" i="47"/>
  <c r="DD48" i="60" s="1"/>
  <c r="CO37" i="47"/>
  <c r="CT37" i="47"/>
  <c r="CL37" i="47"/>
  <c r="CA37" i="47"/>
  <c r="BY48" i="60" s="1"/>
  <c r="BZ37" i="47"/>
  <c r="CB37" i="47"/>
  <c r="BW37" i="47"/>
  <c r="BP37" i="47"/>
  <c r="BN48" i="60" s="1"/>
  <c r="BU37" i="47"/>
  <c r="BK37" i="47"/>
  <c r="BC37" i="47"/>
  <c r="BG37" i="47"/>
  <c r="BE48" i="60" s="1"/>
  <c r="AX37" i="47"/>
  <c r="BA37" i="47"/>
  <c r="AW37" i="47"/>
  <c r="AJ37" i="47"/>
  <c r="AH48" i="60" s="1"/>
  <c r="AH37" i="47"/>
  <c r="AL37" i="47"/>
  <c r="Y37" i="47"/>
  <c r="Z37" i="47"/>
  <c r="R37" i="47"/>
  <c r="G22" i="103"/>
  <c r="AV17" i="60"/>
  <c r="N53" i="60"/>
  <c r="DK35" i="47"/>
  <c r="DN35" i="47"/>
  <c r="DA35" i="47"/>
  <c r="CN35" i="47"/>
  <c r="CO35" i="47"/>
  <c r="CD35" i="47"/>
  <c r="BO35" i="47"/>
  <c r="BQ35" i="47"/>
  <c r="BB35" i="47"/>
  <c r="AX35" i="47"/>
  <c r="AW35" i="47"/>
  <c r="AJ35" i="47"/>
  <c r="AK35" i="47"/>
  <c r="AN35" i="47"/>
  <c r="DU35" i="47"/>
  <c r="DL35" i="47"/>
  <c r="DP35" i="47"/>
  <c r="CX35" i="47"/>
  <c r="DG35" i="47"/>
  <c r="DB35" i="47"/>
  <c r="CU35" i="47"/>
  <c r="CL35" i="47"/>
  <c r="CV35" i="47"/>
  <c r="CF35" i="47"/>
  <c r="CH35" i="47"/>
  <c r="CB35" i="47"/>
  <c r="BP35" i="47"/>
  <c r="BS35" i="47"/>
  <c r="BN35" i="47"/>
  <c r="BJ35" i="47"/>
  <c r="BK35" i="47"/>
  <c r="BE35" i="47"/>
  <c r="AY35" i="47"/>
  <c r="AP35" i="47"/>
  <c r="BA35" i="47"/>
  <c r="AE35" i="47"/>
  <c r="AF35" i="47"/>
  <c r="AA35" i="47"/>
  <c r="V35" i="47"/>
  <c r="AM35" i="47"/>
  <c r="X35" i="47"/>
  <c r="P35" i="47"/>
  <c r="DR35" i="47"/>
  <c r="CY35" i="47"/>
  <c r="DE35" i="47"/>
  <c r="CP35" i="47"/>
  <c r="CA35" i="47"/>
  <c r="CJ35" i="47"/>
  <c r="BX35" i="47"/>
  <c r="BI35" i="47"/>
  <c r="BM35" i="47"/>
  <c r="AZ35" i="47"/>
  <c r="AB35" i="47"/>
  <c r="AI35" i="47"/>
  <c r="AC35" i="47"/>
  <c r="DM35" i="47"/>
  <c r="DQ35" i="47"/>
  <c r="DT35" i="47"/>
  <c r="DD35" i="47"/>
  <c r="DF35" i="47"/>
  <c r="CZ35" i="47"/>
  <c r="CR35" i="47"/>
  <c r="CT35" i="47"/>
  <c r="CS35" i="47"/>
  <c r="CE35" i="47"/>
  <c r="BZ35" i="47"/>
  <c r="CG35" i="47"/>
  <c r="BW35" i="47"/>
  <c r="BR35" i="47"/>
  <c r="BU35" i="47"/>
  <c r="BH35" i="47"/>
  <c r="BG35" i="47"/>
  <c r="BD35" i="47"/>
  <c r="AQ35" i="47"/>
  <c r="AR35" i="47"/>
  <c r="AU35" i="47"/>
  <c r="W35" i="47"/>
  <c r="AL35" i="47"/>
  <c r="R35" i="47"/>
  <c r="S35" i="47"/>
  <c r="AH35" i="47"/>
  <c r="T35" i="47"/>
  <c r="Q35" i="47"/>
  <c r="DJ35" i="47"/>
  <c r="DO35" i="47"/>
  <c r="DS35" i="47"/>
  <c r="DI35" i="47"/>
  <c r="DH35" i="47"/>
  <c r="DC35" i="47"/>
  <c r="CW35" i="47"/>
  <c r="CM35" i="47"/>
  <c r="CQ35" i="47"/>
  <c r="CC35" i="47"/>
  <c r="CI35" i="47"/>
  <c r="CK35" i="47"/>
  <c r="BV35" i="47"/>
  <c r="BY35" i="47"/>
  <c r="BT35" i="47"/>
  <c r="BF35" i="47"/>
  <c r="BL35" i="47"/>
  <c r="BC35" i="47"/>
  <c r="AS35" i="47"/>
  <c r="AV35" i="47"/>
  <c r="AT35" i="47"/>
  <c r="U35" i="47"/>
  <c r="AG35" i="47"/>
  <c r="Z35" i="47"/>
  <c r="Y35" i="47"/>
  <c r="AO35" i="47"/>
  <c r="AD35" i="47"/>
  <c r="CF17" i="60"/>
  <c r="BT17" i="60"/>
  <c r="K33" i="104"/>
  <c r="F33" i="104"/>
  <c r="F68" i="104" s="1"/>
  <c r="I33" i="104"/>
  <c r="I68" i="104" s="1"/>
  <c r="J33" i="104"/>
  <c r="J68" i="104" s="1"/>
  <c r="M33" i="104"/>
  <c r="M68" i="104" s="1"/>
  <c r="L33" i="104"/>
  <c r="L68" i="104" s="1"/>
  <c r="H33" i="104"/>
  <c r="H68" i="104" s="1"/>
  <c r="G33" i="104"/>
  <c r="G68" i="104" s="1"/>
  <c r="K68" i="104"/>
  <c r="E68" i="104"/>
  <c r="C68" i="104"/>
  <c r="DP17" i="60"/>
  <c r="DP48" i="60"/>
  <c r="DO48" i="60"/>
  <c r="DL48" i="60"/>
  <c r="AN23" i="44"/>
  <c r="AO20" i="44" s="1"/>
  <c r="AO22" i="44" s="1"/>
  <c r="AN10" i="60" s="1"/>
  <c r="AM9" i="29"/>
  <c r="DD17" i="60"/>
  <c r="CX48" i="60"/>
  <c r="CM48" i="60"/>
  <c r="CF48" i="60"/>
  <c r="BM48" i="60"/>
  <c r="BB48" i="60"/>
  <c r="BK48" i="60"/>
  <c r="AV48" i="60"/>
  <c r="AU48" i="60"/>
  <c r="AK48" i="60"/>
  <c r="AJ48" i="60"/>
  <c r="P48" i="60"/>
  <c r="R48" i="60"/>
  <c r="CB48" i="60"/>
  <c r="BQ48" i="60"/>
  <c r="DQ21" i="44"/>
  <c r="DQ27" i="44"/>
  <c r="DQ25" i="16"/>
  <c r="DN48" i="60"/>
  <c r="DM48" i="60"/>
  <c r="CZ48" i="60"/>
  <c r="DA48" i="60"/>
  <c r="CV48" i="60"/>
  <c r="CT48" i="60"/>
  <c r="CR48" i="60"/>
  <c r="CK48" i="60"/>
  <c r="CI48" i="60"/>
  <c r="BX48" i="60"/>
  <c r="CE48" i="60"/>
  <c r="BS48" i="60"/>
  <c r="BR48" i="60"/>
  <c r="BT48" i="60"/>
  <c r="BH48" i="60"/>
  <c r="BA48" i="60"/>
  <c r="BI48" i="60"/>
  <c r="AN48" i="60"/>
  <c r="AI48" i="60"/>
  <c r="W48" i="60"/>
  <c r="AC48" i="60"/>
  <c r="X48" i="60"/>
  <c r="O48" i="60"/>
  <c r="CG21" i="44"/>
  <c r="CG27" i="44"/>
  <c r="CG25" i="16"/>
  <c r="BU27" i="44"/>
  <c r="BU21" i="44"/>
  <c r="BU25" i="16"/>
  <c r="AW25" i="16"/>
  <c r="G9" i="103" s="1"/>
  <c r="AW21" i="44"/>
  <c r="AW27" i="44"/>
  <c r="DF48" i="60"/>
  <c r="CN48" i="60"/>
  <c r="AR48" i="60"/>
  <c r="BI21" i="44"/>
  <c r="BI25" i="16"/>
  <c r="BI27" i="44"/>
  <c r="CS21" i="44"/>
  <c r="CS25" i="16"/>
  <c r="CS27" i="44"/>
  <c r="DJ48" i="60"/>
  <c r="DQ48" i="60"/>
  <c r="DB48" i="60"/>
  <c r="DE48" i="60"/>
  <c r="CU48" i="60"/>
  <c r="CL48" i="60"/>
  <c r="BZ48" i="60"/>
  <c r="CH48" i="60"/>
  <c r="BU48" i="60"/>
  <c r="BO48" i="60"/>
  <c r="BW48" i="60"/>
  <c r="BD48" i="60"/>
  <c r="BJ48" i="60"/>
  <c r="AX48" i="60"/>
  <c r="AY48" i="60"/>
  <c r="AS48" i="60"/>
  <c r="AM48" i="60"/>
  <c r="S48" i="60"/>
  <c r="Z48" i="60"/>
  <c r="AE48" i="60"/>
  <c r="T48" i="60"/>
  <c r="AB48" i="60"/>
  <c r="N48" i="60"/>
  <c r="DE25" i="16"/>
  <c r="DE21" i="44"/>
  <c r="DE27" i="44"/>
  <c r="AN9" i="16"/>
  <c r="AO29" i="16" s="1"/>
  <c r="AN25" i="1" s="1"/>
  <c r="BH17" i="60"/>
  <c r="CR17" i="60"/>
  <c r="AF48" i="60"/>
  <c r="DK48" i="60"/>
  <c r="DS48" i="60"/>
  <c r="DI48" i="60"/>
  <c r="DG48" i="60"/>
  <c r="CY48" i="60"/>
  <c r="DC48" i="60"/>
  <c r="CQ48" i="60"/>
  <c r="CP48" i="60"/>
  <c r="CJ48" i="60"/>
  <c r="CD48" i="60"/>
  <c r="CA48" i="60"/>
  <c r="CC48" i="60"/>
  <c r="BP48" i="60"/>
  <c r="BL48" i="60"/>
  <c r="BV48" i="60"/>
  <c r="BG48" i="60"/>
  <c r="AZ48" i="60"/>
  <c r="BF48" i="60"/>
  <c r="AW48" i="60"/>
  <c r="AT48" i="60"/>
  <c r="AQ48" i="60"/>
  <c r="AG48" i="60"/>
  <c r="AD48" i="60"/>
  <c r="Q48" i="60"/>
  <c r="U48" i="60"/>
  <c r="AL48" i="60"/>
  <c r="AA48" i="60"/>
  <c r="AN29" i="44"/>
  <c r="AO26" i="44" s="1"/>
  <c r="AO28" i="44" s="1"/>
  <c r="AM10" i="29"/>
  <c r="AN10" i="16"/>
  <c r="AN26" i="16" s="1"/>
  <c r="DT75" i="72"/>
  <c r="DT78" i="72" s="1"/>
  <c r="DH78" i="72"/>
  <c r="CO21" i="60"/>
  <c r="CL22" i="60"/>
  <c r="CA23" i="72"/>
  <c r="CA5" i="44" s="1"/>
  <c r="CM17" i="72"/>
  <c r="CX107" i="72"/>
  <c r="CL112" i="72"/>
  <c r="BT22" i="60"/>
  <c r="BW21" i="60"/>
  <c r="BZ28" i="60"/>
  <c r="BZ37" i="60"/>
  <c r="CG71" i="72"/>
  <c r="BU78" i="72"/>
  <c r="BY21" i="60"/>
  <c r="BV22" i="60"/>
  <c r="DM19" i="72"/>
  <c r="DM23" i="72" s="1"/>
  <c r="DM5" i="44" s="1"/>
  <c r="DA23" i="72"/>
  <c r="DA5" i="44" s="1"/>
  <c r="BJ28" i="60"/>
  <c r="BJ37" i="60"/>
  <c r="CU28" i="60"/>
  <c r="CU37" i="60"/>
  <c r="CC21" i="60"/>
  <c r="BZ22" i="60"/>
  <c r="CJ42" i="72"/>
  <c r="CJ6" i="44" s="1"/>
  <c r="CV36" i="72"/>
  <c r="CL23" i="72"/>
  <c r="CL5" i="44" s="1"/>
  <c r="CX18" i="72"/>
  <c r="CP106" i="72"/>
  <c r="CD112" i="72"/>
  <c r="DA112" i="72"/>
  <c r="DM108" i="72"/>
  <c r="DM112" i="72" s="1"/>
  <c r="CO28" i="60"/>
  <c r="CO37" i="60"/>
  <c r="CI71" i="72"/>
  <c r="BW78" i="72"/>
  <c r="CS17" i="72"/>
  <c r="CG23" i="72"/>
  <c r="CG5" i="44" s="1"/>
  <c r="BZ21" i="60"/>
  <c r="BW22" i="60"/>
  <c r="CI42" i="72"/>
  <c r="CI6" i="44" s="1"/>
  <c r="CU36" i="72"/>
  <c r="CR106" i="72"/>
  <c r="CF112" i="72"/>
  <c r="DB18" i="72"/>
  <c r="CP23" i="72"/>
  <c r="CP5" i="44" s="1"/>
  <c r="DN74" i="72"/>
  <c r="DN78" i="72" s="1"/>
  <c r="DB78" i="72"/>
  <c r="CU107" i="72"/>
  <c r="CI112" i="72"/>
  <c r="CI23" i="72"/>
  <c r="CI5" i="44" s="1"/>
  <c r="CU18" i="72"/>
  <c r="CA112" i="72"/>
  <c r="CM106" i="72"/>
  <c r="CM42" i="72"/>
  <c r="CM6" i="44" s="1"/>
  <c r="CY36" i="72"/>
  <c r="BS22" i="60"/>
  <c r="BV21" i="60"/>
  <c r="CM78" i="72"/>
  <c r="CY73" i="72"/>
  <c r="BH28" i="60"/>
  <c r="BH37" i="60"/>
  <c r="CL42" i="72"/>
  <c r="CL6" i="44" s="1"/>
  <c r="CX36" i="72"/>
  <c r="CR23" i="72"/>
  <c r="CR5" i="44" s="1"/>
  <c r="DD18" i="72"/>
  <c r="BU104" i="72"/>
  <c r="BI112" i="72"/>
  <c r="AO16" i="44"/>
  <c r="AO8" i="16" s="1"/>
  <c r="DN37" i="72" l="1"/>
  <c r="DN42" i="72" s="1"/>
  <c r="DN6" i="44" s="1"/>
  <c r="DB42" i="72"/>
  <c r="DB6" i="44" s="1"/>
  <c r="CW48" i="60"/>
  <c r="AO9" i="16"/>
  <c r="AP29" i="16" s="1"/>
  <c r="AM10" i="1"/>
  <c r="F8" i="20" s="1"/>
  <c r="G24" i="103"/>
  <c r="G33" i="103" s="1"/>
  <c r="C30" i="104" s="1"/>
  <c r="E30" i="104" s="1"/>
  <c r="M70" i="104"/>
  <c r="M69" i="104"/>
  <c r="I69" i="104"/>
  <c r="I70" i="104"/>
  <c r="K70" i="104"/>
  <c r="K69" i="104"/>
  <c r="J69" i="104"/>
  <c r="J70" i="104"/>
  <c r="F70" i="104"/>
  <c r="F69" i="104"/>
  <c r="E70" i="104"/>
  <c r="E69" i="104"/>
  <c r="G69" i="104"/>
  <c r="G70" i="104"/>
  <c r="L69" i="104"/>
  <c r="L70" i="104"/>
  <c r="H69" i="104"/>
  <c r="H70" i="104"/>
  <c r="AO23" i="44"/>
  <c r="AP20" i="44" s="1"/>
  <c r="AP22" i="44" s="1"/>
  <c r="AO10" i="60" s="1"/>
  <c r="AN9" i="29"/>
  <c r="AN8" i="1"/>
  <c r="AO29" i="44"/>
  <c r="AP26" i="44" s="1"/>
  <c r="AN10" i="29"/>
  <c r="AO10" i="16"/>
  <c r="AO26" i="16" s="1"/>
  <c r="CG105" i="72"/>
  <c r="BU112" i="72"/>
  <c r="CK21" i="60"/>
  <c r="CH22" i="60"/>
  <c r="CL37" i="60"/>
  <c r="CL28" i="60"/>
  <c r="CI22" i="60"/>
  <c r="CL21" i="60"/>
  <c r="DA28" i="60"/>
  <c r="DA37" i="60"/>
  <c r="BV37" i="60"/>
  <c r="BV28" i="60"/>
  <c r="CX23" i="72"/>
  <c r="CX5" i="44" s="1"/>
  <c r="DJ19" i="72"/>
  <c r="DJ23" i="72" s="1"/>
  <c r="DJ5" i="44" s="1"/>
  <c r="DD23" i="72"/>
  <c r="DD5" i="44" s="1"/>
  <c r="DP19" i="72"/>
  <c r="DP23" i="72" s="1"/>
  <c r="DP5" i="44" s="1"/>
  <c r="CY107" i="72"/>
  <c r="CM112" i="72"/>
  <c r="DM37" i="60"/>
  <c r="DM28" i="60"/>
  <c r="DD107" i="72"/>
  <c r="CR112" i="72"/>
  <c r="CU72" i="72"/>
  <c r="CI78" i="72"/>
  <c r="CX112" i="72"/>
  <c r="DJ108" i="72"/>
  <c r="DJ112" i="72" s="1"/>
  <c r="CU42" i="72"/>
  <c r="CU6" i="44" s="1"/>
  <c r="DG37" i="72"/>
  <c r="DH37" i="72"/>
  <c r="CV42" i="72"/>
  <c r="CV6" i="44" s="1"/>
  <c r="BT28" i="60"/>
  <c r="BT37" i="60"/>
  <c r="CM23" i="72"/>
  <c r="CM5" i="44" s="1"/>
  <c r="CY18" i="72"/>
  <c r="DG28" i="60"/>
  <c r="DG37" i="60"/>
  <c r="AO17" i="44"/>
  <c r="AP14" i="44" s="1"/>
  <c r="AP16" i="44" s="1"/>
  <c r="AP8" i="16" s="1"/>
  <c r="CX42" i="72"/>
  <c r="CX6" i="44" s="1"/>
  <c r="DJ37" i="72"/>
  <c r="DJ42" i="72" s="1"/>
  <c r="DJ6" i="44" s="1"/>
  <c r="CY78" i="72"/>
  <c r="DK74" i="72"/>
  <c r="DK78" i="72" s="1"/>
  <c r="DK37" i="72"/>
  <c r="DK42" i="72" s="1"/>
  <c r="DK6" i="44" s="1"/>
  <c r="CY42" i="72"/>
  <c r="CY6" i="44" s="1"/>
  <c r="CU23" i="72"/>
  <c r="CU5" i="44" s="1"/>
  <c r="DG19" i="72"/>
  <c r="CU112" i="72"/>
  <c r="DG108" i="72"/>
  <c r="DB23" i="72"/>
  <c r="DB5" i="44" s="1"/>
  <c r="DN19" i="72"/>
  <c r="DN23" i="72" s="1"/>
  <c r="DN5" i="44" s="1"/>
  <c r="CH21" i="60"/>
  <c r="CE22" i="60"/>
  <c r="DE18" i="72"/>
  <c r="DE23" i="72" s="1"/>
  <c r="DE5" i="44" s="1"/>
  <c r="CS23" i="72"/>
  <c r="CS5" i="44" s="1"/>
  <c r="DB107" i="72"/>
  <c r="CP112" i="72"/>
  <c r="CF22" i="60"/>
  <c r="CI21" i="60"/>
  <c r="CS72" i="72"/>
  <c r="CG78" i="72"/>
  <c r="DS28" i="60"/>
  <c r="DS37" i="60"/>
  <c r="AO25" i="1"/>
  <c r="AO8" i="1"/>
  <c r="DA21" i="60" l="1"/>
  <c r="CX22" i="60"/>
  <c r="DM21" i="60"/>
  <c r="DJ22" i="60"/>
  <c r="AP9" i="16"/>
  <c r="AQ29" i="16" s="1"/>
  <c r="AN10" i="1"/>
  <c r="F30" i="104"/>
  <c r="J30" i="104"/>
  <c r="G30" i="104"/>
  <c r="K30" i="104"/>
  <c r="H30" i="104"/>
  <c r="L30" i="104"/>
  <c r="I30" i="104"/>
  <c r="M30" i="104"/>
  <c r="AP23" i="44"/>
  <c r="AQ20" i="44" s="1"/>
  <c r="AQ22" i="44" s="1"/>
  <c r="AP10" i="60" s="1"/>
  <c r="AO9" i="29"/>
  <c r="AP28" i="44"/>
  <c r="AP29" i="44" s="1"/>
  <c r="AQ26" i="44" s="1"/>
  <c r="AQ28" i="44" s="1"/>
  <c r="CX37" i="60"/>
  <c r="CX28" i="60"/>
  <c r="DG42" i="72"/>
  <c r="DG6" i="44" s="1"/>
  <c r="DS38" i="72"/>
  <c r="DS42" i="72" s="1"/>
  <c r="DS6" i="44" s="1"/>
  <c r="CH37" i="60"/>
  <c r="CH28" i="60"/>
  <c r="CF28" i="60"/>
  <c r="CF37" i="60"/>
  <c r="DS109" i="72"/>
  <c r="DS112" i="72" s="1"/>
  <c r="DG112" i="72"/>
  <c r="CU22" i="60"/>
  <c r="CX21" i="60"/>
  <c r="DI21" i="60"/>
  <c r="DF22" i="60"/>
  <c r="DR22" i="60" s="1"/>
  <c r="CT21" i="60"/>
  <c r="CQ22" i="60"/>
  <c r="DG73" i="72"/>
  <c r="CU78" i="72"/>
  <c r="DE73" i="72"/>
  <c r="CS78" i="72"/>
  <c r="DN108" i="72"/>
  <c r="DN112" i="72" s="1"/>
  <c r="DB112" i="72"/>
  <c r="DG22" i="60"/>
  <c r="DS22" i="60" s="1"/>
  <c r="DJ21" i="60"/>
  <c r="CT22" i="60"/>
  <c r="CW21" i="60"/>
  <c r="DK19" i="72"/>
  <c r="DK23" i="72" s="1"/>
  <c r="DK5" i="44" s="1"/>
  <c r="CY23" i="72"/>
  <c r="CY5" i="44" s="1"/>
  <c r="CU21" i="60"/>
  <c r="CR22" i="60"/>
  <c r="DG23" i="72"/>
  <c r="DG5" i="44" s="1"/>
  <c r="DS20" i="72"/>
  <c r="DS23" i="72" s="1"/>
  <c r="DS5" i="44" s="1"/>
  <c r="DJ28" i="60"/>
  <c r="DJ37" i="60"/>
  <c r="DH42" i="72"/>
  <c r="DH6" i="44" s="1"/>
  <c r="DT38" i="72"/>
  <c r="DT42" i="72" s="1"/>
  <c r="DT6" i="44" s="1"/>
  <c r="DD112" i="72"/>
  <c r="DP108" i="72"/>
  <c r="DP112" i="72" s="1"/>
  <c r="DK108" i="72"/>
  <c r="DK112" i="72" s="1"/>
  <c r="CY112" i="72"/>
  <c r="CS106" i="72"/>
  <c r="CG112" i="72"/>
  <c r="AP17" i="44"/>
  <c r="AQ14" i="44" s="1"/>
  <c r="AQ16" i="44" s="1"/>
  <c r="AQ8" i="16" s="1"/>
  <c r="AP25" i="1"/>
  <c r="AP8" i="1"/>
  <c r="AQ9" i="16" l="1"/>
  <c r="AR29" i="16" s="1"/>
  <c r="AQ8" i="1" s="1"/>
  <c r="AQ29" i="44"/>
  <c r="AR26" i="44" s="1"/>
  <c r="AR28" i="44" s="1"/>
  <c r="AR29" i="44" s="1"/>
  <c r="AS26" i="44" s="1"/>
  <c r="AP10" i="29"/>
  <c r="AQ10" i="16"/>
  <c r="AQ26" i="16" s="1"/>
  <c r="AQ23" i="44"/>
  <c r="AR20" i="44" s="1"/>
  <c r="AR22" i="44" s="1"/>
  <c r="AQ10" i="60" s="1"/>
  <c r="AP9" i="29"/>
  <c r="AO10" i="29"/>
  <c r="AO10" i="1" s="1"/>
  <c r="AP10" i="16"/>
  <c r="AP26" i="16" s="1"/>
  <c r="DG21" i="60"/>
  <c r="DD22" i="60"/>
  <c r="CR28" i="60"/>
  <c r="CR37" i="60"/>
  <c r="DR21" i="60"/>
  <c r="DO22" i="60"/>
  <c r="DQ74" i="72"/>
  <c r="DQ78" i="72" s="1"/>
  <c r="DE78" i="72"/>
  <c r="DF21" i="60"/>
  <c r="DC22" i="60"/>
  <c r="DE107" i="72"/>
  <c r="CS112" i="72"/>
  <c r="CT28" i="60"/>
  <c r="CT37" i="60"/>
  <c r="DP22" i="60"/>
  <c r="DS21" i="60"/>
  <c r="DS74" i="72"/>
  <c r="DS78" i="72" s="1"/>
  <c r="DG78" i="72"/>
  <c r="AQ17" i="44"/>
  <c r="AR14" i="44" s="1"/>
  <c r="AR16" i="44" s="1"/>
  <c r="AR8" i="16" s="1"/>
  <c r="AS28" i="44"/>
  <c r="AQ25" i="1" l="1"/>
  <c r="AP10" i="1"/>
  <c r="AR10" i="16"/>
  <c r="AR26" i="16" s="1"/>
  <c r="AR9" i="16"/>
  <c r="AS29" i="16" s="1"/>
  <c r="AR25" i="1" s="1"/>
  <c r="AR23" i="44"/>
  <c r="AS20" i="44" s="1"/>
  <c r="AS22" i="44" s="1"/>
  <c r="AR10" i="60" s="1"/>
  <c r="AQ9" i="29"/>
  <c r="AQ10" i="29"/>
  <c r="DQ108" i="72"/>
  <c r="DQ112" i="72" s="1"/>
  <c r="DE112" i="72"/>
  <c r="DP28" i="60"/>
  <c r="DP37" i="60"/>
  <c r="DF37" i="60"/>
  <c r="DF28" i="60"/>
  <c r="DR28" i="60"/>
  <c r="DR37" i="60"/>
  <c r="DD28" i="60"/>
  <c r="DD37" i="60"/>
  <c r="AR17" i="44"/>
  <c r="AS14" i="44" s="1"/>
  <c r="AS16" i="44" s="1"/>
  <c r="AS8" i="16" s="1"/>
  <c r="AR10" i="29"/>
  <c r="AS10" i="16"/>
  <c r="AS26" i="16" s="1"/>
  <c r="AS29" i="44"/>
  <c r="AT26" i="44" s="1"/>
  <c r="AR8" i="1" l="1"/>
  <c r="AQ10" i="1"/>
  <c r="K19" i="80"/>
  <c r="B30" i="80" s="1"/>
  <c r="D5" i="97" s="1"/>
  <c r="D25" i="47" s="1"/>
  <c r="D24" i="47" s="1"/>
  <c r="AS9" i="16"/>
  <c r="AT29" i="16" s="1"/>
  <c r="AS8" i="1" s="1"/>
  <c r="AS23" i="44"/>
  <c r="AT20" i="44" s="1"/>
  <c r="AT22" i="44" s="1"/>
  <c r="AS10" i="60" s="1"/>
  <c r="AR9" i="29"/>
  <c r="AR10" i="1" s="1"/>
  <c r="AT28" i="44"/>
  <c r="AT29" i="44" s="1"/>
  <c r="AU26" i="44" s="1"/>
  <c r="AS17" i="44"/>
  <c r="AT14" i="44" s="1"/>
  <c r="AS25" i="1" l="1"/>
  <c r="CT25" i="47"/>
  <c r="BR25" i="47"/>
  <c r="D12" i="97"/>
  <c r="F12" i="97" s="1"/>
  <c r="B31" i="80"/>
  <c r="DP25" i="47"/>
  <c r="CJ25" i="47"/>
  <c r="AU25" i="47"/>
  <c r="D7" i="97"/>
  <c r="D9" i="97" s="1"/>
  <c r="F9" i="97" s="1"/>
  <c r="DB25" i="47"/>
  <c r="BU25" i="47"/>
  <c r="AJ25" i="47"/>
  <c r="DU25" i="47"/>
  <c r="CW25" i="47"/>
  <c r="BM25" i="47"/>
  <c r="D6" i="97"/>
  <c r="F6" i="97" s="1"/>
  <c r="DN25" i="47"/>
  <c r="DF25" i="47"/>
  <c r="CX25" i="47"/>
  <c r="CV25" i="47"/>
  <c r="CK25" i="47"/>
  <c r="CH25" i="47"/>
  <c r="BS25" i="47"/>
  <c r="BL25" i="47"/>
  <c r="BD25" i="47"/>
  <c r="AX25" i="47"/>
  <c r="AI25" i="47"/>
  <c r="D11" i="97"/>
  <c r="F11" i="97" s="1"/>
  <c r="DJ25" i="47"/>
  <c r="DM25" i="47"/>
  <c r="DD25" i="47"/>
  <c r="CM25" i="47"/>
  <c r="CL25" i="47"/>
  <c r="BZ25" i="47"/>
  <c r="BY25" i="47"/>
  <c r="BX25" i="47"/>
  <c r="BH25" i="47"/>
  <c r="AZ25" i="47"/>
  <c r="BA25" i="47"/>
  <c r="Z25" i="47"/>
  <c r="F5" i="97"/>
  <c r="DT25" i="47"/>
  <c r="DC25" i="47"/>
  <c r="CZ25" i="47"/>
  <c r="CU25" i="47"/>
  <c r="CE25" i="47"/>
  <c r="CF25" i="47"/>
  <c r="BV25" i="47"/>
  <c r="BB25" i="47"/>
  <c r="BJ25" i="47"/>
  <c r="AS25" i="47"/>
  <c r="AO25" i="47"/>
  <c r="DQ25" i="47"/>
  <c r="DK25" i="47"/>
  <c r="DR25" i="47"/>
  <c r="DE25" i="47"/>
  <c r="DI25" i="47"/>
  <c r="DG25" i="47"/>
  <c r="CN25" i="47"/>
  <c r="CR25" i="47"/>
  <c r="CO25" i="47"/>
  <c r="CD25" i="47"/>
  <c r="CB25" i="47"/>
  <c r="CA25" i="47"/>
  <c r="BO25" i="47"/>
  <c r="BQ25" i="47"/>
  <c r="BT25" i="47"/>
  <c r="BC25" i="47"/>
  <c r="BF25" i="47"/>
  <c r="BI25" i="47"/>
  <c r="AW25" i="47"/>
  <c r="AV25" i="47"/>
  <c r="AQ25" i="47"/>
  <c r="AE25" i="47"/>
  <c r="W25" i="47"/>
  <c r="DS25" i="47"/>
  <c r="DL25" i="47"/>
  <c r="DO25" i="47"/>
  <c r="CY25" i="47"/>
  <c r="DH25" i="47"/>
  <c r="DA25" i="47"/>
  <c r="CQ25" i="47"/>
  <c r="CS25" i="47"/>
  <c r="CP25" i="47"/>
  <c r="CC25" i="47"/>
  <c r="CG25" i="47"/>
  <c r="CI25" i="47"/>
  <c r="BW25" i="47"/>
  <c r="BP25" i="47"/>
  <c r="BN25" i="47"/>
  <c r="BK25" i="47"/>
  <c r="BE25" i="47"/>
  <c r="BG25" i="47"/>
  <c r="AR25" i="47"/>
  <c r="AY25" i="47"/>
  <c r="AT25" i="47"/>
  <c r="AK25" i="47"/>
  <c r="U25" i="47"/>
  <c r="AD25" i="47"/>
  <c r="AF25" i="47"/>
  <c r="AH25" i="47"/>
  <c r="T25" i="47"/>
  <c r="S25" i="47"/>
  <c r="Y25" i="47"/>
  <c r="AG25" i="47"/>
  <c r="X25" i="47"/>
  <c r="AB25" i="47"/>
  <c r="AA25" i="47"/>
  <c r="AP25" i="47"/>
  <c r="AL25" i="47"/>
  <c r="AM25" i="47"/>
  <c r="AN25" i="47"/>
  <c r="V25" i="47"/>
  <c r="AC25" i="47"/>
  <c r="AS9" i="29"/>
  <c r="Q24" i="60"/>
  <c r="W24" i="60"/>
  <c r="AI24" i="60"/>
  <c r="AC24" i="60"/>
  <c r="AO24" i="60"/>
  <c r="AU24" i="60"/>
  <c r="BG24" i="60"/>
  <c r="BA24" i="60"/>
  <c r="BS24" i="60"/>
  <c r="BM24" i="60"/>
  <c r="CE24" i="60"/>
  <c r="BY24" i="60"/>
  <c r="CK24" i="60"/>
  <c r="CQ24" i="60"/>
  <c r="CW24" i="60"/>
  <c r="DC24" i="60"/>
  <c r="DO24" i="60"/>
  <c r="DI24" i="60"/>
  <c r="AT23" i="44"/>
  <c r="AU20" i="44" s="1"/>
  <c r="AU22" i="44" s="1"/>
  <c r="AT10" i="60" s="1"/>
  <c r="AT9" i="16"/>
  <c r="AU29" i="16" s="1"/>
  <c r="AT8" i="1" s="1"/>
  <c r="Q47" i="47"/>
  <c r="P47" i="47"/>
  <c r="R47" i="47"/>
  <c r="U24" i="47"/>
  <c r="S24" i="47"/>
  <c r="Z24" i="47"/>
  <c r="Y24" i="47"/>
  <c r="T24" i="47"/>
  <c r="V24" i="47"/>
  <c r="X24" i="47"/>
  <c r="AC24" i="47"/>
  <c r="W24" i="47"/>
  <c r="AB24" i="47"/>
  <c r="AA24" i="47"/>
  <c r="AI24" i="47"/>
  <c r="AN24" i="47"/>
  <c r="AJ24" i="47"/>
  <c r="AD24" i="47"/>
  <c r="AK24" i="47"/>
  <c r="AM24" i="47"/>
  <c r="AG24" i="47"/>
  <c r="AL24" i="47"/>
  <c r="AE24" i="47"/>
  <c r="AO24" i="47"/>
  <c r="AH24" i="47"/>
  <c r="AF24" i="47"/>
  <c r="AX24" i="47"/>
  <c r="AU24" i="47"/>
  <c r="AP24" i="47"/>
  <c r="AR24" i="47"/>
  <c r="AY24" i="47"/>
  <c r="AW24" i="47"/>
  <c r="BA24" i="47"/>
  <c r="AT24" i="47"/>
  <c r="AQ24" i="47"/>
  <c r="AZ24" i="47"/>
  <c r="AV24" i="47"/>
  <c r="AS24" i="47"/>
  <c r="BD24" i="47"/>
  <c r="BC24" i="47"/>
  <c r="BG24" i="47"/>
  <c r="BF24" i="47"/>
  <c r="BK24" i="47"/>
  <c r="BH24" i="47"/>
  <c r="BB24" i="47"/>
  <c r="BJ24" i="47"/>
  <c r="BM24" i="47"/>
  <c r="BE24" i="47"/>
  <c r="BI24" i="47"/>
  <c r="BL24" i="47"/>
  <c r="BO24" i="47"/>
  <c r="BX24" i="47"/>
  <c r="BU24" i="47"/>
  <c r="BY24" i="47"/>
  <c r="BR24" i="47"/>
  <c r="BS24" i="47"/>
  <c r="BQ24" i="47"/>
  <c r="BV24" i="47"/>
  <c r="BP24" i="47"/>
  <c r="BW24" i="47"/>
  <c r="BT24" i="47"/>
  <c r="BN24" i="47"/>
  <c r="CI24" i="47"/>
  <c r="CB24" i="47"/>
  <c r="BZ24" i="47"/>
  <c r="CD24" i="47"/>
  <c r="CJ24" i="47"/>
  <c r="CG24" i="47"/>
  <c r="CF24" i="47"/>
  <c r="CK24" i="47"/>
  <c r="CH24" i="47"/>
  <c r="CE24" i="47"/>
  <c r="CC24" i="47"/>
  <c r="CA24" i="47"/>
  <c r="CO24" i="47"/>
  <c r="CT24" i="47"/>
  <c r="CN24" i="47"/>
  <c r="CQ24" i="47"/>
  <c r="CS24" i="47"/>
  <c r="CL24" i="47"/>
  <c r="CM24" i="47"/>
  <c r="CW24" i="47"/>
  <c r="CV24" i="47"/>
  <c r="CP24" i="47"/>
  <c r="CR24" i="47"/>
  <c r="CU24" i="47"/>
  <c r="DC24" i="47"/>
  <c r="DF24" i="47"/>
  <c r="CY24" i="47"/>
  <c r="DD24" i="47"/>
  <c r="DE24" i="47"/>
  <c r="CX24" i="47"/>
  <c r="DG24" i="47"/>
  <c r="DH24" i="47"/>
  <c r="DA24" i="47"/>
  <c r="DI24" i="47"/>
  <c r="DB24" i="47"/>
  <c r="CZ24" i="47"/>
  <c r="DR24" i="47"/>
  <c r="DK24" i="47"/>
  <c r="DS24" i="47"/>
  <c r="DM24" i="47"/>
  <c r="DU24" i="47"/>
  <c r="DN24" i="47"/>
  <c r="DP24" i="47"/>
  <c r="DL24" i="47"/>
  <c r="DJ24" i="47"/>
  <c r="DT24" i="47"/>
  <c r="DO24" i="47"/>
  <c r="DQ24" i="47"/>
  <c r="D45" i="47"/>
  <c r="AT25" i="1"/>
  <c r="AU28" i="44"/>
  <c r="AU29" i="44" s="1"/>
  <c r="AV26" i="44" s="1"/>
  <c r="AS10" i="29"/>
  <c r="AT10" i="16"/>
  <c r="AT26" i="16" s="1"/>
  <c r="AT16" i="44"/>
  <c r="AT8" i="16" s="1"/>
  <c r="AS10" i="1" l="1"/>
  <c r="F7" i="97"/>
  <c r="F18" i="97" s="1"/>
  <c r="F11" i="85" s="1"/>
  <c r="E4" i="91" s="1"/>
  <c r="AU23" i="44"/>
  <c r="AV20" i="44" s="1"/>
  <c r="AT9" i="29"/>
  <c r="DL23" i="60"/>
  <c r="DN47" i="47"/>
  <c r="DD23" i="60"/>
  <c r="DF47" i="47"/>
  <c r="CR23" i="60"/>
  <c r="CT47" i="47"/>
  <c r="BQ23" i="60"/>
  <c r="BS47" i="47"/>
  <c r="BF23" i="60"/>
  <c r="BH47" i="47"/>
  <c r="AS23" i="60"/>
  <c r="AS11" i="1" s="1"/>
  <c r="AS13" i="1" s="1"/>
  <c r="AU47" i="47"/>
  <c r="AK23" i="60"/>
  <c r="AK11" i="1" s="1"/>
  <c r="AM47" i="47"/>
  <c r="DS23" i="60"/>
  <c r="DU47" i="47"/>
  <c r="CY23" i="60"/>
  <c r="DA47" i="47"/>
  <c r="DC23" i="60"/>
  <c r="DE47" i="47"/>
  <c r="DA23" i="60"/>
  <c r="DC47" i="47"/>
  <c r="CT23" i="60"/>
  <c r="CV47" i="47"/>
  <c r="CM23" i="60"/>
  <c r="CO47" i="47"/>
  <c r="CF23" i="60"/>
  <c r="CH47" i="47"/>
  <c r="CH23" i="60"/>
  <c r="CJ47" i="47"/>
  <c r="CG23" i="60"/>
  <c r="CI47" i="47"/>
  <c r="BN23" i="60"/>
  <c r="BP47" i="47"/>
  <c r="BP23" i="60"/>
  <c r="BR47" i="47"/>
  <c r="BM23" i="60"/>
  <c r="BO47" i="47"/>
  <c r="BK23" i="60"/>
  <c r="BM47" i="47"/>
  <c r="BI23" i="60"/>
  <c r="BK47" i="47"/>
  <c r="BB23" i="60"/>
  <c r="BD47" i="47"/>
  <c r="AO23" i="60"/>
  <c r="AO11" i="1" s="1"/>
  <c r="AQ47" i="47"/>
  <c r="AW23" i="60"/>
  <c r="AY47" i="47"/>
  <c r="AV23" i="60"/>
  <c r="AX47" i="47"/>
  <c r="AC23" i="60"/>
  <c r="AC11" i="1" s="1"/>
  <c r="AE47" i="47"/>
  <c r="AI23" i="60"/>
  <c r="AI11" i="1" s="1"/>
  <c r="AK47" i="47"/>
  <c r="AG23" i="60"/>
  <c r="AG11" i="1" s="1"/>
  <c r="AI47" i="47"/>
  <c r="AA23" i="60"/>
  <c r="AA11" i="1" s="1"/>
  <c r="AC47" i="47"/>
  <c r="W23" i="60"/>
  <c r="W11" i="1" s="1"/>
  <c r="Y47" i="47"/>
  <c r="DR23" i="60"/>
  <c r="DT47" i="47"/>
  <c r="DG23" i="60"/>
  <c r="DI47" i="47"/>
  <c r="CJ23" i="60"/>
  <c r="CL47" i="47"/>
  <c r="CE23" i="60"/>
  <c r="CG47" i="47"/>
  <c r="BU23" i="60"/>
  <c r="BW47" i="47"/>
  <c r="BV23" i="60"/>
  <c r="BX47" i="47"/>
  <c r="BA23" i="60"/>
  <c r="BC47" i="47"/>
  <c r="AU23" i="60"/>
  <c r="AW47" i="47"/>
  <c r="AM23" i="60"/>
  <c r="AM11" i="1" s="1"/>
  <c r="AO47" i="47"/>
  <c r="AL23" i="60"/>
  <c r="AL11" i="1" s="1"/>
  <c r="AN47" i="47"/>
  <c r="DH23" i="60"/>
  <c r="DJ47" i="47"/>
  <c r="DP23" i="60"/>
  <c r="DR47" i="47"/>
  <c r="CQ23" i="60"/>
  <c r="CS47" i="47"/>
  <c r="DO23" i="60"/>
  <c r="DQ47" i="47"/>
  <c r="DJ23" i="60"/>
  <c r="DL47" i="47"/>
  <c r="DK23" i="60"/>
  <c r="DM47" i="47"/>
  <c r="CX23" i="60"/>
  <c r="CZ47" i="47"/>
  <c r="DF23" i="60"/>
  <c r="DH47" i="47"/>
  <c r="DB23" i="60"/>
  <c r="DD47" i="47"/>
  <c r="CS23" i="60"/>
  <c r="CU47" i="47"/>
  <c r="CU23" i="60"/>
  <c r="CW47" i="47"/>
  <c r="CO23" i="60"/>
  <c r="CQ47" i="47"/>
  <c r="BY23" i="60"/>
  <c r="CA47" i="47"/>
  <c r="CI23" i="60"/>
  <c r="CK47" i="47"/>
  <c r="CB23" i="60"/>
  <c r="CD47" i="47"/>
  <c r="BL23" i="60"/>
  <c r="BN47" i="47"/>
  <c r="BT23" i="60"/>
  <c r="BV47" i="47"/>
  <c r="BW23" i="60"/>
  <c r="BY47" i="47"/>
  <c r="BJ23" i="60"/>
  <c r="BL47" i="47"/>
  <c r="BH23" i="60"/>
  <c r="BJ47" i="47"/>
  <c r="BD23" i="60"/>
  <c r="BF47" i="47"/>
  <c r="AQ23" i="60"/>
  <c r="AQ11" i="1" s="1"/>
  <c r="AS47" i="47"/>
  <c r="AR23" i="60"/>
  <c r="AR11" i="1" s="1"/>
  <c r="AT47" i="47"/>
  <c r="AP23" i="60"/>
  <c r="AP11" i="1" s="1"/>
  <c r="AR47" i="47"/>
  <c r="AD23" i="60"/>
  <c r="AD11" i="1" s="1"/>
  <c r="AF47" i="47"/>
  <c r="AJ23" i="60"/>
  <c r="AJ11" i="1" s="1"/>
  <c r="AL47" i="47"/>
  <c r="AB23" i="60"/>
  <c r="AB11" i="1" s="1"/>
  <c r="AD47" i="47"/>
  <c r="Y23" i="60"/>
  <c r="Y11" i="1" s="1"/>
  <c r="AA47" i="47"/>
  <c r="V23" i="60"/>
  <c r="V11" i="1" s="1"/>
  <c r="X47" i="47"/>
  <c r="X23" i="60"/>
  <c r="X11" i="1" s="1"/>
  <c r="Z47" i="47"/>
  <c r="S23" i="60"/>
  <c r="S11" i="1" s="1"/>
  <c r="U47" i="47"/>
  <c r="DI23" i="60"/>
  <c r="DK47" i="47"/>
  <c r="CV23" i="60"/>
  <c r="CX47" i="47"/>
  <c r="CN23" i="60"/>
  <c r="CP47" i="47"/>
  <c r="CC23" i="60"/>
  <c r="CE47" i="47"/>
  <c r="BZ23" i="60"/>
  <c r="CB47" i="47"/>
  <c r="BC23" i="60"/>
  <c r="BE47" i="47"/>
  <c r="AX23" i="60"/>
  <c r="AZ47" i="47"/>
  <c r="U23" i="60"/>
  <c r="U11" i="1" s="1"/>
  <c r="W47" i="47"/>
  <c r="R23" i="60"/>
  <c r="R11" i="1" s="1"/>
  <c r="T47" i="47"/>
  <c r="DM23" i="60"/>
  <c r="DO47" i="47"/>
  <c r="DN23" i="60"/>
  <c r="DP47" i="47"/>
  <c r="DQ23" i="60"/>
  <c r="DS47" i="47"/>
  <c r="CZ23" i="60"/>
  <c r="DB47" i="47"/>
  <c r="DE23" i="60"/>
  <c r="DG47" i="47"/>
  <c r="CW23" i="60"/>
  <c r="CY47" i="47"/>
  <c r="CP23" i="60"/>
  <c r="CR47" i="47"/>
  <c r="CK23" i="60"/>
  <c r="CM47" i="47"/>
  <c r="CL23" i="60"/>
  <c r="CN47" i="47"/>
  <c r="CA23" i="60"/>
  <c r="CC47" i="47"/>
  <c r="CD23" i="60"/>
  <c r="CF47" i="47"/>
  <c r="BX23" i="60"/>
  <c r="BZ47" i="47"/>
  <c r="BR23" i="60"/>
  <c r="BT47" i="47"/>
  <c r="BO23" i="60"/>
  <c r="BQ47" i="47"/>
  <c r="BS23" i="60"/>
  <c r="BU47" i="47"/>
  <c r="BG23" i="60"/>
  <c r="BI47" i="47"/>
  <c r="AZ23" i="60"/>
  <c r="BB47" i="47"/>
  <c r="BE23" i="60"/>
  <c r="BG47" i="47"/>
  <c r="AT23" i="60"/>
  <c r="AT11" i="1" s="1"/>
  <c r="AV47" i="47"/>
  <c r="AY23" i="60"/>
  <c r="BA47" i="47"/>
  <c r="AN23" i="60"/>
  <c r="AP47" i="47"/>
  <c r="AF23" i="60"/>
  <c r="AF11" i="1" s="1"/>
  <c r="AH47" i="47"/>
  <c r="AG47" i="47"/>
  <c r="AE23" i="60"/>
  <c r="AE11" i="1" s="1"/>
  <c r="AH23" i="60"/>
  <c r="AH11" i="1" s="1"/>
  <c r="AJ47" i="47"/>
  <c r="Z23" i="60"/>
  <c r="Z11" i="1" s="1"/>
  <c r="AB47" i="47"/>
  <c r="T23" i="60"/>
  <c r="T11" i="1" s="1"/>
  <c r="V47" i="47"/>
  <c r="Q23" i="60"/>
  <c r="Q11" i="1" s="1"/>
  <c r="S47" i="47"/>
  <c r="AV22" i="44"/>
  <c r="AU10" i="60" s="1"/>
  <c r="AU9" i="16"/>
  <c r="AV29" i="16" s="1"/>
  <c r="AV28" i="44"/>
  <c r="AV29" i="44" s="1"/>
  <c r="AW26" i="44" s="1"/>
  <c r="AU10" i="16"/>
  <c r="AU26" i="16" s="1"/>
  <c r="AT10" i="29"/>
  <c r="AT17" i="44"/>
  <c r="AU14" i="44" s="1"/>
  <c r="F4" i="91" l="1"/>
  <c r="E6" i="91"/>
  <c r="F6" i="91" s="1"/>
  <c r="C30" i="60"/>
  <c r="G23" i="103"/>
  <c r="AV23" i="44"/>
  <c r="AW20" i="44" s="1"/>
  <c r="AW22" i="44" s="1"/>
  <c r="AV10" i="60" s="1"/>
  <c r="AU9" i="29"/>
  <c r="AS26" i="1"/>
  <c r="AN11" i="1"/>
  <c r="AN26" i="1" s="1"/>
  <c r="AN28" i="1" s="1"/>
  <c r="AN43" i="1" s="1"/>
  <c r="T13" i="1"/>
  <c r="T26" i="1"/>
  <c r="T28" i="1" s="1"/>
  <c r="AH13" i="1"/>
  <c r="AH26" i="1"/>
  <c r="AH28" i="1" s="1"/>
  <c r="AH43" i="1" s="1"/>
  <c r="AF13" i="1"/>
  <c r="AF26" i="1"/>
  <c r="AF28" i="1" s="1"/>
  <c r="AF43" i="1" s="1"/>
  <c r="R26" i="1"/>
  <c r="R28" i="1" s="1"/>
  <c r="R13" i="1"/>
  <c r="X13" i="1"/>
  <c r="X26" i="1"/>
  <c r="X28" i="1" s="1"/>
  <c r="Y26" i="1"/>
  <c r="Y28" i="1" s="1"/>
  <c r="Y13" i="1"/>
  <c r="AJ13" i="1"/>
  <c r="AJ26" i="1"/>
  <c r="AJ28" i="1" s="1"/>
  <c r="AJ43" i="1" s="1"/>
  <c r="AP13" i="1"/>
  <c r="AP26" i="1"/>
  <c r="AP28" i="1" s="1"/>
  <c r="AP43" i="1" s="1"/>
  <c r="AQ26" i="1"/>
  <c r="AQ28" i="1" s="1"/>
  <c r="AQ43" i="1" s="1"/>
  <c r="AQ13" i="1"/>
  <c r="AL26" i="1"/>
  <c r="AL28" i="1" s="1"/>
  <c r="AL43" i="1" s="1"/>
  <c r="AL13" i="1"/>
  <c r="W13" i="1"/>
  <c r="W26" i="1"/>
  <c r="W28" i="1" s="1"/>
  <c r="AG26" i="1"/>
  <c r="AG13" i="1"/>
  <c r="AC13" i="1"/>
  <c r="AC26" i="1"/>
  <c r="AC28" i="1" s="1"/>
  <c r="AE13" i="1"/>
  <c r="AE26" i="1"/>
  <c r="AE28" i="1" s="1"/>
  <c r="Q13" i="1"/>
  <c r="Q26" i="1"/>
  <c r="Q28" i="1" s="1"/>
  <c r="E9" i="20"/>
  <c r="E11" i="20" s="1"/>
  <c r="Z13" i="1"/>
  <c r="Z26" i="1"/>
  <c r="Z28" i="1" s="1"/>
  <c r="U13" i="1"/>
  <c r="U26" i="1"/>
  <c r="S13" i="1"/>
  <c r="S26" i="1"/>
  <c r="S28" i="1" s="1"/>
  <c r="V26" i="1"/>
  <c r="V28" i="1" s="1"/>
  <c r="V13" i="1"/>
  <c r="AB26" i="1"/>
  <c r="AB28" i="1" s="1"/>
  <c r="AB13" i="1"/>
  <c r="AD26" i="1"/>
  <c r="AD28" i="1" s="1"/>
  <c r="AD13" i="1"/>
  <c r="AR13" i="1"/>
  <c r="AR26" i="1"/>
  <c r="AR28" i="1" s="1"/>
  <c r="AR43" i="1" s="1"/>
  <c r="F9" i="20"/>
  <c r="F11" i="20" s="1"/>
  <c r="AM13" i="1"/>
  <c r="AM26" i="1"/>
  <c r="AA13" i="1"/>
  <c r="AA26" i="1"/>
  <c r="AI26" i="1"/>
  <c r="AI28" i="1" s="1"/>
  <c r="AI43" i="1" s="1"/>
  <c r="AI13" i="1"/>
  <c r="AO26" i="1"/>
  <c r="AO28" i="1" s="1"/>
  <c r="AO43" i="1" s="1"/>
  <c r="AO13" i="1"/>
  <c r="AK26" i="1"/>
  <c r="AK28" i="1" s="1"/>
  <c r="AK43" i="1" s="1"/>
  <c r="AK13" i="1"/>
  <c r="E6" i="100"/>
  <c r="AT10" i="1"/>
  <c r="AT13" i="1" s="1"/>
  <c r="AU8" i="1"/>
  <c r="AU25" i="1"/>
  <c r="AU11" i="1"/>
  <c r="AV9" i="16"/>
  <c r="AW29" i="16" s="1"/>
  <c r="AW28" i="44"/>
  <c r="AW29" i="44" s="1"/>
  <c r="AX26" i="44" s="1"/>
  <c r="AU10" i="29"/>
  <c r="AV10" i="16"/>
  <c r="AV26" i="16" s="1"/>
  <c r="AU16" i="44"/>
  <c r="AU8" i="16" s="1"/>
  <c r="BL30" i="60" l="1"/>
  <c r="DH30" i="60"/>
  <c r="F15" i="91"/>
  <c r="F5" i="85" s="1"/>
  <c r="C9" i="13" s="1"/>
  <c r="AV9" i="29"/>
  <c r="AN13" i="1"/>
  <c r="E27" i="20"/>
  <c r="F27" i="20"/>
  <c r="F6" i="100"/>
  <c r="E9" i="100"/>
  <c r="AT26" i="1"/>
  <c r="AT28" i="1" s="1"/>
  <c r="AT43" i="1" s="1"/>
  <c r="AU10" i="1"/>
  <c r="AU26" i="1" s="1"/>
  <c r="AU28" i="1" s="1"/>
  <c r="AU43" i="1" s="1"/>
  <c r="AV11" i="1"/>
  <c r="AW9" i="16"/>
  <c r="AX29" i="16" s="1"/>
  <c r="AV8" i="1"/>
  <c r="AV25" i="1"/>
  <c r="AW23" i="44"/>
  <c r="AX20" i="44" s="1"/>
  <c r="AX28" i="44"/>
  <c r="AX29" i="44" s="1"/>
  <c r="AY26" i="44" s="1"/>
  <c r="AV10" i="29"/>
  <c r="AW10" i="16"/>
  <c r="AW26" i="16" s="1"/>
  <c r="AU17" i="44"/>
  <c r="AV14" i="44" s="1"/>
  <c r="AU13" i="1" l="1"/>
  <c r="F9" i="100"/>
  <c r="E11" i="100"/>
  <c r="AV10" i="1"/>
  <c r="AV13" i="1" s="1"/>
  <c r="AW8" i="1"/>
  <c r="AW25" i="1"/>
  <c r="AX22" i="44"/>
  <c r="AW10" i="60" s="1"/>
  <c r="AY28" i="44"/>
  <c r="AW10" i="29"/>
  <c r="AX10" i="16"/>
  <c r="AX26" i="16" s="1"/>
  <c r="AV16" i="44"/>
  <c r="AV8" i="16" s="1"/>
  <c r="AX23" i="44" l="1"/>
  <c r="AY20" i="44" s="1"/>
  <c r="AY22" i="44" s="1"/>
  <c r="AX10" i="60" s="1"/>
  <c r="AW9" i="29"/>
  <c r="AW10" i="1" s="1"/>
  <c r="AV26" i="1"/>
  <c r="AV28" i="1" s="1"/>
  <c r="AV43" i="1" s="1"/>
  <c r="F11" i="100"/>
  <c r="E14" i="100"/>
  <c r="AW11" i="1"/>
  <c r="AX9" i="16"/>
  <c r="AY29" i="16" s="1"/>
  <c r="AX10" i="29"/>
  <c r="AY10" i="16"/>
  <c r="AY26" i="16" s="1"/>
  <c r="AY29" i="44"/>
  <c r="AZ26" i="44" s="1"/>
  <c r="AV17" i="44"/>
  <c r="AW14" i="44" s="1"/>
  <c r="AW16" i="44" s="1"/>
  <c r="AW8" i="16" s="1"/>
  <c r="AY23" i="44" l="1"/>
  <c r="AZ20" i="44" s="1"/>
  <c r="AZ22" i="44" s="1"/>
  <c r="AY10" i="60" s="1"/>
  <c r="AX9" i="29"/>
  <c r="AX10" i="1" s="1"/>
  <c r="E15" i="100"/>
  <c r="F15" i="100" s="1"/>
  <c r="F14" i="100"/>
  <c r="E17" i="100"/>
  <c r="F17" i="100" s="1"/>
  <c r="AW13" i="1"/>
  <c r="AW26" i="1"/>
  <c r="AW28" i="1" s="1"/>
  <c r="AW43" i="1" s="1"/>
  <c r="AX25" i="1"/>
  <c r="AX8" i="1"/>
  <c r="AX11" i="1"/>
  <c r="AY9" i="16"/>
  <c r="AZ29" i="16" s="1"/>
  <c r="AZ28" i="44"/>
  <c r="AZ29" i="44" s="1"/>
  <c r="BA26" i="44" s="1"/>
  <c r="AW17" i="44"/>
  <c r="AX14" i="44" s="1"/>
  <c r="AY9" i="29" l="1"/>
  <c r="G11" i="103" s="1"/>
  <c r="G28" i="103"/>
  <c r="F19" i="100"/>
  <c r="F14" i="85" s="1"/>
  <c r="AX26" i="1"/>
  <c r="AX28" i="1" s="1"/>
  <c r="AX43" i="1" s="1"/>
  <c r="AX13" i="1"/>
  <c r="AZ9" i="16"/>
  <c r="BA29" i="16" s="1"/>
  <c r="AY8" i="1"/>
  <c r="G6" i="20" s="1"/>
  <c r="F7" i="23" s="1"/>
  <c r="AY25" i="1"/>
  <c r="G26" i="20" s="1"/>
  <c r="AZ23" i="44"/>
  <c r="BA20" i="44" s="1"/>
  <c r="BA28" i="44"/>
  <c r="BA29" i="44" s="1"/>
  <c r="BB26" i="44" s="1"/>
  <c r="AY10" i="29"/>
  <c r="AZ10" i="16"/>
  <c r="AZ26" i="16" s="1"/>
  <c r="AX16" i="44"/>
  <c r="AX8" i="16" s="1"/>
  <c r="AY11" i="1" l="1"/>
  <c r="G9" i="20" s="1"/>
  <c r="G12" i="103" s="1"/>
  <c r="G15" i="103" s="1"/>
  <c r="F18" i="85"/>
  <c r="E5" i="101"/>
  <c r="F5" i="101" s="1"/>
  <c r="F8" i="101" s="1"/>
  <c r="F15" i="85" s="1"/>
  <c r="F22" i="85" s="1"/>
  <c r="AY10" i="1"/>
  <c r="AZ8" i="1"/>
  <c r="AZ25" i="1"/>
  <c r="BA22" i="44"/>
  <c r="AZ10" i="60" s="1"/>
  <c r="BB28" i="44"/>
  <c r="BB29" i="44" s="1"/>
  <c r="BC26" i="44" s="1"/>
  <c r="BA10" i="16"/>
  <c r="BA26" i="16" s="1"/>
  <c r="AZ10" i="29"/>
  <c r="AX17" i="44"/>
  <c r="AY14" i="44" s="1"/>
  <c r="BA23" i="44" l="1"/>
  <c r="BB20" i="44" s="1"/>
  <c r="BB22" i="44" s="1"/>
  <c r="BA10" i="60" s="1"/>
  <c r="AZ9" i="29"/>
  <c r="AZ10" i="1" s="1"/>
  <c r="F17" i="85"/>
  <c r="F19" i="85" s="1"/>
  <c r="F22" i="104"/>
  <c r="C24" i="104" s="1"/>
  <c r="AY13" i="1"/>
  <c r="G8" i="20"/>
  <c r="G11" i="20" s="1"/>
  <c r="AY26" i="1"/>
  <c r="G27" i="20" s="1"/>
  <c r="BA9" i="16"/>
  <c r="BB29" i="16" s="1"/>
  <c r="BC28" i="44"/>
  <c r="BA10" i="29"/>
  <c r="BB10" i="16"/>
  <c r="BB26" i="16" s="1"/>
  <c r="AY16" i="44"/>
  <c r="AY8" i="16" s="1"/>
  <c r="BB23" i="44" l="1"/>
  <c r="BC20" i="44" s="1"/>
  <c r="BA9" i="29"/>
  <c r="BA10" i="1" s="1"/>
  <c r="L24" i="104"/>
  <c r="L37" i="104" s="1"/>
  <c r="J24" i="104"/>
  <c r="J37" i="104" s="1"/>
  <c r="F24" i="104"/>
  <c r="F37" i="104" s="1"/>
  <c r="G37" i="103" s="1"/>
  <c r="H24" i="104"/>
  <c r="H37" i="104" s="1"/>
  <c r="I24" i="104"/>
  <c r="I37" i="104" s="1"/>
  <c r="M24" i="104"/>
  <c r="M37" i="104" s="1"/>
  <c r="K24" i="104"/>
  <c r="K37" i="104" s="1"/>
  <c r="G24" i="104"/>
  <c r="G37" i="104" s="1"/>
  <c r="E24" i="104"/>
  <c r="E37" i="104" s="1"/>
  <c r="AZ11" i="1"/>
  <c r="AZ13" i="1" s="1"/>
  <c r="BC22" i="44"/>
  <c r="BB10" i="60" s="1"/>
  <c r="BA25" i="1"/>
  <c r="BA8" i="1"/>
  <c r="BA11" i="1"/>
  <c r="BB9" i="16"/>
  <c r="BC29" i="16" s="1"/>
  <c r="BB10" i="29"/>
  <c r="BC10" i="16"/>
  <c r="BC26" i="16" s="1"/>
  <c r="BC29" i="44"/>
  <c r="BD26" i="44" s="1"/>
  <c r="AY17" i="44"/>
  <c r="AZ14" i="44" s="1"/>
  <c r="AZ16" i="44" s="1"/>
  <c r="AZ8" i="16" s="1"/>
  <c r="BC23" i="44" l="1"/>
  <c r="BD20" i="44" s="1"/>
  <c r="BD22" i="44" s="1"/>
  <c r="BC10" i="60" s="1"/>
  <c r="BB9" i="29"/>
  <c r="BB10" i="1" s="1"/>
  <c r="E76" i="104"/>
  <c r="G76" i="104"/>
  <c r="H76" i="104"/>
  <c r="K76" i="104"/>
  <c r="F76" i="104"/>
  <c r="M76" i="104"/>
  <c r="J76" i="104"/>
  <c r="I76" i="104"/>
  <c r="L76" i="104"/>
  <c r="AZ26" i="1"/>
  <c r="AZ28" i="1" s="1"/>
  <c r="AZ43" i="1" s="1"/>
  <c r="BA13" i="1"/>
  <c r="BA26" i="1"/>
  <c r="BA28" i="1" s="1"/>
  <c r="BA43" i="1" s="1"/>
  <c r="BB8" i="1"/>
  <c r="BB25" i="1"/>
  <c r="BC9" i="16"/>
  <c r="BD29" i="16" s="1"/>
  <c r="BD28" i="44"/>
  <c r="BD29" i="44" s="1"/>
  <c r="BE26" i="44" s="1"/>
  <c r="AZ17" i="44"/>
  <c r="BA14" i="44" s="1"/>
  <c r="BD23" i="44" l="1"/>
  <c r="BE20" i="44" s="1"/>
  <c r="BE22" i="44" s="1"/>
  <c r="BD10" i="60" s="1"/>
  <c r="BC9" i="29"/>
  <c r="I78" i="104"/>
  <c r="I77" i="104"/>
  <c r="K77" i="104"/>
  <c r="K78" i="104"/>
  <c r="M77" i="104"/>
  <c r="M78" i="104"/>
  <c r="G78" i="104"/>
  <c r="G77" i="104"/>
  <c r="L77" i="104"/>
  <c r="L78" i="104"/>
  <c r="J78" i="104"/>
  <c r="J77" i="104"/>
  <c r="F77" i="104"/>
  <c r="F78" i="104"/>
  <c r="H77" i="104"/>
  <c r="H78" i="104"/>
  <c r="E77" i="104"/>
  <c r="E78" i="104"/>
  <c r="BB11" i="1"/>
  <c r="BB13" i="1" s="1"/>
  <c r="BC25" i="1"/>
  <c r="BC8" i="1"/>
  <c r="BC11" i="1"/>
  <c r="BD9" i="16"/>
  <c r="BE29" i="16" s="1"/>
  <c r="BE28" i="44"/>
  <c r="BE29" i="44" s="1"/>
  <c r="BF26" i="44" s="1"/>
  <c r="BC10" i="29"/>
  <c r="BD10" i="16"/>
  <c r="BD26" i="16" s="1"/>
  <c r="BA16" i="44"/>
  <c r="BA8" i="16" s="1"/>
  <c r="BE23" i="44" l="1"/>
  <c r="BF20" i="44" s="1"/>
  <c r="BF22" i="44" s="1"/>
  <c r="BE10" i="60" s="1"/>
  <c r="BD9" i="29"/>
  <c r="BB26" i="1"/>
  <c r="BB28" i="1" s="1"/>
  <c r="BB43" i="1" s="1"/>
  <c r="BC10" i="1"/>
  <c r="BC13" i="1" s="1"/>
  <c r="BD8" i="1"/>
  <c r="BD25" i="1"/>
  <c r="BE9" i="16"/>
  <c r="BF29" i="16" s="1"/>
  <c r="BF28" i="44"/>
  <c r="BF29" i="44" s="1"/>
  <c r="BG26" i="44" s="1"/>
  <c r="BD10" i="29"/>
  <c r="BE10" i="16"/>
  <c r="BE26" i="16" s="1"/>
  <c r="BA17" i="44"/>
  <c r="BB14" i="44" s="1"/>
  <c r="BF23" i="44" l="1"/>
  <c r="BG20" i="44" s="1"/>
  <c r="BG22" i="44" s="1"/>
  <c r="BF10" i="60" s="1"/>
  <c r="BE9" i="29"/>
  <c r="BC26" i="1"/>
  <c r="BC28" i="1" s="1"/>
  <c r="BC43" i="1" s="1"/>
  <c r="BD11" i="1"/>
  <c r="BD10" i="1"/>
  <c r="BE8" i="1"/>
  <c r="BE25" i="1"/>
  <c r="BE11" i="1"/>
  <c r="BF9" i="16"/>
  <c r="BG29" i="16" s="1"/>
  <c r="BG28" i="44"/>
  <c r="BG29" i="44" s="1"/>
  <c r="BH26" i="44" s="1"/>
  <c r="BE10" i="29"/>
  <c r="BF10" i="16"/>
  <c r="BF26" i="16" s="1"/>
  <c r="BB16" i="44"/>
  <c r="BB8" i="16" s="1"/>
  <c r="BG23" i="44" l="1"/>
  <c r="BH20" i="44" s="1"/>
  <c r="BH22" i="44" s="1"/>
  <c r="BG10" i="60" s="1"/>
  <c r="BF9" i="29"/>
  <c r="BD13" i="1"/>
  <c r="BE10" i="1"/>
  <c r="BE13" i="1" s="1"/>
  <c r="BD26" i="1"/>
  <c r="BD28" i="1" s="1"/>
  <c r="BD43" i="1" s="1"/>
  <c r="BF25" i="1"/>
  <c r="BF8" i="1"/>
  <c r="BF11" i="1"/>
  <c r="BG9" i="16"/>
  <c r="BH29" i="16" s="1"/>
  <c r="BH28" i="44"/>
  <c r="BH29" i="44" s="1"/>
  <c r="BI26" i="44" s="1"/>
  <c r="BG10" i="16"/>
  <c r="BG26" i="16" s="1"/>
  <c r="BF10" i="29"/>
  <c r="BB17" i="44"/>
  <c r="BC14" i="44" s="1"/>
  <c r="BH23" i="44" l="1"/>
  <c r="BI20" i="44" s="1"/>
  <c r="BI22" i="44" s="1"/>
  <c r="BH10" i="60" s="1"/>
  <c r="BG9" i="29"/>
  <c r="BE26" i="1"/>
  <c r="BF10" i="1"/>
  <c r="BF13" i="1" s="1"/>
  <c r="BG8" i="1"/>
  <c r="BG25" i="1"/>
  <c r="BG11" i="1"/>
  <c r="BH9" i="16"/>
  <c r="BI29" i="16" s="1"/>
  <c r="BI28" i="44"/>
  <c r="BI29" i="44" s="1"/>
  <c r="BJ26" i="44" s="1"/>
  <c r="BG10" i="29"/>
  <c r="BH10" i="16"/>
  <c r="BH26" i="16" s="1"/>
  <c r="BC16" i="44"/>
  <c r="BC8" i="16" s="1"/>
  <c r="BI23" i="44" l="1"/>
  <c r="BJ20" i="44" s="1"/>
  <c r="BJ22" i="44" s="1"/>
  <c r="BI10" i="60" s="1"/>
  <c r="BH9" i="29"/>
  <c r="BF26" i="1"/>
  <c r="BF28" i="1" s="1"/>
  <c r="BF43" i="1" s="1"/>
  <c r="BG10" i="1"/>
  <c r="BG13" i="1" s="1"/>
  <c r="BH25" i="1"/>
  <c r="BH8" i="1"/>
  <c r="BH11" i="1"/>
  <c r="BI9" i="16"/>
  <c r="BJ29" i="16" s="1"/>
  <c r="BJ28" i="44"/>
  <c r="BJ29" i="44" s="1"/>
  <c r="BK26" i="44" s="1"/>
  <c r="BK28" i="44" s="1"/>
  <c r="BI10" i="16"/>
  <c r="BI26" i="16" s="1"/>
  <c r="BH10" i="29"/>
  <c r="BC17" i="44"/>
  <c r="BD14" i="44" s="1"/>
  <c r="BJ23" i="44" l="1"/>
  <c r="BK20" i="44" s="1"/>
  <c r="BK22" i="44" s="1"/>
  <c r="BJ10" i="60" s="1"/>
  <c r="BI9" i="29"/>
  <c r="BG26" i="1"/>
  <c r="BG28" i="1" s="1"/>
  <c r="BG43" i="1" s="1"/>
  <c r="BH10" i="1"/>
  <c r="BH26" i="1" s="1"/>
  <c r="BH28" i="1" s="1"/>
  <c r="BH43" i="1" s="1"/>
  <c r="BI8" i="1"/>
  <c r="BI25" i="1"/>
  <c r="BI11" i="1"/>
  <c r="BJ9" i="16"/>
  <c r="BK29" i="16" s="1"/>
  <c r="BK29" i="44"/>
  <c r="BL26" i="44" s="1"/>
  <c r="BJ10" i="29"/>
  <c r="BK10" i="16"/>
  <c r="BK26" i="16" s="1"/>
  <c r="BJ10" i="16"/>
  <c r="BJ26" i="16" s="1"/>
  <c r="BI10" i="29"/>
  <c r="BD16" i="44"/>
  <c r="BD8" i="16" s="1"/>
  <c r="BK23" i="44" l="1"/>
  <c r="BL20" i="44" s="1"/>
  <c r="BL22" i="44" s="1"/>
  <c r="BK10" i="60" s="1"/>
  <c r="BJ9" i="29"/>
  <c r="BJ10" i="1" s="1"/>
  <c r="BH13" i="1"/>
  <c r="BI10" i="1"/>
  <c r="BI13" i="1" s="1"/>
  <c r="BJ25" i="1"/>
  <c r="BJ8" i="1"/>
  <c r="BJ11" i="1"/>
  <c r="BK9" i="16"/>
  <c r="BL29" i="16" s="1"/>
  <c r="BL28" i="44"/>
  <c r="BL29" i="44" s="1"/>
  <c r="BM26" i="44" s="1"/>
  <c r="BD17" i="44"/>
  <c r="BE14" i="44" s="1"/>
  <c r="BE16" i="44" s="1"/>
  <c r="BE8" i="16" s="1"/>
  <c r="BK9" i="29" l="1"/>
  <c r="G29" i="103" s="1"/>
  <c r="G6" i="103"/>
  <c r="G10" i="103" s="1"/>
  <c r="BI26" i="1"/>
  <c r="BI28" i="1" s="1"/>
  <c r="BI43" i="1" s="1"/>
  <c r="BJ26" i="1"/>
  <c r="BJ28" i="1" s="1"/>
  <c r="BJ43" i="1" s="1"/>
  <c r="BJ13" i="1"/>
  <c r="BL9" i="16"/>
  <c r="BM29" i="16" s="1"/>
  <c r="BK8" i="1"/>
  <c r="H6" i="20" s="1"/>
  <c r="G7" i="23" s="1"/>
  <c r="BK25" i="1"/>
  <c r="H26" i="20" s="1"/>
  <c r="BL23" i="44"/>
  <c r="BM20" i="44" s="1"/>
  <c r="BM28" i="44"/>
  <c r="BM29" i="44" s="1"/>
  <c r="BN26" i="44" s="1"/>
  <c r="BK10" i="29"/>
  <c r="BL10" i="16"/>
  <c r="BL26" i="16" s="1"/>
  <c r="BE17" i="44"/>
  <c r="BF14" i="44" s="1"/>
  <c r="BF16" i="44" s="1"/>
  <c r="BF8" i="16" s="1"/>
  <c r="BK11" i="1" l="1"/>
  <c r="H9" i="20" s="1"/>
  <c r="BK10" i="1"/>
  <c r="BM22" i="44"/>
  <c r="BL10" i="60" s="1"/>
  <c r="BL25" i="1"/>
  <c r="BL8" i="1"/>
  <c r="BN28" i="44"/>
  <c r="BM10" i="16"/>
  <c r="BM26" i="16" s="1"/>
  <c r="BL10" i="29"/>
  <c r="BF17" i="44"/>
  <c r="BG14" i="44" s="1"/>
  <c r="BM23" i="44" l="1"/>
  <c r="BN20" i="44" s="1"/>
  <c r="BN22" i="44" s="1"/>
  <c r="BM10" i="60" s="1"/>
  <c r="BL9" i="29"/>
  <c r="BL10" i="1" s="1"/>
  <c r="BK26" i="1"/>
  <c r="H27" i="20" s="1"/>
  <c r="BK13" i="1"/>
  <c r="H8" i="20"/>
  <c r="H11" i="20" s="1"/>
  <c r="BL11" i="1"/>
  <c r="BM9" i="16"/>
  <c r="BN29" i="16" s="1"/>
  <c r="BN10" i="16"/>
  <c r="BN26" i="16" s="1"/>
  <c r="BM10" i="29"/>
  <c r="BN29" i="44"/>
  <c r="BO26" i="44" s="1"/>
  <c r="BG16" i="44"/>
  <c r="BG8" i="16" s="1"/>
  <c r="BN23" i="44" l="1"/>
  <c r="BO20" i="44" s="1"/>
  <c r="BM9" i="29"/>
  <c r="BM10" i="1" s="1"/>
  <c r="BL13" i="1"/>
  <c r="BL26" i="1"/>
  <c r="BL28" i="1" s="1"/>
  <c r="BL43" i="1" s="1"/>
  <c r="BO22" i="44"/>
  <c r="BN10" i="60" s="1"/>
  <c r="BM11" i="1"/>
  <c r="BN9" i="16"/>
  <c r="BO29" i="16" s="1"/>
  <c r="BM8" i="1"/>
  <c r="BM25" i="1"/>
  <c r="BO28" i="44"/>
  <c r="BO29" i="44" s="1"/>
  <c r="BP26" i="44" s="1"/>
  <c r="BP28" i="44" s="1"/>
  <c r="BG17" i="44"/>
  <c r="BH14" i="44" s="1"/>
  <c r="BO23" i="44" l="1"/>
  <c r="BP20" i="44" s="1"/>
  <c r="BP22" i="44" s="1"/>
  <c r="BO10" i="60" s="1"/>
  <c r="BN9" i="29"/>
  <c r="BM26" i="1"/>
  <c r="BM28" i="1" s="1"/>
  <c r="BM43" i="1" s="1"/>
  <c r="BM13" i="1"/>
  <c r="BN8" i="1"/>
  <c r="BN25" i="1"/>
  <c r="BO9" i="16"/>
  <c r="BP29" i="16" s="1"/>
  <c r="BN11" i="1"/>
  <c r="BP29" i="44"/>
  <c r="BQ26" i="44" s="1"/>
  <c r="BP10" i="16"/>
  <c r="BP26" i="16" s="1"/>
  <c r="BO10" i="29"/>
  <c r="BN10" i="29"/>
  <c r="BO10" i="16"/>
  <c r="BO26" i="16" s="1"/>
  <c r="BH16" i="44"/>
  <c r="BH8" i="16" s="1"/>
  <c r="BP23" i="44" l="1"/>
  <c r="BQ20" i="44" s="1"/>
  <c r="BQ22" i="44" s="1"/>
  <c r="BP10" i="60" s="1"/>
  <c r="BO9" i="29"/>
  <c r="BO10" i="1" s="1"/>
  <c r="BN10" i="1"/>
  <c r="BN13" i="1" s="1"/>
  <c r="BO8" i="1"/>
  <c r="BO25" i="1"/>
  <c r="BO11" i="1"/>
  <c r="BP9" i="16"/>
  <c r="BQ29" i="16" s="1"/>
  <c r="BQ28" i="44"/>
  <c r="BQ29" i="44" s="1"/>
  <c r="BR26" i="44" s="1"/>
  <c r="BH17" i="44"/>
  <c r="BI14" i="44" s="1"/>
  <c r="BI16" i="44" s="1"/>
  <c r="BP9" i="29" l="1"/>
  <c r="BP11" i="1"/>
  <c r="BN26" i="1"/>
  <c r="BN28" i="1" s="1"/>
  <c r="BN43" i="1" s="1"/>
  <c r="BO26" i="1"/>
  <c r="BO28" i="1" s="1"/>
  <c r="BO43" i="1" s="1"/>
  <c r="BO13" i="1"/>
  <c r="BQ9" i="16"/>
  <c r="BR29" i="16" s="1"/>
  <c r="BP8" i="1"/>
  <c r="BP25" i="1"/>
  <c r="BQ23" i="44"/>
  <c r="BR20" i="44" s="1"/>
  <c r="BR28" i="44"/>
  <c r="BR29" i="44" s="1"/>
  <c r="BS26" i="44" s="1"/>
  <c r="BP10" i="29"/>
  <c r="BQ10" i="16"/>
  <c r="BQ26" i="16" s="1"/>
  <c r="BI8" i="16"/>
  <c r="BI17" i="44"/>
  <c r="BJ14" i="44" s="1"/>
  <c r="BJ16" i="44" s="1"/>
  <c r="BJ8" i="16" s="1"/>
  <c r="BP10" i="1" l="1"/>
  <c r="BP26" i="1" s="1"/>
  <c r="BP28" i="1" s="1"/>
  <c r="BP43" i="1" s="1"/>
  <c r="BQ8" i="1"/>
  <c r="BQ25" i="1"/>
  <c r="BR22" i="44"/>
  <c r="BQ10" i="60" s="1"/>
  <c r="BS28" i="44"/>
  <c r="BS29" i="44" s="1"/>
  <c r="BT26" i="44" s="1"/>
  <c r="BQ10" i="29"/>
  <c r="BR10" i="16"/>
  <c r="BR26" i="16" s="1"/>
  <c r="BJ17" i="44"/>
  <c r="BK14" i="44" s="1"/>
  <c r="BK16" i="44" s="1"/>
  <c r="BK8" i="16" s="1"/>
  <c r="BP13" i="1" l="1"/>
  <c r="BR23" i="44"/>
  <c r="BS20" i="44" s="1"/>
  <c r="BS22" i="44" s="1"/>
  <c r="BR10" i="60" s="1"/>
  <c r="BQ9" i="29"/>
  <c r="BQ10" i="1" s="1"/>
  <c r="BQ11" i="1"/>
  <c r="BR9" i="16"/>
  <c r="BS29" i="16" s="1"/>
  <c r="BT28" i="44"/>
  <c r="BT29" i="44" s="1"/>
  <c r="BU26" i="44" s="1"/>
  <c r="BS10" i="16"/>
  <c r="BS26" i="16" s="1"/>
  <c r="BR10" i="29"/>
  <c r="BK17" i="44"/>
  <c r="BL14" i="44" s="1"/>
  <c r="BL16" i="44" s="1"/>
  <c r="BL8" i="16" s="1"/>
  <c r="BS23" i="44" l="1"/>
  <c r="BT20" i="44" s="1"/>
  <c r="BT22" i="44" s="1"/>
  <c r="BS10" i="60" s="1"/>
  <c r="BR9" i="29"/>
  <c r="BR10" i="1" s="1"/>
  <c r="BQ13" i="1"/>
  <c r="BQ26" i="1"/>
  <c r="BR25" i="1"/>
  <c r="BR8" i="1"/>
  <c r="BR11" i="1"/>
  <c r="BS9" i="16"/>
  <c r="BT29" i="16" s="1"/>
  <c r="BU28" i="44"/>
  <c r="BU29" i="44" s="1"/>
  <c r="BV26" i="44" s="1"/>
  <c r="BT10" i="16"/>
  <c r="BT26" i="16" s="1"/>
  <c r="BS10" i="29"/>
  <c r="BL17" i="44"/>
  <c r="BM14" i="44" s="1"/>
  <c r="BM16" i="44" s="1"/>
  <c r="BM8" i="16" s="1"/>
  <c r="BT23" i="44" l="1"/>
  <c r="BU20" i="44" s="1"/>
  <c r="BU22" i="44" s="1"/>
  <c r="BT10" i="60" s="1"/>
  <c r="BS9" i="29"/>
  <c r="BS10" i="1" s="1"/>
  <c r="BR13" i="1"/>
  <c r="BR26" i="1"/>
  <c r="BR28" i="1" s="1"/>
  <c r="BR43" i="1" s="1"/>
  <c r="BS25" i="1"/>
  <c r="BS8" i="1"/>
  <c r="BS11" i="1"/>
  <c r="BT9" i="16"/>
  <c r="BU29" i="16" s="1"/>
  <c r="BV28" i="44"/>
  <c r="BV29" i="44" s="1"/>
  <c r="BW26" i="44" s="1"/>
  <c r="BW28" i="44" s="1"/>
  <c r="BT10" i="29"/>
  <c r="BU10" i="16"/>
  <c r="BU26" i="16" s="1"/>
  <c r="BM17" i="44"/>
  <c r="BN14" i="44" s="1"/>
  <c r="BN16" i="44" s="1"/>
  <c r="BN8" i="16" s="1"/>
  <c r="BU23" i="44" l="1"/>
  <c r="BV20" i="44" s="1"/>
  <c r="BV22" i="44" s="1"/>
  <c r="BU10" i="60" s="1"/>
  <c r="BT9" i="29"/>
  <c r="BT10" i="1" s="1"/>
  <c r="BS26" i="1"/>
  <c r="BS28" i="1" s="1"/>
  <c r="BS43" i="1" s="1"/>
  <c r="BS13" i="1"/>
  <c r="BT25" i="1"/>
  <c r="BT8" i="1"/>
  <c r="BT11" i="1"/>
  <c r="BU9" i="16"/>
  <c r="BV29" i="16" s="1"/>
  <c r="BW29" i="44"/>
  <c r="BX26" i="44" s="1"/>
  <c r="BV10" i="29"/>
  <c r="BW10" i="16"/>
  <c r="BW26" i="16" s="1"/>
  <c r="BU10" i="29"/>
  <c r="BV10" i="16"/>
  <c r="BV26" i="16" s="1"/>
  <c r="BN17" i="44"/>
  <c r="BO14" i="44" s="1"/>
  <c r="BV23" i="44" l="1"/>
  <c r="BW20" i="44" s="1"/>
  <c r="BU9" i="29"/>
  <c r="BU10" i="1" s="1"/>
  <c r="BT26" i="1"/>
  <c r="BT28" i="1" s="1"/>
  <c r="BT43" i="1" s="1"/>
  <c r="BT13" i="1"/>
  <c r="BW22" i="44"/>
  <c r="BV10" i="60" s="1"/>
  <c r="BU25" i="1"/>
  <c r="BU8" i="1"/>
  <c r="BU11" i="1"/>
  <c r="BV9" i="16"/>
  <c r="BW29" i="16" s="1"/>
  <c r="BX28" i="44"/>
  <c r="BX29" i="44" s="1"/>
  <c r="BY26" i="44" s="1"/>
  <c r="BO16" i="44"/>
  <c r="BO8" i="16" s="1"/>
  <c r="BW23" i="44" l="1"/>
  <c r="BX20" i="44" s="1"/>
  <c r="BX22" i="44" s="1"/>
  <c r="BW10" i="60" s="1"/>
  <c r="BV9" i="29"/>
  <c r="BV10" i="1" s="1"/>
  <c r="BU26" i="1"/>
  <c r="BU28" i="1" s="1"/>
  <c r="BU43" i="1" s="1"/>
  <c r="BU13" i="1"/>
  <c r="BV25" i="1"/>
  <c r="BV8" i="1"/>
  <c r="BV11" i="1"/>
  <c r="BW9" i="16"/>
  <c r="BX29" i="16" s="1"/>
  <c r="BY28" i="44"/>
  <c r="BY29" i="44" s="1"/>
  <c r="BZ26" i="44" s="1"/>
  <c r="BZ28" i="44" s="1"/>
  <c r="BX10" i="16"/>
  <c r="BX26" i="16" s="1"/>
  <c r="BW10" i="29"/>
  <c r="BO17" i="44"/>
  <c r="BP14" i="44" s="1"/>
  <c r="BW9" i="29" l="1"/>
  <c r="BW10" i="1" s="1"/>
  <c r="I8" i="20" s="1"/>
  <c r="BW11" i="1"/>
  <c r="I9" i="20" s="1"/>
  <c r="BW8" i="1"/>
  <c r="I6" i="20" s="1"/>
  <c r="H7" i="23" s="1"/>
  <c r="BW25" i="1"/>
  <c r="I26" i="20" s="1"/>
  <c r="BX9" i="16"/>
  <c r="BY29" i="16" s="1"/>
  <c r="BV26" i="1"/>
  <c r="BV28" i="1" s="1"/>
  <c r="BV43" i="1" s="1"/>
  <c r="BV13" i="1"/>
  <c r="BX23" i="44"/>
  <c r="BY20" i="44" s="1"/>
  <c r="BZ29" i="44"/>
  <c r="CA26" i="44" s="1"/>
  <c r="BZ10" i="16"/>
  <c r="BZ26" i="16" s="1"/>
  <c r="BY10" i="29"/>
  <c r="BY10" i="16"/>
  <c r="BY26" i="16" s="1"/>
  <c r="BX10" i="29"/>
  <c r="BP16" i="44"/>
  <c r="BP8" i="16" s="1"/>
  <c r="BX8" i="1" l="1"/>
  <c r="BX25" i="1"/>
  <c r="I11" i="20"/>
  <c r="BW13" i="1"/>
  <c r="BW26" i="1"/>
  <c r="I27" i="20" s="1"/>
  <c r="BY22" i="44"/>
  <c r="BX10" i="60" s="1"/>
  <c r="CA28" i="44"/>
  <c r="BP17" i="44"/>
  <c r="BQ14" i="44" s="1"/>
  <c r="BX9" i="29" l="1"/>
  <c r="BX10" i="1" s="1"/>
  <c r="BX11" i="1"/>
  <c r="BY9" i="16"/>
  <c r="BZ29" i="16" s="1"/>
  <c r="BY23" i="44"/>
  <c r="BZ20" i="44" s="1"/>
  <c r="CA10" i="16"/>
  <c r="CA26" i="16" s="1"/>
  <c r="BZ10" i="29"/>
  <c r="CA29" i="44"/>
  <c r="CB26" i="44" s="1"/>
  <c r="BQ16" i="44"/>
  <c r="BQ8" i="16" s="1"/>
  <c r="BZ22" i="44" l="1"/>
  <c r="BY10" i="60" s="1"/>
  <c r="BY25" i="1"/>
  <c r="BY8" i="1"/>
  <c r="BX26" i="1"/>
  <c r="BX28" i="1" s="1"/>
  <c r="BX43" i="1" s="1"/>
  <c r="BX13" i="1"/>
  <c r="CB28" i="44"/>
  <c r="CB29" i="44" s="1"/>
  <c r="CC26" i="44" s="1"/>
  <c r="BQ17" i="44"/>
  <c r="BR14" i="44" s="1"/>
  <c r="BY9" i="29" l="1"/>
  <c r="BY10" i="1" s="1"/>
  <c r="BY11" i="1"/>
  <c r="BZ9" i="16"/>
  <c r="CA29" i="16" s="1"/>
  <c r="BZ23" i="44"/>
  <c r="CA20" i="44" s="1"/>
  <c r="CC28" i="44"/>
  <c r="CC29" i="44" s="1"/>
  <c r="CD26" i="44" s="1"/>
  <c r="CB10" i="16"/>
  <c r="CB26" i="16" s="1"/>
  <c r="CA10" i="29"/>
  <c r="BR16" i="44"/>
  <c r="BR8" i="16" s="1"/>
  <c r="BY26" i="1" l="1"/>
  <c r="BY28" i="1" s="1"/>
  <c r="BY43" i="1" s="1"/>
  <c r="CA22" i="44"/>
  <c r="BZ10" i="60" s="1"/>
  <c r="BY13" i="1"/>
  <c r="BZ25" i="1"/>
  <c r="BZ8" i="1"/>
  <c r="CD28" i="44"/>
  <c r="CD29" i="44" s="1"/>
  <c r="CE26" i="44" s="1"/>
  <c r="CE28" i="44" s="1"/>
  <c r="CB10" i="29"/>
  <c r="CC10" i="16"/>
  <c r="CC26" i="16" s="1"/>
  <c r="BR17" i="44"/>
  <c r="BS14" i="44" s="1"/>
  <c r="CA23" i="44" l="1"/>
  <c r="CB20" i="44" s="1"/>
  <c r="CB22" i="44" s="1"/>
  <c r="CA10" i="60" s="1"/>
  <c r="BZ9" i="29"/>
  <c r="BZ10" i="1" s="1"/>
  <c r="BZ11" i="1"/>
  <c r="CA9" i="16"/>
  <c r="CB29" i="16" s="1"/>
  <c r="CE29" i="44"/>
  <c r="CF26" i="44" s="1"/>
  <c r="CD10" i="29"/>
  <c r="CE10" i="16"/>
  <c r="CE26" i="16" s="1"/>
  <c r="CC10" i="29"/>
  <c r="CD10" i="16"/>
  <c r="CD26" i="16" s="1"/>
  <c r="BS16" i="44"/>
  <c r="BS8" i="16" s="1"/>
  <c r="CA9" i="29" l="1"/>
  <c r="CA10" i="1" s="1"/>
  <c r="CA11" i="1"/>
  <c r="BZ13" i="1"/>
  <c r="CB9" i="16"/>
  <c r="CC29" i="16" s="1"/>
  <c r="BZ26" i="1"/>
  <c r="BZ28" i="1" s="1"/>
  <c r="BZ43" i="1" s="1"/>
  <c r="CA25" i="1"/>
  <c r="CA8" i="1"/>
  <c r="CB23" i="44"/>
  <c r="CC20" i="44" s="1"/>
  <c r="CF28" i="44"/>
  <c r="CF29" i="44" s="1"/>
  <c r="CG26" i="44" s="1"/>
  <c r="BS17" i="44"/>
  <c r="BT14" i="44" s="1"/>
  <c r="CA13" i="1" l="1"/>
  <c r="CC22" i="44"/>
  <c r="CB10" i="60" s="1"/>
  <c r="CA26" i="1"/>
  <c r="CA28" i="1" s="1"/>
  <c r="CA43" i="1" s="1"/>
  <c r="CB25" i="1"/>
  <c r="CB8" i="1"/>
  <c r="CG28" i="44"/>
  <c r="CG29" i="44" s="1"/>
  <c r="CH26" i="44" s="1"/>
  <c r="CE10" i="29"/>
  <c r="CF10" i="16"/>
  <c r="CF26" i="16" s="1"/>
  <c r="BT16" i="44"/>
  <c r="BT8" i="16" s="1"/>
  <c r="CB9" i="29" l="1"/>
  <c r="CB10" i="1" s="1"/>
  <c r="CB11" i="1"/>
  <c r="CC9" i="16"/>
  <c r="CD29" i="16" s="1"/>
  <c r="CC23" i="44"/>
  <c r="CD20" i="44" s="1"/>
  <c r="CH28" i="44"/>
  <c r="CG10" i="16"/>
  <c r="CG26" i="16" s="1"/>
  <c r="CF10" i="29"/>
  <c r="BT17" i="44"/>
  <c r="BU14" i="44" s="1"/>
  <c r="CB26" i="1" l="1"/>
  <c r="CB28" i="1" s="1"/>
  <c r="CB43" i="1" s="1"/>
  <c r="CB13" i="1"/>
  <c r="CC8" i="1"/>
  <c r="CC25" i="1"/>
  <c r="CD22" i="44"/>
  <c r="CC10" i="60" s="1"/>
  <c r="CG10" i="29"/>
  <c r="CH10" i="16"/>
  <c r="CH26" i="16" s="1"/>
  <c r="CH29" i="44"/>
  <c r="CI26" i="44" s="1"/>
  <c r="BU16" i="44"/>
  <c r="BU8" i="16" s="1"/>
  <c r="CC9" i="29" l="1"/>
  <c r="CC10" i="1" s="1"/>
  <c r="CC11" i="1"/>
  <c r="CD9" i="16"/>
  <c r="CE29" i="16" s="1"/>
  <c r="CD23" i="44"/>
  <c r="CE20" i="44" s="1"/>
  <c r="CI28" i="44"/>
  <c r="CI29" i="44" s="1"/>
  <c r="CJ26" i="44" s="1"/>
  <c r="BU17" i="44"/>
  <c r="BV14" i="44" s="1"/>
  <c r="CC26" i="1" l="1"/>
  <c r="CC13" i="1"/>
  <c r="CD25" i="1"/>
  <c r="CD8" i="1"/>
  <c r="CE22" i="44"/>
  <c r="CD10" i="60" s="1"/>
  <c r="CJ28" i="44"/>
  <c r="CJ29" i="44" s="1"/>
  <c r="CK26" i="44" s="1"/>
  <c r="CH10" i="29"/>
  <c r="CI10" i="16"/>
  <c r="CI26" i="16" s="1"/>
  <c r="BV16" i="44"/>
  <c r="BV8" i="16" s="1"/>
  <c r="CD9" i="29" l="1"/>
  <c r="CD10" i="1" s="1"/>
  <c r="CD11" i="1"/>
  <c r="CE9" i="16"/>
  <c r="CF29" i="16" s="1"/>
  <c r="CE23" i="44"/>
  <c r="CF20" i="44" s="1"/>
  <c r="CK28" i="44"/>
  <c r="CK29" i="44" s="1"/>
  <c r="CL26" i="44" s="1"/>
  <c r="CI10" i="29"/>
  <c r="CJ10" i="16"/>
  <c r="CJ26" i="16" s="1"/>
  <c r="BV17" i="44"/>
  <c r="BW14" i="44" s="1"/>
  <c r="CD26" i="1" l="1"/>
  <c r="CD28" i="1" s="1"/>
  <c r="CD43" i="1" s="1"/>
  <c r="CD13" i="1"/>
  <c r="CF22" i="44"/>
  <c r="CE10" i="60" s="1"/>
  <c r="CE8" i="1"/>
  <c r="CE25" i="1"/>
  <c r="CL28" i="44"/>
  <c r="CL29" i="44" s="1"/>
  <c r="CM26" i="44" s="1"/>
  <c r="CK10" i="16"/>
  <c r="CK26" i="16" s="1"/>
  <c r="CJ10" i="29"/>
  <c r="BW16" i="44"/>
  <c r="BW8" i="16" s="1"/>
  <c r="CF23" i="44" l="1"/>
  <c r="CG20" i="44" s="1"/>
  <c r="CG22" i="44" s="1"/>
  <c r="CF10" i="60" s="1"/>
  <c r="CE9" i="29"/>
  <c r="CE10" i="1" s="1"/>
  <c r="CE11" i="1"/>
  <c r="CF9" i="16"/>
  <c r="CG29" i="16" s="1"/>
  <c r="CM28" i="44"/>
  <c r="CM29" i="44" s="1"/>
  <c r="CN26" i="44" s="1"/>
  <c r="CL10" i="16"/>
  <c r="CL26" i="16" s="1"/>
  <c r="CK10" i="29"/>
  <c r="BW17" i="44"/>
  <c r="BX14" i="44" s="1"/>
  <c r="CG23" i="44" l="1"/>
  <c r="CH20" i="44" s="1"/>
  <c r="CH22" i="44" s="1"/>
  <c r="CG10" i="60" s="1"/>
  <c r="CF9" i="29"/>
  <c r="CF10" i="1" s="1"/>
  <c r="CE13" i="1"/>
  <c r="CE26" i="1"/>
  <c r="CE28" i="1" s="1"/>
  <c r="CE43" i="1" s="1"/>
  <c r="CF8" i="1"/>
  <c r="CF25" i="1"/>
  <c r="CF11" i="1"/>
  <c r="CG9" i="16"/>
  <c r="CH29" i="16" s="1"/>
  <c r="CN28" i="44"/>
  <c r="CN29" i="44" s="1"/>
  <c r="CO26" i="44" s="1"/>
  <c r="CM10" i="16"/>
  <c r="CM26" i="16" s="1"/>
  <c r="CL10" i="29"/>
  <c r="BX16" i="44"/>
  <c r="BX8" i="16" s="1"/>
  <c r="CH23" i="44" l="1"/>
  <c r="CI20" i="44" s="1"/>
  <c r="CI22" i="44" s="1"/>
  <c r="CH10" i="60" s="1"/>
  <c r="CG9" i="29"/>
  <c r="CG10" i="1" s="1"/>
  <c r="CF26" i="1"/>
  <c r="CF28" i="1" s="1"/>
  <c r="CF43" i="1" s="1"/>
  <c r="CG11" i="1"/>
  <c r="CH9" i="16"/>
  <c r="CI29" i="16" s="1"/>
  <c r="CG8" i="1"/>
  <c r="CG25" i="1"/>
  <c r="CF13" i="1"/>
  <c r="CO28" i="44"/>
  <c r="CO29" i="44" s="1"/>
  <c r="CP26" i="44" s="1"/>
  <c r="CM10" i="29"/>
  <c r="CN10" i="16"/>
  <c r="CN26" i="16" s="1"/>
  <c r="BX17" i="44"/>
  <c r="BY14" i="44" s="1"/>
  <c r="CI23" i="44" l="1"/>
  <c r="CJ20" i="44" s="1"/>
  <c r="CJ22" i="44" s="1"/>
  <c r="CI10" i="60" s="1"/>
  <c r="CH9" i="29"/>
  <c r="CH10" i="1" s="1"/>
  <c r="CG13" i="1"/>
  <c r="CG26" i="1"/>
  <c r="CG28" i="1" s="1"/>
  <c r="CG43" i="1" s="1"/>
  <c r="CH25" i="1"/>
  <c r="CH8" i="1"/>
  <c r="CH11" i="1"/>
  <c r="CI9" i="16"/>
  <c r="CJ29" i="16" s="1"/>
  <c r="CP28" i="44"/>
  <c r="CP29" i="44" s="1"/>
  <c r="CQ26" i="44" s="1"/>
  <c r="CQ28" i="44" s="1"/>
  <c r="CO10" i="16"/>
  <c r="CO26" i="16" s="1"/>
  <c r="CN10" i="29"/>
  <c r="BY16" i="44"/>
  <c r="BY8" i="16" s="1"/>
  <c r="CJ23" i="44" l="1"/>
  <c r="CK20" i="44" s="1"/>
  <c r="CK22" i="44" s="1"/>
  <c r="CJ10" i="60" s="1"/>
  <c r="CI9" i="29"/>
  <c r="CI10" i="1" s="1"/>
  <c r="CH13" i="1"/>
  <c r="CI11" i="1"/>
  <c r="J9" i="20" s="1"/>
  <c r="CJ9" i="16"/>
  <c r="CK29" i="16" s="1"/>
  <c r="CH26" i="1"/>
  <c r="CH28" i="1" s="1"/>
  <c r="CH43" i="1" s="1"/>
  <c r="CI25" i="1"/>
  <c r="J26" i="20" s="1"/>
  <c r="CI8" i="1"/>
  <c r="CQ29" i="44"/>
  <c r="CR26" i="44" s="1"/>
  <c r="CP10" i="29"/>
  <c r="CQ10" i="16"/>
  <c r="CQ26" i="16" s="1"/>
  <c r="CO10" i="29"/>
  <c r="CP10" i="16"/>
  <c r="CP26" i="16" s="1"/>
  <c r="BY17" i="44"/>
  <c r="BZ14" i="44" s="1"/>
  <c r="CK23" i="44" l="1"/>
  <c r="CL20" i="44" s="1"/>
  <c r="CJ9" i="29"/>
  <c r="CJ10" i="1" s="1"/>
  <c r="CJ25" i="1"/>
  <c r="CJ8" i="1"/>
  <c r="J8" i="20"/>
  <c r="CI26" i="1"/>
  <c r="J27" i="20" s="1"/>
  <c r="J6" i="20"/>
  <c r="I7" i="23" s="1"/>
  <c r="CI13" i="1"/>
  <c r="CL22" i="44"/>
  <c r="CK10" i="60" s="1"/>
  <c r="CJ11" i="1"/>
  <c r="CK9" i="16"/>
  <c r="CL29" i="16" s="1"/>
  <c r="CR28" i="44"/>
  <c r="CR29" i="44" s="1"/>
  <c r="CS26" i="44" s="1"/>
  <c r="BZ16" i="44"/>
  <c r="BZ8" i="16" s="1"/>
  <c r="CK9" i="29" l="1"/>
  <c r="CK10" i="1" s="1"/>
  <c r="CK11" i="1"/>
  <c r="CJ26" i="1"/>
  <c r="CJ28" i="1" s="1"/>
  <c r="CJ43" i="1" s="1"/>
  <c r="CL9" i="16"/>
  <c r="CM29" i="16" s="1"/>
  <c r="J11" i="20"/>
  <c r="CJ13" i="1"/>
  <c r="CK25" i="1"/>
  <c r="CK8" i="1"/>
  <c r="CL23" i="44"/>
  <c r="CM20" i="44" s="1"/>
  <c r="CS28" i="44"/>
  <c r="CS29" i="44" s="1"/>
  <c r="CT26" i="44" s="1"/>
  <c r="CR10" i="16"/>
  <c r="CR26" i="16" s="1"/>
  <c r="CQ10" i="29"/>
  <c r="BZ17" i="44"/>
  <c r="CA14" i="44" s="1"/>
  <c r="CK13" i="1" l="1"/>
  <c r="CL8" i="1"/>
  <c r="CL25" i="1"/>
  <c r="CK26" i="1"/>
  <c r="CK28" i="1" s="1"/>
  <c r="CK43" i="1" s="1"/>
  <c r="CM22" i="44"/>
  <c r="CL10" i="60" s="1"/>
  <c r="CT28" i="44"/>
  <c r="CT29" i="44" s="1"/>
  <c r="CU26" i="44" s="1"/>
  <c r="CR10" i="29"/>
  <c r="CS10" i="16"/>
  <c r="CS26" i="16" s="1"/>
  <c r="CA16" i="44"/>
  <c r="CA8" i="16" s="1"/>
  <c r="CM23" i="44" l="1"/>
  <c r="CN20" i="44" s="1"/>
  <c r="CN22" i="44" s="1"/>
  <c r="CM10" i="60" s="1"/>
  <c r="CL9" i="29"/>
  <c r="CL10" i="1" s="1"/>
  <c r="CL11" i="1"/>
  <c r="CM9" i="16"/>
  <c r="CN29" i="16" s="1"/>
  <c r="CU28" i="44"/>
  <c r="CU29" i="44" s="1"/>
  <c r="CV26" i="44" s="1"/>
  <c r="CT10" i="16"/>
  <c r="CT26" i="16" s="1"/>
  <c r="CS10" i="29"/>
  <c r="CA17" i="44"/>
  <c r="CB14" i="44" s="1"/>
  <c r="CN23" i="44" l="1"/>
  <c r="CO20" i="44" s="1"/>
  <c r="CO22" i="44" s="1"/>
  <c r="CN10" i="60" s="1"/>
  <c r="CM9" i="29"/>
  <c r="CM10" i="1" s="1"/>
  <c r="CL13" i="1"/>
  <c r="CM25" i="1"/>
  <c r="CM8" i="1"/>
  <c r="CL26" i="1"/>
  <c r="CL28" i="1" s="1"/>
  <c r="CL43" i="1" s="1"/>
  <c r="CM11" i="1"/>
  <c r="CN9" i="16"/>
  <c r="CO29" i="16" s="1"/>
  <c r="CV28" i="44"/>
  <c r="CT10" i="29"/>
  <c r="CU10" i="16"/>
  <c r="CU26" i="16" s="1"/>
  <c r="CB16" i="44"/>
  <c r="CB8" i="16" s="1"/>
  <c r="CO23" i="44" l="1"/>
  <c r="CP20" i="44" s="1"/>
  <c r="CP22" i="44" s="1"/>
  <c r="CO10" i="60" s="1"/>
  <c r="CN9" i="29"/>
  <c r="CN10" i="1" s="1"/>
  <c r="CM13" i="1"/>
  <c r="CN25" i="1"/>
  <c r="CN8" i="1"/>
  <c r="CM26" i="1"/>
  <c r="CM28" i="1" s="1"/>
  <c r="CM43" i="1" s="1"/>
  <c r="CN11" i="1"/>
  <c r="CO9" i="16"/>
  <c r="CP29" i="16" s="1"/>
  <c r="CV10" i="16"/>
  <c r="CV26" i="16" s="1"/>
  <c r="CU10" i="29"/>
  <c r="CV29" i="44"/>
  <c r="CW26" i="44" s="1"/>
  <c r="CB17" i="44"/>
  <c r="CC14" i="44" s="1"/>
  <c r="CP23" i="44" l="1"/>
  <c r="CQ20" i="44" s="1"/>
  <c r="CQ22" i="44" s="1"/>
  <c r="CP10" i="60" s="1"/>
  <c r="CO9" i="29"/>
  <c r="CO10" i="1" s="1"/>
  <c r="CN26" i="1"/>
  <c r="CN28" i="1" s="1"/>
  <c r="CN43" i="1" s="1"/>
  <c r="CN13" i="1"/>
  <c r="CO8" i="1"/>
  <c r="CO25" i="1"/>
  <c r="CO11" i="1"/>
  <c r="CP9" i="16"/>
  <c r="CQ29" i="16" s="1"/>
  <c r="CW28" i="44"/>
  <c r="CW29" i="44" s="1"/>
  <c r="CX26" i="44" s="1"/>
  <c r="CC16" i="44"/>
  <c r="CC8" i="16" s="1"/>
  <c r="CQ23" i="44" l="1"/>
  <c r="CR20" i="44" s="1"/>
  <c r="CR22" i="44" s="1"/>
  <c r="CQ10" i="60" s="1"/>
  <c r="CP9" i="29"/>
  <c r="CP10" i="1" s="1"/>
  <c r="CO26" i="1"/>
  <c r="CP25" i="1"/>
  <c r="CP8" i="1"/>
  <c r="CO13" i="1"/>
  <c r="CP11" i="1"/>
  <c r="CQ9" i="16"/>
  <c r="CR29" i="16" s="1"/>
  <c r="CX28" i="44"/>
  <c r="CX29" i="44" s="1"/>
  <c r="CY26" i="44" s="1"/>
  <c r="CW10" i="16"/>
  <c r="CW26" i="16" s="1"/>
  <c r="CV10" i="29"/>
  <c r="CC17" i="44"/>
  <c r="CD14" i="44" s="1"/>
  <c r="CD16" i="44" s="1"/>
  <c r="CD8" i="16" s="1"/>
  <c r="CR23" i="44" l="1"/>
  <c r="CS20" i="44" s="1"/>
  <c r="CS22" i="44" s="1"/>
  <c r="CR10" i="60" s="1"/>
  <c r="CQ9" i="29"/>
  <c r="CQ10" i="1" s="1"/>
  <c r="CP26" i="1"/>
  <c r="CP28" i="1" s="1"/>
  <c r="CP43" i="1" s="1"/>
  <c r="CQ8" i="1"/>
  <c r="CQ25" i="1"/>
  <c r="CP13" i="1"/>
  <c r="CQ11" i="1"/>
  <c r="CR9" i="16"/>
  <c r="CS29" i="16" s="1"/>
  <c r="CY28" i="44"/>
  <c r="CY29" i="44" s="1"/>
  <c r="CZ26" i="44" s="1"/>
  <c r="CX10" i="16"/>
  <c r="CX26" i="16" s="1"/>
  <c r="CW10" i="29"/>
  <c r="CD17" i="44"/>
  <c r="CE14" i="44" s="1"/>
  <c r="CE16" i="44" s="1"/>
  <c r="CE8" i="16" s="1"/>
  <c r="CS23" i="44" l="1"/>
  <c r="CT20" i="44" s="1"/>
  <c r="CT22" i="44" s="1"/>
  <c r="CS10" i="60" s="1"/>
  <c r="CR9" i="29"/>
  <c r="CR10" i="1" s="1"/>
  <c r="CQ26" i="1"/>
  <c r="CQ28" i="1" s="1"/>
  <c r="CQ43" i="1" s="1"/>
  <c r="CR11" i="1"/>
  <c r="CS9" i="16"/>
  <c r="CT29" i="16" s="1"/>
  <c r="CR25" i="1"/>
  <c r="CR8" i="1"/>
  <c r="CQ13" i="1"/>
  <c r="CZ28" i="44"/>
  <c r="CZ29" i="44" s="1"/>
  <c r="DA26" i="44" s="1"/>
  <c r="CY10" i="16"/>
  <c r="CY26" i="16" s="1"/>
  <c r="CX10" i="29"/>
  <c r="CE17" i="44"/>
  <c r="CF14" i="44" s="1"/>
  <c r="CS9" i="29" l="1"/>
  <c r="CS10" i="1" s="1"/>
  <c r="CS11" i="1"/>
  <c r="CR13" i="1"/>
  <c r="CT9" i="16"/>
  <c r="CU29" i="16" s="1"/>
  <c r="CS8" i="1"/>
  <c r="CS25" i="1"/>
  <c r="CT23" i="44"/>
  <c r="CU20" i="44" s="1"/>
  <c r="CR26" i="1"/>
  <c r="CR28" i="1" s="1"/>
  <c r="CR43" i="1" s="1"/>
  <c r="DA28" i="44"/>
  <c r="DA29" i="44" s="1"/>
  <c r="DB26" i="44" s="1"/>
  <c r="CY10" i="29"/>
  <c r="CZ10" i="16"/>
  <c r="CZ26" i="16" s="1"/>
  <c r="CF16" i="44"/>
  <c r="CF8" i="16" s="1"/>
  <c r="CS26" i="1" l="1"/>
  <c r="CS28" i="1" s="1"/>
  <c r="CS43" i="1" s="1"/>
  <c r="CU22" i="44"/>
  <c r="CT10" i="60" s="1"/>
  <c r="CT25" i="1"/>
  <c r="CT8" i="1"/>
  <c r="CS13" i="1"/>
  <c r="DB28" i="44"/>
  <c r="DB29" i="44" s="1"/>
  <c r="DC26" i="44" s="1"/>
  <c r="DA10" i="16"/>
  <c r="DA26" i="16" s="1"/>
  <c r="CZ10" i="29"/>
  <c r="CF17" i="44"/>
  <c r="CG14" i="44" s="1"/>
  <c r="CU23" i="44" l="1"/>
  <c r="CV20" i="44" s="1"/>
  <c r="CV22" i="44" s="1"/>
  <c r="CU10" i="60" s="1"/>
  <c r="CT9" i="29"/>
  <c r="CT10" i="1" s="1"/>
  <c r="CT11" i="1"/>
  <c r="CU9" i="16"/>
  <c r="CV29" i="16" s="1"/>
  <c r="DC28" i="44"/>
  <c r="DB10" i="16"/>
  <c r="DB26" i="16" s="1"/>
  <c r="DA10" i="29"/>
  <c r="CG16" i="44"/>
  <c r="CG8" i="16" s="1"/>
  <c r="CU9" i="29" l="1"/>
  <c r="CU10" i="1" s="1"/>
  <c r="CU11" i="1"/>
  <c r="K9" i="20" s="1"/>
  <c r="CT26" i="1"/>
  <c r="CT28" i="1" s="1"/>
  <c r="CT43" i="1" s="1"/>
  <c r="CV9" i="16"/>
  <c r="CW29" i="16" s="1"/>
  <c r="CU8" i="1"/>
  <c r="CU25" i="1"/>
  <c r="K26" i="20" s="1"/>
  <c r="CT13" i="1"/>
  <c r="CV23" i="44"/>
  <c r="CW20" i="44" s="1"/>
  <c r="DC10" i="16"/>
  <c r="DC26" i="16" s="1"/>
  <c r="DB10" i="29"/>
  <c r="DC29" i="44"/>
  <c r="DD26" i="44" s="1"/>
  <c r="CG17" i="44"/>
  <c r="CH14" i="44" s="1"/>
  <c r="K6" i="20" l="1"/>
  <c r="J7" i="23" s="1"/>
  <c r="CU13" i="1"/>
  <c r="CW22" i="44"/>
  <c r="CV10" i="60" s="1"/>
  <c r="CV25" i="1"/>
  <c r="CV8" i="1"/>
  <c r="K8" i="20"/>
  <c r="CU26" i="1"/>
  <c r="K27" i="20" s="1"/>
  <c r="DD28" i="44"/>
  <c r="DD29" i="44" s="1"/>
  <c r="DE26" i="44" s="1"/>
  <c r="CH16" i="44"/>
  <c r="CH8" i="16" s="1"/>
  <c r="CW23" i="44" l="1"/>
  <c r="CX20" i="44" s="1"/>
  <c r="CX22" i="44" s="1"/>
  <c r="CW10" i="60" s="1"/>
  <c r="CV9" i="29"/>
  <c r="CV10" i="1" s="1"/>
  <c r="K11" i="20"/>
  <c r="CV11" i="1"/>
  <c r="CW9" i="16"/>
  <c r="CX29" i="16" s="1"/>
  <c r="DE28" i="44"/>
  <c r="DE29" i="44" s="1"/>
  <c r="DF26" i="44" s="1"/>
  <c r="DD10" i="16"/>
  <c r="DD26" i="16" s="1"/>
  <c r="DC10" i="29"/>
  <c r="CH17" i="44"/>
  <c r="CI14" i="44" s="1"/>
  <c r="CX23" i="44" l="1"/>
  <c r="CY20" i="44" s="1"/>
  <c r="CY22" i="44" s="1"/>
  <c r="CX10" i="60" s="1"/>
  <c r="CW9" i="29"/>
  <c r="CW10" i="1" s="1"/>
  <c r="CV13" i="1"/>
  <c r="CW8" i="1"/>
  <c r="CW25" i="1"/>
  <c r="CV26" i="1"/>
  <c r="CV28" i="1" s="1"/>
  <c r="CV43" i="1" s="1"/>
  <c r="CW11" i="1"/>
  <c r="CX9" i="16"/>
  <c r="CY29" i="16" s="1"/>
  <c r="DF28" i="44"/>
  <c r="DE10" i="16"/>
  <c r="DE26" i="16" s="1"/>
  <c r="DD10" i="29"/>
  <c r="CI16" i="44"/>
  <c r="CI8" i="16" s="1"/>
  <c r="CY23" i="44" l="1"/>
  <c r="CZ20" i="44" s="1"/>
  <c r="CZ22" i="44" s="1"/>
  <c r="CY10" i="60" s="1"/>
  <c r="CX9" i="29"/>
  <c r="CX10" i="1" s="1"/>
  <c r="CW26" i="1"/>
  <c r="CW28" i="1" s="1"/>
  <c r="CW43" i="1" s="1"/>
  <c r="CX8" i="1"/>
  <c r="CX25" i="1"/>
  <c r="CX11" i="1"/>
  <c r="CY9" i="16"/>
  <c r="CZ29" i="16" s="1"/>
  <c r="CW13" i="1"/>
  <c r="DF10" i="16"/>
  <c r="DF26" i="16" s="1"/>
  <c r="DE10" i="29"/>
  <c r="DF29" i="44"/>
  <c r="DG26" i="44" s="1"/>
  <c r="CI17" i="44"/>
  <c r="CJ14" i="44" s="1"/>
  <c r="CZ23" i="44" l="1"/>
  <c r="DA20" i="44" s="1"/>
  <c r="DA22" i="44" s="1"/>
  <c r="CZ10" i="60" s="1"/>
  <c r="CY9" i="29"/>
  <c r="CY10" i="1" s="1"/>
  <c r="CX26" i="1"/>
  <c r="CX28" i="1" s="1"/>
  <c r="CX43" i="1" s="1"/>
  <c r="CX13" i="1"/>
  <c r="CY25" i="1"/>
  <c r="CY8" i="1"/>
  <c r="CY11" i="1"/>
  <c r="CZ9" i="16"/>
  <c r="DA29" i="16" s="1"/>
  <c r="DG28" i="44"/>
  <c r="DG29" i="44" s="1"/>
  <c r="DH26" i="44" s="1"/>
  <c r="CJ16" i="44"/>
  <c r="CJ8" i="16" s="1"/>
  <c r="DA23" i="44" l="1"/>
  <c r="DB20" i="44" s="1"/>
  <c r="DB22" i="44" s="1"/>
  <c r="DA10" i="60" s="1"/>
  <c r="CZ9" i="29"/>
  <c r="CZ10" i="1" s="1"/>
  <c r="CY26" i="1"/>
  <c r="CY28" i="1" s="1"/>
  <c r="CY43" i="1" s="1"/>
  <c r="CZ11" i="1"/>
  <c r="DA9" i="16"/>
  <c r="DB29" i="16" s="1"/>
  <c r="CZ8" i="1"/>
  <c r="CZ25" i="1"/>
  <c r="CY13" i="1"/>
  <c r="DH28" i="44"/>
  <c r="DH29" i="44" s="1"/>
  <c r="DI26" i="44" s="1"/>
  <c r="DF10" i="29"/>
  <c r="DG10" i="16"/>
  <c r="DG26" i="16" s="1"/>
  <c r="CJ17" i="44"/>
  <c r="CK14" i="44" s="1"/>
  <c r="DA9" i="29" l="1"/>
  <c r="DA10" i="1" s="1"/>
  <c r="DA11" i="1"/>
  <c r="CZ26" i="1"/>
  <c r="CZ28" i="1" s="1"/>
  <c r="CZ43" i="1" s="1"/>
  <c r="DB9" i="16"/>
  <c r="DC29" i="16" s="1"/>
  <c r="DA25" i="1"/>
  <c r="DA8" i="1"/>
  <c r="CZ13" i="1"/>
  <c r="DB23" i="44"/>
  <c r="DC20" i="44" s="1"/>
  <c r="DI28" i="44"/>
  <c r="DI29" i="44" s="1"/>
  <c r="DJ26" i="44" s="1"/>
  <c r="DG10" i="29"/>
  <c r="DH10" i="16"/>
  <c r="DH26" i="16" s="1"/>
  <c r="CK16" i="44"/>
  <c r="CK8" i="16" s="1"/>
  <c r="DA26" i="1" l="1"/>
  <c r="DC22" i="44"/>
  <c r="DB10" i="60" s="1"/>
  <c r="DB25" i="1"/>
  <c r="DB8" i="1"/>
  <c r="DA13" i="1"/>
  <c r="DJ28" i="44"/>
  <c r="DJ29" i="44" s="1"/>
  <c r="DK26" i="44" s="1"/>
  <c r="DH10" i="29"/>
  <c r="DI10" i="16"/>
  <c r="DI26" i="16" s="1"/>
  <c r="CK17" i="44"/>
  <c r="CL14" i="44" s="1"/>
  <c r="DB9" i="29" l="1"/>
  <c r="DB10" i="1" s="1"/>
  <c r="DB11" i="1"/>
  <c r="DC9" i="16"/>
  <c r="DD29" i="16" s="1"/>
  <c r="DC23" i="44"/>
  <c r="DD20" i="44" s="1"/>
  <c r="DK28" i="44"/>
  <c r="DK29" i="44" s="1"/>
  <c r="DL26" i="44" s="1"/>
  <c r="DL28" i="44" s="1"/>
  <c r="DI10" i="29"/>
  <c r="DJ10" i="16"/>
  <c r="DJ26" i="16" s="1"/>
  <c r="CL16" i="44"/>
  <c r="CL8" i="16" s="1"/>
  <c r="DB13" i="1" l="1"/>
  <c r="DC25" i="1"/>
  <c r="DC8" i="1"/>
  <c r="DD22" i="44"/>
  <c r="DC10" i="60" s="1"/>
  <c r="DB26" i="1"/>
  <c r="DB28" i="1" s="1"/>
  <c r="DB43" i="1" s="1"/>
  <c r="DL29" i="44"/>
  <c r="DM26" i="44" s="1"/>
  <c r="DL10" i="16"/>
  <c r="DL26" i="16" s="1"/>
  <c r="DK10" i="29"/>
  <c r="DK10" i="16"/>
  <c r="DK26" i="16" s="1"/>
  <c r="DJ10" i="29"/>
  <c r="CL17" i="44"/>
  <c r="CM14" i="44" s="1"/>
  <c r="DD23" i="44" l="1"/>
  <c r="DE20" i="44" s="1"/>
  <c r="DE22" i="44" s="1"/>
  <c r="DD10" i="60" s="1"/>
  <c r="DC9" i="29"/>
  <c r="DC10" i="1" s="1"/>
  <c r="DC11" i="1"/>
  <c r="DD9" i="16"/>
  <c r="DE29" i="16" s="1"/>
  <c r="DM28" i="44"/>
  <c r="DM29" i="44" s="1"/>
  <c r="DN26" i="44" s="1"/>
  <c r="CM16" i="44"/>
  <c r="CM8" i="16" s="1"/>
  <c r="DD9" i="29" l="1"/>
  <c r="DD10" i="1" s="1"/>
  <c r="DD11" i="1"/>
  <c r="DC13" i="1"/>
  <c r="DE9" i="16"/>
  <c r="DF29" i="16" s="1"/>
  <c r="DD25" i="1"/>
  <c r="DD8" i="1"/>
  <c r="DE23" i="44"/>
  <c r="DF20" i="44" s="1"/>
  <c r="DC26" i="1"/>
  <c r="DC28" i="1" s="1"/>
  <c r="DC43" i="1" s="1"/>
  <c r="DM10" i="16"/>
  <c r="DM26" i="16" s="1"/>
  <c r="DL10" i="29"/>
  <c r="DN28" i="44"/>
  <c r="DN29" i="44" s="1"/>
  <c r="DO26" i="44" s="1"/>
  <c r="CM17" i="44"/>
  <c r="CN14" i="44" s="1"/>
  <c r="DD13" i="1" l="1"/>
  <c r="DE8" i="1"/>
  <c r="DE25" i="1"/>
  <c r="DF22" i="44"/>
  <c r="DE10" i="60" s="1"/>
  <c r="DD26" i="1"/>
  <c r="DD28" i="1" s="1"/>
  <c r="DD43" i="1" s="1"/>
  <c r="DO28" i="44"/>
  <c r="DO29" i="44" s="1"/>
  <c r="DP26" i="44" s="1"/>
  <c r="DN10" i="16"/>
  <c r="DN26" i="16" s="1"/>
  <c r="DM10" i="29"/>
  <c r="CN16" i="44"/>
  <c r="CN8" i="16" s="1"/>
  <c r="DF23" i="44" l="1"/>
  <c r="DG20" i="44" s="1"/>
  <c r="DG22" i="44" s="1"/>
  <c r="DF10" i="60" s="1"/>
  <c r="DE9" i="29"/>
  <c r="DE10" i="1" s="1"/>
  <c r="DF9" i="16"/>
  <c r="DG29" i="16" s="1"/>
  <c r="DE11" i="1"/>
  <c r="DP28" i="44"/>
  <c r="DP29" i="44" s="1"/>
  <c r="DQ26" i="44" s="1"/>
  <c r="DO10" i="16"/>
  <c r="DO26" i="16" s="1"/>
  <c r="DN10" i="29"/>
  <c r="CN17" i="44"/>
  <c r="CO14" i="44" s="1"/>
  <c r="DF9" i="29" l="1"/>
  <c r="DF10" i="1" s="1"/>
  <c r="DF11" i="1"/>
  <c r="DE26" i="1"/>
  <c r="DE28" i="1" s="1"/>
  <c r="DE43" i="1" s="1"/>
  <c r="DG9" i="16"/>
  <c r="DH29" i="16" s="1"/>
  <c r="DF25" i="1"/>
  <c r="DF8" i="1"/>
  <c r="DE13" i="1"/>
  <c r="DG23" i="44"/>
  <c r="DH20" i="44" s="1"/>
  <c r="DQ28" i="44"/>
  <c r="DQ29" i="44" s="1"/>
  <c r="DR26" i="44" s="1"/>
  <c r="DO10" i="29"/>
  <c r="DP10" i="16"/>
  <c r="DP26" i="16" s="1"/>
  <c r="CO16" i="44"/>
  <c r="CO8" i="16" s="1"/>
  <c r="DF26" i="1" l="1"/>
  <c r="DF28" i="1" s="1"/>
  <c r="DF43" i="1" s="1"/>
  <c r="DF13" i="1"/>
  <c r="DG25" i="1"/>
  <c r="L26" i="20" s="1"/>
  <c r="DG8" i="1"/>
  <c r="DH22" i="44"/>
  <c r="DG10" i="60" s="1"/>
  <c r="DP10" i="29"/>
  <c r="DQ10" i="16"/>
  <c r="DQ26" i="16" s="1"/>
  <c r="DR28" i="44"/>
  <c r="DR29" i="44" s="1"/>
  <c r="DS26" i="44" s="1"/>
  <c r="CO17" i="44"/>
  <c r="CP14" i="44" s="1"/>
  <c r="DH23" i="44" l="1"/>
  <c r="DI20" i="44" s="1"/>
  <c r="DI22" i="44" s="1"/>
  <c r="DH10" i="60" s="1"/>
  <c r="DG9" i="29"/>
  <c r="DG10" i="1" s="1"/>
  <c r="L6" i="20"/>
  <c r="K7" i="23" s="1"/>
  <c r="DG11" i="1"/>
  <c r="L9" i="20" s="1"/>
  <c r="DH9" i="16"/>
  <c r="DI29" i="16" s="1"/>
  <c r="DS28" i="44"/>
  <c r="DS29" i="44" s="1"/>
  <c r="DT26" i="44" s="1"/>
  <c r="DQ10" i="29"/>
  <c r="DR10" i="16"/>
  <c r="DR26" i="16" s="1"/>
  <c r="CP16" i="44"/>
  <c r="CP8" i="16" s="1"/>
  <c r="DH9" i="29" l="1"/>
  <c r="DH10" i="1" s="1"/>
  <c r="DG26" i="1"/>
  <c r="L27" i="20" s="1"/>
  <c r="L8" i="20"/>
  <c r="L11" i="20" s="1"/>
  <c r="DG13" i="1"/>
  <c r="DH11" i="1"/>
  <c r="DI9" i="16"/>
  <c r="DJ29" i="16" s="1"/>
  <c r="DH8" i="1"/>
  <c r="DH25" i="1"/>
  <c r="DI23" i="44"/>
  <c r="DJ20" i="44" s="1"/>
  <c r="DT28" i="44"/>
  <c r="DT29" i="44" s="1"/>
  <c r="DS10" i="16"/>
  <c r="DS26" i="16" s="1"/>
  <c r="DR10" i="29"/>
  <c r="CP17" i="44"/>
  <c r="CQ14" i="44" s="1"/>
  <c r="DH13" i="1" l="1"/>
  <c r="DJ22" i="44"/>
  <c r="DI10" i="60" s="1"/>
  <c r="DH26" i="1"/>
  <c r="DH28" i="1" s="1"/>
  <c r="DH43" i="1" s="1"/>
  <c r="DI25" i="1"/>
  <c r="DI8" i="1"/>
  <c r="DS10" i="29"/>
  <c r="DT10" i="16"/>
  <c r="DT26" i="16" s="1"/>
  <c r="CQ16" i="44"/>
  <c r="CQ8" i="16" s="1"/>
  <c r="DI9" i="29" l="1"/>
  <c r="DI10" i="1" s="1"/>
  <c r="DI11" i="1"/>
  <c r="DJ9" i="16"/>
  <c r="DK29" i="16" s="1"/>
  <c r="DJ23" i="44"/>
  <c r="DK20" i="44" s="1"/>
  <c r="CQ17" i="44"/>
  <c r="CR14" i="44" s="1"/>
  <c r="DI26" i="1" l="1"/>
  <c r="DI28" i="1" s="1"/>
  <c r="DI43" i="1" s="1"/>
  <c r="DK22" i="44"/>
  <c r="DJ10" i="60" s="1"/>
  <c r="DJ25" i="1"/>
  <c r="DJ8" i="1"/>
  <c r="DI13" i="1"/>
  <c r="CR16" i="44"/>
  <c r="CR8" i="16" s="1"/>
  <c r="DJ9" i="29" l="1"/>
  <c r="DJ10" i="1" s="1"/>
  <c r="DJ11" i="1"/>
  <c r="DK9" i="16"/>
  <c r="DL29" i="16" s="1"/>
  <c r="DK23" i="44"/>
  <c r="DL20" i="44" s="1"/>
  <c r="CR17" i="44"/>
  <c r="CS14" i="44" s="1"/>
  <c r="DJ13" i="1" l="1"/>
  <c r="DK25" i="1"/>
  <c r="DK8" i="1"/>
  <c r="DJ26" i="1"/>
  <c r="DJ28" i="1" s="1"/>
  <c r="DJ43" i="1" s="1"/>
  <c r="DL22" i="44"/>
  <c r="DK10" i="60" s="1"/>
  <c r="CS16" i="44"/>
  <c r="CS8" i="16" s="1"/>
  <c r="DK9" i="29" l="1"/>
  <c r="DK10" i="1" s="1"/>
  <c r="DK11" i="1"/>
  <c r="DL9" i="16"/>
  <c r="DM29" i="16" s="1"/>
  <c r="DL23" i="44"/>
  <c r="DM20" i="44" s="1"/>
  <c r="CS17" i="44"/>
  <c r="CT14" i="44" s="1"/>
  <c r="DK13" i="1" l="1"/>
  <c r="DM22" i="44"/>
  <c r="DL10" i="60" s="1"/>
  <c r="DL25" i="1"/>
  <c r="DL8" i="1"/>
  <c r="DK26" i="1"/>
  <c r="DK28" i="1" s="1"/>
  <c r="DK43" i="1" s="1"/>
  <c r="CT16" i="44"/>
  <c r="CT8" i="16" s="1"/>
  <c r="DL9" i="29" l="1"/>
  <c r="DL10" i="1" s="1"/>
  <c r="DL11" i="1"/>
  <c r="DM9" i="16"/>
  <c r="DN29" i="16" s="1"/>
  <c r="DM23" i="44"/>
  <c r="DN20" i="44" s="1"/>
  <c r="CT17" i="44"/>
  <c r="CU14" i="44" s="1"/>
  <c r="DL13" i="1" l="1"/>
  <c r="DM8" i="1"/>
  <c r="DM25" i="1"/>
  <c r="DN22" i="44"/>
  <c r="DM10" i="60" s="1"/>
  <c r="DL26" i="1"/>
  <c r="DL28" i="1" s="1"/>
  <c r="DL43" i="1" s="1"/>
  <c r="CU16" i="44"/>
  <c r="CU8" i="16" s="1"/>
  <c r="DN23" i="44" l="1"/>
  <c r="DO20" i="44" s="1"/>
  <c r="DO22" i="44" s="1"/>
  <c r="DN10" i="60" s="1"/>
  <c r="DM9" i="29"/>
  <c r="DM10" i="1" s="1"/>
  <c r="DM11" i="1"/>
  <c r="DN9" i="16"/>
  <c r="DO29" i="16" s="1"/>
  <c r="CU17" i="44"/>
  <c r="CV14" i="44" s="1"/>
  <c r="DN9" i="29" l="1"/>
  <c r="DN10" i="1" s="1"/>
  <c r="DN11" i="1"/>
  <c r="DM13" i="1"/>
  <c r="DO9" i="16"/>
  <c r="DP29" i="16" s="1"/>
  <c r="DN25" i="1"/>
  <c r="DN8" i="1"/>
  <c r="DM26" i="1"/>
  <c r="DO23" i="44"/>
  <c r="DP20" i="44" s="1"/>
  <c r="CV16" i="44"/>
  <c r="CV8" i="16" s="1"/>
  <c r="DN13" i="1" l="1"/>
  <c r="DP22" i="44"/>
  <c r="DO10" i="60" s="1"/>
  <c r="DO8" i="1"/>
  <c r="DO25" i="1"/>
  <c r="DN26" i="1"/>
  <c r="DN28" i="1" s="1"/>
  <c r="DN43" i="1" s="1"/>
  <c r="CV17" i="44"/>
  <c r="CW14" i="44" s="1"/>
  <c r="DO9" i="29" l="1"/>
  <c r="DO10" i="1" s="1"/>
  <c r="DO11" i="1"/>
  <c r="DP9" i="16"/>
  <c r="DQ29" i="16" s="1"/>
  <c r="DP23" i="44"/>
  <c r="DQ20" i="44" s="1"/>
  <c r="CW16" i="44"/>
  <c r="CW8" i="16" s="1"/>
  <c r="DO13" i="1" l="1"/>
  <c r="DP8" i="1"/>
  <c r="DP25" i="1"/>
  <c r="DQ22" i="44"/>
  <c r="DP10" i="60" s="1"/>
  <c r="DO26" i="1"/>
  <c r="DO28" i="1" s="1"/>
  <c r="DO43" i="1" s="1"/>
  <c r="CW17" i="44"/>
  <c r="CX14" i="44" s="1"/>
  <c r="DQ23" i="44" l="1"/>
  <c r="DR20" i="44" s="1"/>
  <c r="DR22" i="44" s="1"/>
  <c r="DQ10" i="60" s="1"/>
  <c r="DP9" i="29"/>
  <c r="DP10" i="1" s="1"/>
  <c r="DQ9" i="16"/>
  <c r="DR29" i="16" s="1"/>
  <c r="DP11" i="1"/>
  <c r="CX16" i="44"/>
  <c r="CX8" i="16" s="1"/>
  <c r="DQ9" i="29" l="1"/>
  <c r="DQ10" i="1" s="1"/>
  <c r="DQ11" i="1"/>
  <c r="DP26" i="1"/>
  <c r="DP28" i="1" s="1"/>
  <c r="DP43" i="1" s="1"/>
  <c r="DR9" i="16"/>
  <c r="DS29" i="16" s="1"/>
  <c r="DQ8" i="1"/>
  <c r="DQ25" i="1"/>
  <c r="DP13" i="1"/>
  <c r="DR23" i="44"/>
  <c r="DS20" i="44" s="1"/>
  <c r="CX17" i="44"/>
  <c r="CY14" i="44" s="1"/>
  <c r="DQ13" i="1" l="1"/>
  <c r="DS22" i="44"/>
  <c r="DR10" i="60" s="1"/>
  <c r="DQ26" i="1"/>
  <c r="DQ28" i="1" s="1"/>
  <c r="DQ43" i="1" s="1"/>
  <c r="DR8" i="1"/>
  <c r="DR25" i="1"/>
  <c r="CY16" i="44"/>
  <c r="CY8" i="16" s="1"/>
  <c r="DS23" i="44" l="1"/>
  <c r="DT20" i="44" s="1"/>
  <c r="DT22" i="44" s="1"/>
  <c r="DS10" i="60" s="1"/>
  <c r="DR9" i="29"/>
  <c r="DR10" i="1" s="1"/>
  <c r="DR11" i="1"/>
  <c r="DS9" i="16"/>
  <c r="DT29" i="16" s="1"/>
  <c r="CY17" i="44"/>
  <c r="CZ14" i="44" s="1"/>
  <c r="DT23" i="44" l="1"/>
  <c r="DS9" i="29"/>
  <c r="DR26" i="1"/>
  <c r="DR28" i="1" s="1"/>
  <c r="DR43" i="1" s="1"/>
  <c r="DR13" i="1"/>
  <c r="DS8" i="1"/>
  <c r="DS25" i="1"/>
  <c r="M26" i="20" s="1"/>
  <c r="DS11" i="1"/>
  <c r="M9" i="20" s="1"/>
  <c r="DT9" i="16"/>
  <c r="CZ16" i="44"/>
  <c r="CZ8" i="16" s="1"/>
  <c r="DS10" i="1" l="1"/>
  <c r="DS26" i="1" s="1"/>
  <c r="M27" i="20" s="1"/>
  <c r="M6" i="20"/>
  <c r="L7" i="23" s="1"/>
  <c r="CZ17" i="44"/>
  <c r="DA14" i="44" s="1"/>
  <c r="M8" i="20" l="1"/>
  <c r="M11" i="20" s="1"/>
  <c r="DS13" i="1"/>
  <c r="DA16" i="44"/>
  <c r="DA8" i="16" s="1"/>
  <c r="DA17" i="44" l="1"/>
  <c r="DB14" i="44" s="1"/>
  <c r="DB16" i="44" l="1"/>
  <c r="DB8" i="16" s="1"/>
  <c r="DB17" i="44" l="1"/>
  <c r="DC14" i="44" s="1"/>
  <c r="DC16" i="44" l="1"/>
  <c r="DC8" i="16" s="1"/>
  <c r="DC17" i="44" l="1"/>
  <c r="DD14" i="44" s="1"/>
  <c r="DD16" i="44" l="1"/>
  <c r="DD8" i="16" s="1"/>
  <c r="DD17" i="44" l="1"/>
  <c r="DE14" i="44" s="1"/>
  <c r="DE16" i="44" l="1"/>
  <c r="DE8" i="16" s="1"/>
  <c r="DE17" i="44" l="1"/>
  <c r="DF14" i="44" s="1"/>
  <c r="DF16" i="44" l="1"/>
  <c r="DF8" i="16" s="1"/>
  <c r="DF17" i="44" l="1"/>
  <c r="DG14" i="44" s="1"/>
  <c r="DG16" i="44" l="1"/>
  <c r="DG8" i="16" s="1"/>
  <c r="DG17" i="44" l="1"/>
  <c r="DH14" i="44" s="1"/>
  <c r="DH16" i="44" l="1"/>
  <c r="DH8" i="16" s="1"/>
  <c r="DH17" i="44" l="1"/>
  <c r="DI14" i="44" s="1"/>
  <c r="DI16" i="44" l="1"/>
  <c r="DI8" i="16" s="1"/>
  <c r="DI17" i="44" l="1"/>
  <c r="DJ14" i="44" s="1"/>
  <c r="DJ16" i="44" l="1"/>
  <c r="DJ8" i="16" s="1"/>
  <c r="DJ17" i="44" l="1"/>
  <c r="DK14" i="44" s="1"/>
  <c r="DK16" i="44" l="1"/>
  <c r="DK8" i="16" s="1"/>
  <c r="DK17" i="44" l="1"/>
  <c r="DL14" i="44" s="1"/>
  <c r="DL16" i="44" l="1"/>
  <c r="DL8" i="16" s="1"/>
  <c r="DL17" i="44" l="1"/>
  <c r="DM14" i="44" s="1"/>
  <c r="DM16" i="44" l="1"/>
  <c r="DM8" i="16" s="1"/>
  <c r="DM17" i="44" l="1"/>
  <c r="DN14" i="44" s="1"/>
  <c r="DN16" i="44" l="1"/>
  <c r="DN8" i="16" s="1"/>
  <c r="DN17" i="44" l="1"/>
  <c r="DO14" i="44" s="1"/>
  <c r="DO16" i="44" l="1"/>
  <c r="DO8" i="16" s="1"/>
  <c r="DO17" i="44" l="1"/>
  <c r="DP14" i="44" s="1"/>
  <c r="DP16" i="44" l="1"/>
  <c r="DP8" i="16" s="1"/>
  <c r="DP17" i="44" l="1"/>
  <c r="DQ14" i="44" s="1"/>
  <c r="DQ16" i="44" l="1"/>
  <c r="DQ8" i="16" s="1"/>
  <c r="DQ17" i="44" l="1"/>
  <c r="DR14" i="44" s="1"/>
  <c r="DR16" i="44" l="1"/>
  <c r="DR8" i="16" s="1"/>
  <c r="DR17" i="44" l="1"/>
  <c r="DS14" i="44" s="1"/>
  <c r="DS16" i="44" l="1"/>
  <c r="DS8" i="16" s="1"/>
  <c r="DS17" i="44" l="1"/>
  <c r="DT14" i="44" s="1"/>
  <c r="DT16" i="44" l="1"/>
  <c r="DT8" i="16" s="1"/>
  <c r="DT17" i="44" l="1"/>
  <c r="C14" i="13" l="1"/>
  <c r="T24" i="22" s="1"/>
  <c r="M14" i="13" l="1"/>
  <c r="L14" i="13"/>
  <c r="B23" i="22"/>
  <c r="N14" i="13"/>
  <c r="G23" i="22" l="1"/>
  <c r="H23" i="22"/>
  <c r="I23" i="22"/>
  <c r="F23" i="22"/>
  <c r="F62" i="22" s="1"/>
  <c r="J23" i="22"/>
  <c r="L14" i="1" l="1"/>
  <c r="L15" i="1" s="1"/>
  <c r="L18" i="1" s="1"/>
  <c r="L20" i="1" s="1"/>
  <c r="G14" i="1"/>
  <c r="G15" i="1" s="1"/>
  <c r="G18" i="1" s="1"/>
  <c r="G20" i="1" s="1"/>
  <c r="I14" i="1"/>
  <c r="I15" i="1" s="1"/>
  <c r="I18" i="1" s="1"/>
  <c r="I20" i="1" s="1"/>
  <c r="M14" i="1"/>
  <c r="M15" i="1" s="1"/>
  <c r="M18" i="1" s="1"/>
  <c r="M20" i="1" s="1"/>
  <c r="D14" i="1"/>
  <c r="F14" i="1"/>
  <c r="F15" i="1" s="1"/>
  <c r="F18" i="1" s="1"/>
  <c r="F20" i="1" s="1"/>
  <c r="H14" i="1"/>
  <c r="H15" i="1" s="1"/>
  <c r="H18" i="1" s="1"/>
  <c r="H20" i="1" s="1"/>
  <c r="F64" i="22"/>
  <c r="F67" i="22" s="1"/>
  <c r="J14" i="1"/>
  <c r="J15" i="1" s="1"/>
  <c r="J18" i="1" s="1"/>
  <c r="J20" i="1" s="1"/>
  <c r="N14" i="1"/>
  <c r="N15" i="1" s="1"/>
  <c r="N18" i="1" s="1"/>
  <c r="N20" i="1" s="1"/>
  <c r="K14" i="1"/>
  <c r="K15" i="1" s="1"/>
  <c r="K18" i="1" s="1"/>
  <c r="K20" i="1" s="1"/>
  <c r="O14" i="1"/>
  <c r="O15" i="1" s="1"/>
  <c r="O18" i="1" s="1"/>
  <c r="O20" i="1" s="1"/>
  <c r="E14" i="1"/>
  <c r="E15" i="1" s="1"/>
  <c r="E18" i="1" s="1"/>
  <c r="E20" i="1" s="1"/>
  <c r="D15" i="1" l="1"/>
  <c r="D18" i="1" s="1"/>
  <c r="D20" i="1" s="1"/>
  <c r="D12" i="20"/>
  <c r="D13" i="20" s="1"/>
  <c r="D16" i="20" s="1"/>
  <c r="D18" i="20" l="1"/>
  <c r="C9" i="23"/>
  <c r="C18" i="13" l="1"/>
  <c r="X18" i="13" l="1"/>
  <c r="W18" i="13"/>
  <c r="R18" i="13"/>
  <c r="P18" i="13"/>
  <c r="P20" i="13" s="1"/>
  <c r="P23" i="13" s="1"/>
  <c r="O31" i="1" s="1"/>
  <c r="O33" i="1" s="1"/>
  <c r="O43" i="1" s="1"/>
  <c r="M18" i="13"/>
  <c r="M20" i="13" s="1"/>
  <c r="M23" i="13" s="1"/>
  <c r="L31" i="1" s="1"/>
  <c r="L33" i="1" s="1"/>
  <c r="L43" i="1" s="1"/>
  <c r="U18" i="13"/>
  <c r="F18" i="13"/>
  <c r="F20" i="13" s="1"/>
  <c r="F23" i="13" s="1"/>
  <c r="E31" i="1" s="1"/>
  <c r="E33" i="1" s="1"/>
  <c r="E43" i="1" s="1"/>
  <c r="G18" i="13"/>
  <c r="G20" i="13" s="1"/>
  <c r="G23" i="13" s="1"/>
  <c r="F31" i="1" s="1"/>
  <c r="F33" i="1" s="1"/>
  <c r="F43" i="1" s="1"/>
  <c r="Q18" i="13"/>
  <c r="J18" i="13"/>
  <c r="J20" i="13" s="1"/>
  <c r="J23" i="13" s="1"/>
  <c r="I31" i="1" s="1"/>
  <c r="I33" i="1" s="1"/>
  <c r="I43" i="1" s="1"/>
  <c r="O18" i="13"/>
  <c r="O20" i="13" s="1"/>
  <c r="O23" i="13" s="1"/>
  <c r="N31" i="1" s="1"/>
  <c r="N33" i="1" s="1"/>
  <c r="N43" i="1" s="1"/>
  <c r="H18" i="13"/>
  <c r="H20" i="13" s="1"/>
  <c r="H23" i="13" s="1"/>
  <c r="G31" i="1" s="1"/>
  <c r="G33" i="1" s="1"/>
  <c r="G43" i="1" s="1"/>
  <c r="T18" i="13"/>
  <c r="N18" i="13"/>
  <c r="N20" i="13" s="1"/>
  <c r="N23" i="13" s="1"/>
  <c r="M31" i="1" s="1"/>
  <c r="M33" i="1" s="1"/>
  <c r="M43" i="1" s="1"/>
  <c r="L18" i="13"/>
  <c r="L20" i="13" s="1"/>
  <c r="L23" i="13" s="1"/>
  <c r="K31" i="1" s="1"/>
  <c r="K33" i="1" s="1"/>
  <c r="K43" i="1" s="1"/>
  <c r="I18" i="13"/>
  <c r="I20" i="13" s="1"/>
  <c r="I23" i="13" s="1"/>
  <c r="H31" i="1" s="1"/>
  <c r="H33" i="1" s="1"/>
  <c r="H43" i="1" s="1"/>
  <c r="E18" i="13"/>
  <c r="V18" i="13"/>
  <c r="K18" i="13"/>
  <c r="K20" i="13" s="1"/>
  <c r="K23" i="13" s="1"/>
  <c r="J31" i="1" s="1"/>
  <c r="J33" i="1" s="1"/>
  <c r="J43" i="1" s="1"/>
  <c r="S18" i="13"/>
  <c r="C15" i="13" l="1"/>
  <c r="T25" i="22" s="1"/>
  <c r="R15" i="13" l="1"/>
  <c r="R20" i="13" s="1"/>
  <c r="R23" i="13" s="1"/>
  <c r="Q31" i="1" s="1"/>
  <c r="Q33" i="1" s="1"/>
  <c r="Q43" i="1" s="1"/>
  <c r="V15" i="13"/>
  <c r="V20" i="13" s="1"/>
  <c r="V23" i="13" s="1"/>
  <c r="U31" i="1" s="1"/>
  <c r="U33" i="1" s="1"/>
  <c r="Z15" i="13"/>
  <c r="AD15" i="13"/>
  <c r="S15" i="13"/>
  <c r="W15" i="13"/>
  <c r="AA15" i="13"/>
  <c r="AE15" i="13"/>
  <c r="T15" i="13"/>
  <c r="T20" i="13" s="1"/>
  <c r="T23" i="13" s="1"/>
  <c r="S31" i="1" s="1"/>
  <c r="S33" i="1" s="1"/>
  <c r="S43" i="1" s="1"/>
  <c r="X15" i="13"/>
  <c r="X20" i="13" s="1"/>
  <c r="X23" i="13" s="1"/>
  <c r="W31" i="1" s="1"/>
  <c r="W33" i="1" s="1"/>
  <c r="W43" i="1" s="1"/>
  <c r="AB15" i="13"/>
  <c r="Q15" i="13"/>
  <c r="Q20" i="13" s="1"/>
  <c r="Q23" i="13" s="1"/>
  <c r="P31" i="1" s="1"/>
  <c r="P33" i="1" s="1"/>
  <c r="P43" i="1" s="1"/>
  <c r="AF15" i="13"/>
  <c r="U15" i="13"/>
  <c r="U20" i="13" s="1"/>
  <c r="U23" i="13" s="1"/>
  <c r="T31" i="1" s="1"/>
  <c r="T33" i="1" s="1"/>
  <c r="T43" i="1" s="1"/>
  <c r="Y15" i="13"/>
  <c r="AC15" i="13"/>
  <c r="S20" i="13"/>
  <c r="S23" i="13" s="1"/>
  <c r="R31" i="1" s="1"/>
  <c r="R33" i="1" s="1"/>
  <c r="R43" i="1" s="1"/>
  <c r="W20" i="13"/>
  <c r="W23" i="13" s="1"/>
  <c r="V31" i="1" s="1"/>
  <c r="V33" i="1" s="1"/>
  <c r="V43" i="1" s="1"/>
  <c r="B26" i="22"/>
  <c r="K26" i="22" s="1"/>
  <c r="K62" i="22" s="1"/>
  <c r="Y20" i="13" l="1"/>
  <c r="Y23" i="13" s="1"/>
  <c r="X31" i="1" s="1"/>
  <c r="X33" i="1" s="1"/>
  <c r="X43" i="1" s="1"/>
  <c r="AB20" i="13"/>
  <c r="AB23" i="13" s="1"/>
  <c r="AA31" i="1" s="1"/>
  <c r="AA33" i="1" s="1"/>
  <c r="AA20" i="13"/>
  <c r="AA23" i="13" s="1"/>
  <c r="Z31" i="1" s="1"/>
  <c r="Z33" i="1" s="1"/>
  <c r="Z43" i="1" s="1"/>
  <c r="Z20" i="13"/>
  <c r="Z23" i="13" s="1"/>
  <c r="Y31" i="1" s="1"/>
  <c r="AF20" i="13"/>
  <c r="AF23" i="13" s="1"/>
  <c r="AE31" i="1" s="1"/>
  <c r="AE33" i="1" s="1"/>
  <c r="AE43" i="1" s="1"/>
  <c r="AC20" i="13"/>
  <c r="AC23" i="13" s="1"/>
  <c r="AB31" i="1" s="1"/>
  <c r="AE20" i="13"/>
  <c r="AE23" i="13" s="1"/>
  <c r="AD31" i="1" s="1"/>
  <c r="AD33" i="1" s="1"/>
  <c r="AD43" i="1" s="1"/>
  <c r="AD20" i="13"/>
  <c r="AD23" i="13" s="1"/>
  <c r="AC31" i="1" s="1"/>
  <c r="AC33" i="1" s="1"/>
  <c r="AC43" i="1" s="1"/>
  <c r="O26" i="22"/>
  <c r="O62" i="22" s="1"/>
  <c r="DH14" i="1" s="1"/>
  <c r="J26" i="22"/>
  <c r="J62" i="22" s="1"/>
  <c r="BG14" i="1" s="1"/>
  <c r="BG15" i="1" s="1"/>
  <c r="BG18" i="1" s="1"/>
  <c r="BG20" i="1" s="1"/>
  <c r="L26" i="22"/>
  <c r="L62" i="22" s="1"/>
  <c r="CD14" i="1" s="1"/>
  <c r="CD15" i="1" s="1"/>
  <c r="CD18" i="1" s="1"/>
  <c r="CD20" i="1" s="1"/>
  <c r="N26" i="22"/>
  <c r="N62" i="22" s="1"/>
  <c r="CW14" i="1" s="1"/>
  <c r="CW15" i="1" s="1"/>
  <c r="CW18" i="1" s="1"/>
  <c r="CW20" i="1" s="1"/>
  <c r="G26" i="22"/>
  <c r="G62" i="22" s="1"/>
  <c r="Z14" i="1" s="1"/>
  <c r="Z15" i="1" s="1"/>
  <c r="Z18" i="1" s="1"/>
  <c r="Z20" i="1" s="1"/>
  <c r="M26" i="22"/>
  <c r="M62" i="22" s="1"/>
  <c r="CM14" i="1" s="1"/>
  <c r="CM15" i="1" s="1"/>
  <c r="CM18" i="1" s="1"/>
  <c r="CM20" i="1" s="1"/>
  <c r="I26" i="22"/>
  <c r="I62" i="22" s="1"/>
  <c r="AR14" i="1" s="1"/>
  <c r="AR15" i="1" s="1"/>
  <c r="AR18" i="1" s="1"/>
  <c r="AR20" i="1" s="1"/>
  <c r="B62" i="22"/>
  <c r="H26" i="22"/>
  <c r="H62" i="22" s="1"/>
  <c r="AJ14" i="1" s="1"/>
  <c r="AJ15" i="1" s="1"/>
  <c r="AJ18" i="1" s="1"/>
  <c r="AJ20" i="1" s="1"/>
  <c r="E9" i="13"/>
  <c r="BN14" i="1"/>
  <c r="BN15" i="1" s="1"/>
  <c r="BN18" i="1" s="1"/>
  <c r="BN20" i="1" s="1"/>
  <c r="BU14" i="1"/>
  <c r="BU15" i="1" s="1"/>
  <c r="BU18" i="1" s="1"/>
  <c r="BU20" i="1" s="1"/>
  <c r="BM14" i="1"/>
  <c r="BM15" i="1" s="1"/>
  <c r="BM18" i="1" s="1"/>
  <c r="BM20" i="1" s="1"/>
  <c r="BW14" i="1"/>
  <c r="BW15" i="1" s="1"/>
  <c r="BW18" i="1" s="1"/>
  <c r="K64" i="22"/>
  <c r="K67" i="22" s="1"/>
  <c r="BO14" i="1"/>
  <c r="BO15" i="1" s="1"/>
  <c r="BO18" i="1" s="1"/>
  <c r="BO20" i="1" s="1"/>
  <c r="BT14" i="1"/>
  <c r="BT15" i="1" s="1"/>
  <c r="BT18" i="1" s="1"/>
  <c r="BT20" i="1" s="1"/>
  <c r="BP14" i="1"/>
  <c r="BP15" i="1" s="1"/>
  <c r="BP18" i="1" s="1"/>
  <c r="BP20" i="1" s="1"/>
  <c r="BQ14" i="1"/>
  <c r="BQ15" i="1" s="1"/>
  <c r="BQ18" i="1" s="1"/>
  <c r="BL14" i="1"/>
  <c r="BS14" i="1"/>
  <c r="BS15" i="1" s="1"/>
  <c r="BS18" i="1" s="1"/>
  <c r="BS20" i="1" s="1"/>
  <c r="BR14" i="1"/>
  <c r="BR15" i="1" s="1"/>
  <c r="BR18" i="1" s="1"/>
  <c r="BR20" i="1" s="1"/>
  <c r="BV14" i="1"/>
  <c r="BV15" i="1" s="1"/>
  <c r="BV18" i="1" s="1"/>
  <c r="BV20" i="1" s="1"/>
  <c r="Y33" i="1" l="1"/>
  <c r="Y43" i="1" s="1"/>
  <c r="E32" i="20"/>
  <c r="E34" i="20" s="1"/>
  <c r="AB33" i="1"/>
  <c r="AB43" i="1" s="1"/>
  <c r="F32" i="20"/>
  <c r="F34" i="20" s="1"/>
  <c r="DI14" i="1"/>
  <c r="DI15" i="1" s="1"/>
  <c r="DI18" i="1" s="1"/>
  <c r="DI20" i="1" s="1"/>
  <c r="DN14" i="1"/>
  <c r="DN15" i="1" s="1"/>
  <c r="DN18" i="1" s="1"/>
  <c r="DN20" i="1" s="1"/>
  <c r="X14" i="1"/>
  <c r="X15" i="1" s="1"/>
  <c r="X18" i="1" s="1"/>
  <c r="X20" i="1" s="1"/>
  <c r="DM14" i="1"/>
  <c r="DM15" i="1" s="1"/>
  <c r="DM18" i="1" s="1"/>
  <c r="AG14" i="1"/>
  <c r="AG15" i="1" s="1"/>
  <c r="AG18" i="1" s="1"/>
  <c r="DJ14" i="1"/>
  <c r="DJ15" i="1" s="1"/>
  <c r="DJ18" i="1" s="1"/>
  <c r="DJ20" i="1" s="1"/>
  <c r="Q14" i="1"/>
  <c r="Q15" i="1" s="1"/>
  <c r="Q18" i="1" s="1"/>
  <c r="Q20" i="1" s="1"/>
  <c r="P14" i="1"/>
  <c r="P15" i="1" s="1"/>
  <c r="P18" i="1" s="1"/>
  <c r="P20" i="1" s="1"/>
  <c r="AE14" i="1"/>
  <c r="AE15" i="1" s="1"/>
  <c r="AE18" i="1" s="1"/>
  <c r="AE20" i="1" s="1"/>
  <c r="T14" i="1"/>
  <c r="T15" i="1" s="1"/>
  <c r="T18" i="1" s="1"/>
  <c r="T20" i="1" s="1"/>
  <c r="V14" i="1"/>
  <c r="V15" i="1" s="1"/>
  <c r="V18" i="1" s="1"/>
  <c r="V20" i="1" s="1"/>
  <c r="DR14" i="1"/>
  <c r="DR15" i="1" s="1"/>
  <c r="DR18" i="1" s="1"/>
  <c r="DR20" i="1" s="1"/>
  <c r="DP14" i="1"/>
  <c r="DP15" i="1" s="1"/>
  <c r="DP18" i="1" s="1"/>
  <c r="DP20" i="1" s="1"/>
  <c r="Y14" i="1"/>
  <c r="Y15" i="1" s="1"/>
  <c r="Y18" i="1" s="1"/>
  <c r="Y20" i="1" s="1"/>
  <c r="O64" i="22"/>
  <c r="O67" i="22" s="1"/>
  <c r="DK14" i="1"/>
  <c r="DK15" i="1" s="1"/>
  <c r="DK18" i="1" s="1"/>
  <c r="DK20" i="1" s="1"/>
  <c r="AB14" i="1"/>
  <c r="AB15" i="1" s="1"/>
  <c r="AB18" i="1" s="1"/>
  <c r="AB20" i="1" s="1"/>
  <c r="U14" i="1"/>
  <c r="U15" i="1" s="1"/>
  <c r="U18" i="1" s="1"/>
  <c r="DS14" i="1"/>
  <c r="DS15" i="1" s="1"/>
  <c r="DS18" i="1" s="1"/>
  <c r="DO14" i="1"/>
  <c r="DO15" i="1" s="1"/>
  <c r="DO18" i="1" s="1"/>
  <c r="DO20" i="1" s="1"/>
  <c r="DQ14" i="1"/>
  <c r="DQ15" i="1" s="1"/>
  <c r="DQ18" i="1" s="1"/>
  <c r="DQ20" i="1" s="1"/>
  <c r="AD14" i="1"/>
  <c r="AD15" i="1" s="1"/>
  <c r="AD18" i="1" s="1"/>
  <c r="AD20" i="1" s="1"/>
  <c r="S14" i="1"/>
  <c r="S15" i="1" s="1"/>
  <c r="S18" i="1" s="1"/>
  <c r="S20" i="1" s="1"/>
  <c r="AA14" i="1"/>
  <c r="AA15" i="1" s="1"/>
  <c r="AA18" i="1" s="1"/>
  <c r="R14" i="1"/>
  <c r="R15" i="1" s="1"/>
  <c r="R18" i="1" s="1"/>
  <c r="R20" i="1" s="1"/>
  <c r="H64" i="22"/>
  <c r="H67" i="22" s="1"/>
  <c r="AH14" i="1"/>
  <c r="AH15" i="1" s="1"/>
  <c r="AH18" i="1" s="1"/>
  <c r="AH20" i="1" s="1"/>
  <c r="W14" i="1"/>
  <c r="W15" i="1" s="1"/>
  <c r="W18" i="1" s="1"/>
  <c r="W20" i="1" s="1"/>
  <c r="G64" i="22"/>
  <c r="G67" i="22" s="1"/>
  <c r="AL14" i="1"/>
  <c r="AL15" i="1" s="1"/>
  <c r="AL18" i="1" s="1"/>
  <c r="AL20" i="1" s="1"/>
  <c r="AM14" i="1"/>
  <c r="AM15" i="1" s="1"/>
  <c r="AM18" i="1" s="1"/>
  <c r="AK14" i="1"/>
  <c r="AK15" i="1" s="1"/>
  <c r="AK18" i="1" s="1"/>
  <c r="AK20" i="1" s="1"/>
  <c r="AI14" i="1"/>
  <c r="AI15" i="1" s="1"/>
  <c r="AI18" i="1" s="1"/>
  <c r="AI20" i="1" s="1"/>
  <c r="AF14" i="1"/>
  <c r="AF15" i="1" s="1"/>
  <c r="AF18" i="1" s="1"/>
  <c r="AF20" i="1" s="1"/>
  <c r="AC14" i="1"/>
  <c r="AC15" i="1" s="1"/>
  <c r="AC18" i="1" s="1"/>
  <c r="AC20" i="1" s="1"/>
  <c r="BJ14" i="1"/>
  <c r="BJ15" i="1" s="1"/>
  <c r="BJ18" i="1" s="1"/>
  <c r="BJ20" i="1" s="1"/>
  <c r="CO14" i="1"/>
  <c r="CO15" i="1" s="1"/>
  <c r="CO18" i="1" s="1"/>
  <c r="BD14" i="1"/>
  <c r="BD15" i="1" s="1"/>
  <c r="BD18" i="1" s="1"/>
  <c r="BD20" i="1" s="1"/>
  <c r="CP14" i="1"/>
  <c r="CP15" i="1" s="1"/>
  <c r="CP18" i="1" s="1"/>
  <c r="CP20" i="1" s="1"/>
  <c r="AT14" i="1"/>
  <c r="AT15" i="1" s="1"/>
  <c r="AT18" i="1" s="1"/>
  <c r="AT20" i="1" s="1"/>
  <c r="CQ14" i="1"/>
  <c r="CQ15" i="1" s="1"/>
  <c r="CQ18" i="1" s="1"/>
  <c r="CQ20" i="1" s="1"/>
  <c r="CU14" i="1"/>
  <c r="CU15" i="1" s="1"/>
  <c r="CU18" i="1" s="1"/>
  <c r="AZ14" i="1"/>
  <c r="AZ15" i="1" s="1"/>
  <c r="AZ18" i="1" s="1"/>
  <c r="AZ20" i="1" s="1"/>
  <c r="CN14" i="1"/>
  <c r="CN15" i="1" s="1"/>
  <c r="CN18" i="1" s="1"/>
  <c r="CN20" i="1" s="1"/>
  <c r="CB14" i="1"/>
  <c r="CB15" i="1" s="1"/>
  <c r="CB18" i="1" s="1"/>
  <c r="CB20" i="1" s="1"/>
  <c r="CR14" i="1"/>
  <c r="CR15" i="1" s="1"/>
  <c r="CR18" i="1" s="1"/>
  <c r="CR20" i="1" s="1"/>
  <c r="CS14" i="1"/>
  <c r="CS15" i="1" s="1"/>
  <c r="CS18" i="1" s="1"/>
  <c r="CS20" i="1" s="1"/>
  <c r="CL14" i="1"/>
  <c r="CL15" i="1" s="1"/>
  <c r="CL18" i="1" s="1"/>
  <c r="CL20" i="1" s="1"/>
  <c r="BA14" i="1"/>
  <c r="BA15" i="1" s="1"/>
  <c r="BA18" i="1" s="1"/>
  <c r="BA20" i="1" s="1"/>
  <c r="BE14" i="1"/>
  <c r="BE15" i="1" s="1"/>
  <c r="BE18" i="1" s="1"/>
  <c r="CK14" i="1"/>
  <c r="CK15" i="1" s="1"/>
  <c r="CK18" i="1" s="1"/>
  <c r="CK20" i="1" s="1"/>
  <c r="CT14" i="1"/>
  <c r="CT15" i="1" s="1"/>
  <c r="CT18" i="1" s="1"/>
  <c r="CT20" i="1" s="1"/>
  <c r="BI14" i="1"/>
  <c r="BI15" i="1" s="1"/>
  <c r="BI18" i="1" s="1"/>
  <c r="BI20" i="1" s="1"/>
  <c r="I64" i="22"/>
  <c r="I67" i="22" s="1"/>
  <c r="AY14" i="1"/>
  <c r="AY15" i="1" s="1"/>
  <c r="AY18" i="1" s="1"/>
  <c r="BX14" i="1"/>
  <c r="BX15" i="1" s="1"/>
  <c r="BX18" i="1" s="1"/>
  <c r="BX20" i="1" s="1"/>
  <c r="CI14" i="1"/>
  <c r="CI15" i="1" s="1"/>
  <c r="CI18" i="1" s="1"/>
  <c r="AV14" i="1"/>
  <c r="AV15" i="1" s="1"/>
  <c r="AV18" i="1" s="1"/>
  <c r="AV20" i="1" s="1"/>
  <c r="AX14" i="1"/>
  <c r="AX15" i="1" s="1"/>
  <c r="AX18" i="1" s="1"/>
  <c r="AX20" i="1" s="1"/>
  <c r="AP14" i="1"/>
  <c r="AP15" i="1" s="1"/>
  <c r="AP18" i="1" s="1"/>
  <c r="AP20" i="1" s="1"/>
  <c r="CG14" i="1"/>
  <c r="CG15" i="1" s="1"/>
  <c r="CG18" i="1" s="1"/>
  <c r="CG20" i="1" s="1"/>
  <c r="CC14" i="1"/>
  <c r="CC15" i="1" s="1"/>
  <c r="CC18" i="1" s="1"/>
  <c r="BY14" i="1"/>
  <c r="BY15" i="1" s="1"/>
  <c r="BY18" i="1" s="1"/>
  <c r="BY20" i="1" s="1"/>
  <c r="BZ14" i="1"/>
  <c r="BZ15" i="1" s="1"/>
  <c r="BZ18" i="1" s="1"/>
  <c r="BZ20" i="1" s="1"/>
  <c r="AU14" i="1"/>
  <c r="AU15" i="1" s="1"/>
  <c r="AU18" i="1" s="1"/>
  <c r="AU20" i="1" s="1"/>
  <c r="AW14" i="1"/>
  <c r="AW15" i="1" s="1"/>
  <c r="AW18" i="1" s="1"/>
  <c r="AW20" i="1" s="1"/>
  <c r="AN14" i="1"/>
  <c r="AN15" i="1" s="1"/>
  <c r="AN18" i="1" s="1"/>
  <c r="AN20" i="1" s="1"/>
  <c r="AQ14" i="1"/>
  <c r="AQ15" i="1" s="1"/>
  <c r="AQ18" i="1" s="1"/>
  <c r="AQ20" i="1" s="1"/>
  <c r="CJ14" i="1"/>
  <c r="M64" i="22"/>
  <c r="M67" i="22" s="1"/>
  <c r="L64" i="22"/>
  <c r="L67" i="22" s="1"/>
  <c r="CH14" i="1"/>
  <c r="CH15" i="1" s="1"/>
  <c r="CH18" i="1" s="1"/>
  <c r="CH20" i="1" s="1"/>
  <c r="CA14" i="1"/>
  <c r="CA15" i="1" s="1"/>
  <c r="CA18" i="1" s="1"/>
  <c r="CA20" i="1" s="1"/>
  <c r="BK14" i="1"/>
  <c r="BK15" i="1" s="1"/>
  <c r="BK18" i="1" s="1"/>
  <c r="J64" i="22"/>
  <c r="J67" i="22" s="1"/>
  <c r="BC14" i="1"/>
  <c r="BC15" i="1" s="1"/>
  <c r="BC18" i="1" s="1"/>
  <c r="BC20" i="1" s="1"/>
  <c r="BB14" i="1"/>
  <c r="BB15" i="1" s="1"/>
  <c r="BB18" i="1" s="1"/>
  <c r="BB20" i="1" s="1"/>
  <c r="AS14" i="1"/>
  <c r="AS15" i="1" s="1"/>
  <c r="AS18" i="1" s="1"/>
  <c r="AO14" i="1"/>
  <c r="AO15" i="1" s="1"/>
  <c r="AO18" i="1" s="1"/>
  <c r="AO20" i="1" s="1"/>
  <c r="CE14" i="1"/>
  <c r="CE15" i="1" s="1"/>
  <c r="CE18" i="1" s="1"/>
  <c r="CE20" i="1" s="1"/>
  <c r="CF14" i="1"/>
  <c r="CF15" i="1" s="1"/>
  <c r="CF18" i="1" s="1"/>
  <c r="CF20" i="1" s="1"/>
  <c r="BH14" i="1"/>
  <c r="BH15" i="1" s="1"/>
  <c r="BH18" i="1" s="1"/>
  <c r="BH20" i="1" s="1"/>
  <c r="BF14" i="1"/>
  <c r="BF15" i="1" s="1"/>
  <c r="BF18" i="1" s="1"/>
  <c r="BF20" i="1" s="1"/>
  <c r="D62" i="22"/>
  <c r="DL14" i="1"/>
  <c r="DL15" i="1" s="1"/>
  <c r="DL18" i="1" s="1"/>
  <c r="DL20" i="1" s="1"/>
  <c r="CY14" i="1"/>
  <c r="CY15" i="1" s="1"/>
  <c r="CY18" i="1" s="1"/>
  <c r="CY20" i="1" s="1"/>
  <c r="CX14" i="1"/>
  <c r="CX15" i="1" s="1"/>
  <c r="CX18" i="1" s="1"/>
  <c r="CX20" i="1" s="1"/>
  <c r="DD14" i="1"/>
  <c r="DD15" i="1" s="1"/>
  <c r="DD18" i="1" s="1"/>
  <c r="DD20" i="1" s="1"/>
  <c r="CZ14" i="1"/>
  <c r="CZ15" i="1" s="1"/>
  <c r="CZ18" i="1" s="1"/>
  <c r="CZ20" i="1" s="1"/>
  <c r="CV14" i="1"/>
  <c r="CV15" i="1" s="1"/>
  <c r="CV18" i="1" s="1"/>
  <c r="CV20" i="1" s="1"/>
  <c r="DB14" i="1"/>
  <c r="DB15" i="1" s="1"/>
  <c r="DB18" i="1" s="1"/>
  <c r="DB20" i="1" s="1"/>
  <c r="DG14" i="1"/>
  <c r="DG15" i="1" s="1"/>
  <c r="DG18" i="1" s="1"/>
  <c r="DE14" i="1"/>
  <c r="DE15" i="1" s="1"/>
  <c r="DE18" i="1" s="1"/>
  <c r="DE20" i="1" s="1"/>
  <c r="DC14" i="1"/>
  <c r="DC15" i="1" s="1"/>
  <c r="DC18" i="1" s="1"/>
  <c r="DC20" i="1" s="1"/>
  <c r="DA14" i="1"/>
  <c r="DA15" i="1" s="1"/>
  <c r="DA18" i="1" s="1"/>
  <c r="N64" i="22"/>
  <c r="N67" i="22" s="1"/>
  <c r="DF14" i="1"/>
  <c r="DF15" i="1" s="1"/>
  <c r="DF18" i="1" s="1"/>
  <c r="DF20" i="1" s="1"/>
  <c r="E20" i="13"/>
  <c r="C20" i="13" s="1"/>
  <c r="C23" i="13" s="1"/>
  <c r="I12" i="20"/>
  <c r="I13" i="20" s="1"/>
  <c r="I16" i="20" s="1"/>
  <c r="BL15" i="1"/>
  <c r="BL18" i="1" s="1"/>
  <c r="BL20" i="1" s="1"/>
  <c r="DH15" i="1"/>
  <c r="DH18" i="1" s="1"/>
  <c r="DH20" i="1" s="1"/>
  <c r="E12" i="20" l="1"/>
  <c r="E13" i="20" s="1"/>
  <c r="E16" i="20" s="1"/>
  <c r="D9" i="23" s="1"/>
  <c r="D12" i="23" s="1"/>
  <c r="F12" i="20"/>
  <c r="F13" i="20" s="1"/>
  <c r="F16" i="20" s="1"/>
  <c r="E9" i="23" s="1"/>
  <c r="E12" i="23" s="1"/>
  <c r="K12" i="20"/>
  <c r="K13" i="20" s="1"/>
  <c r="K16" i="20" s="1"/>
  <c r="J9" i="23" s="1"/>
  <c r="J12" i="23" s="1"/>
  <c r="CJ15" i="1"/>
  <c r="CJ18" i="1" s="1"/>
  <c r="CJ20" i="1" s="1"/>
  <c r="M12" i="20"/>
  <c r="M13" i="20" s="1"/>
  <c r="M16" i="20" s="1"/>
  <c r="L9" i="23" s="1"/>
  <c r="L12" i="23" s="1"/>
  <c r="H12" i="20"/>
  <c r="H13" i="20" s="1"/>
  <c r="H16" i="20" s="1"/>
  <c r="G9" i="23" s="1"/>
  <c r="G12" i="23" s="1"/>
  <c r="G12" i="20"/>
  <c r="G13" i="20" s="1"/>
  <c r="G16" i="20" s="1"/>
  <c r="F9" i="23" s="1"/>
  <c r="F12" i="23" s="1"/>
  <c r="J12" i="20"/>
  <c r="J13" i="20" s="1"/>
  <c r="J16" i="20" s="1"/>
  <c r="I9" i="23" s="1"/>
  <c r="I12" i="23" s="1"/>
  <c r="L12" i="20"/>
  <c r="L13" i="20" s="1"/>
  <c r="L16" i="20" s="1"/>
  <c r="K9" i="23" s="1"/>
  <c r="K12" i="23" s="1"/>
  <c r="H9" i="23"/>
  <c r="H12" i="23" s="1"/>
  <c r="E23" i="13"/>
  <c r="F25" i="23" l="1"/>
  <c r="F24" i="23"/>
  <c r="D24" i="23"/>
  <c r="D26" i="23" s="1"/>
  <c r="D14" i="23"/>
  <c r="E24" i="23"/>
  <c r="E25" i="23"/>
  <c r="D31" i="1"/>
  <c r="C24" i="13"/>
  <c r="K24" i="23"/>
  <c r="K25" i="23"/>
  <c r="G25" i="23"/>
  <c r="G24" i="23"/>
  <c r="I24" i="23"/>
  <c r="I25" i="23"/>
  <c r="J24" i="23"/>
  <c r="J25" i="23"/>
  <c r="H25" i="23"/>
  <c r="H24" i="23"/>
  <c r="L25" i="23"/>
  <c r="L24" i="23"/>
  <c r="D16" i="23" l="1"/>
  <c r="D17" i="23" s="1"/>
  <c r="E23" i="23"/>
  <c r="D33" i="1"/>
  <c r="D43" i="1" s="1"/>
  <c r="D46" i="1" s="1"/>
  <c r="E44" i="1" s="1"/>
  <c r="E46" i="1" s="1"/>
  <c r="F44" i="1" s="1"/>
  <c r="F46" i="1" s="1"/>
  <c r="G44" i="1" s="1"/>
  <c r="G46" i="1" s="1"/>
  <c r="H44" i="1" s="1"/>
  <c r="H46" i="1" s="1"/>
  <c r="I44" i="1" s="1"/>
  <c r="I46" i="1" s="1"/>
  <c r="J44" i="1" s="1"/>
  <c r="J46" i="1" s="1"/>
  <c r="K44" i="1" s="1"/>
  <c r="K46" i="1" s="1"/>
  <c r="L44" i="1" s="1"/>
  <c r="L46" i="1" s="1"/>
  <c r="M44" i="1" s="1"/>
  <c r="M46" i="1" s="1"/>
  <c r="N44" i="1" s="1"/>
  <c r="N46" i="1" s="1"/>
  <c r="O44" i="1" s="1"/>
  <c r="O46" i="1" s="1"/>
  <c r="P44" i="1" s="1"/>
  <c r="P46" i="1" s="1"/>
  <c r="Q44" i="1" s="1"/>
  <c r="Q46" i="1" s="1"/>
  <c r="R44" i="1" s="1"/>
  <c r="R46" i="1" s="1"/>
  <c r="S44" i="1" s="1"/>
  <c r="S46" i="1" s="1"/>
  <c r="T44" i="1" s="1"/>
  <c r="T46" i="1" s="1"/>
  <c r="U44" i="1" s="1"/>
  <c r="D32" i="20"/>
  <c r="D34" i="20" s="1"/>
  <c r="D44" i="20" s="1"/>
  <c r="D47" i="20" s="1"/>
  <c r="E45" i="20" s="1"/>
  <c r="E26" i="23" l="1"/>
  <c r="E14" i="23"/>
  <c r="E17" i="20"/>
  <c r="D19" i="23"/>
  <c r="D20" i="23" l="1"/>
  <c r="AA19" i="1"/>
  <c r="U19" i="1"/>
  <c r="E28" i="20"/>
  <c r="E29" i="20" s="1"/>
  <c r="E44" i="20" s="1"/>
  <c r="E18" i="20"/>
  <c r="E16" i="23"/>
  <c r="E17" i="23" s="1"/>
  <c r="F23" i="23"/>
  <c r="F26" i="23" l="1"/>
  <c r="F14" i="23"/>
  <c r="E47" i="20"/>
  <c r="F45" i="20" s="1"/>
  <c r="U27" i="1"/>
  <c r="U28" i="1" s="1"/>
  <c r="U43" i="1" s="1"/>
  <c r="U20" i="1"/>
  <c r="E19" i="23"/>
  <c r="F17" i="20"/>
  <c r="AA27" i="1"/>
  <c r="AA28" i="1" s="1"/>
  <c r="AA43" i="1" s="1"/>
  <c r="AA20" i="1"/>
  <c r="F28" i="20" l="1"/>
  <c r="F29" i="20" s="1"/>
  <c r="F44" i="20" s="1"/>
  <c r="F18" i="20"/>
  <c r="E20" i="23"/>
  <c r="AM19" i="1"/>
  <c r="AG19" i="1"/>
  <c r="U46" i="1"/>
  <c r="V44" i="1" s="1"/>
  <c r="V46" i="1" s="1"/>
  <c r="W44" i="1" s="1"/>
  <c r="W46" i="1" s="1"/>
  <c r="X44" i="1" s="1"/>
  <c r="X46" i="1" s="1"/>
  <c r="Y44" i="1" s="1"/>
  <c r="Y46" i="1" s="1"/>
  <c r="Z44" i="1" s="1"/>
  <c r="Z46" i="1" s="1"/>
  <c r="AA44" i="1" s="1"/>
  <c r="AA46" i="1" s="1"/>
  <c r="AB44" i="1" s="1"/>
  <c r="AB46" i="1" s="1"/>
  <c r="AC44" i="1" s="1"/>
  <c r="AC46" i="1" s="1"/>
  <c r="AD44" i="1" s="1"/>
  <c r="AD46" i="1" s="1"/>
  <c r="AE44" i="1" s="1"/>
  <c r="AE46" i="1" s="1"/>
  <c r="AF44" i="1" s="1"/>
  <c r="AF46" i="1" s="1"/>
  <c r="AG44" i="1" s="1"/>
  <c r="F16" i="23"/>
  <c r="F17" i="23" s="1"/>
  <c r="G23" i="23"/>
  <c r="F19" i="23" l="1"/>
  <c r="G17" i="20"/>
  <c r="AM27" i="1"/>
  <c r="AM28" i="1" s="1"/>
  <c r="AM43" i="1" s="1"/>
  <c r="AM20" i="1"/>
  <c r="G26" i="23"/>
  <c r="G14" i="23"/>
  <c r="AG27" i="1"/>
  <c r="AG28" i="1" s="1"/>
  <c r="AG43" i="1" s="1"/>
  <c r="AG20" i="1"/>
  <c r="F47" i="20"/>
  <c r="G45" i="20" s="1"/>
  <c r="G28" i="20" l="1"/>
  <c r="G29" i="20" s="1"/>
  <c r="G44" i="20" s="1"/>
  <c r="G18" i="20"/>
  <c r="AG46" i="1"/>
  <c r="AH44" i="1" s="1"/>
  <c r="AH46" i="1" s="1"/>
  <c r="AI44" i="1" s="1"/>
  <c r="AI46" i="1" s="1"/>
  <c r="AJ44" i="1" s="1"/>
  <c r="AJ46" i="1" s="1"/>
  <c r="AK44" i="1" s="1"/>
  <c r="AK46" i="1" s="1"/>
  <c r="AL44" i="1" s="1"/>
  <c r="AL46" i="1" s="1"/>
  <c r="AM44" i="1" s="1"/>
  <c r="AM46" i="1" s="1"/>
  <c r="AN44" i="1" s="1"/>
  <c r="AN46" i="1" s="1"/>
  <c r="AO44" i="1" s="1"/>
  <c r="AO46" i="1" s="1"/>
  <c r="AP44" i="1" s="1"/>
  <c r="AP46" i="1" s="1"/>
  <c r="AQ44" i="1" s="1"/>
  <c r="AQ46" i="1" s="1"/>
  <c r="AR44" i="1" s="1"/>
  <c r="AR46" i="1" s="1"/>
  <c r="AS44" i="1" s="1"/>
  <c r="H23" i="23"/>
  <c r="G16" i="23"/>
  <c r="G17" i="23" s="1"/>
  <c r="AS19" i="1"/>
  <c r="AY19" i="1"/>
  <c r="F20" i="23"/>
  <c r="G19" i="23" l="1"/>
  <c r="H17" i="20"/>
  <c r="AY27" i="1"/>
  <c r="AY28" i="1" s="1"/>
  <c r="AY43" i="1" s="1"/>
  <c r="AY20" i="1"/>
  <c r="AS27" i="1"/>
  <c r="AS28" i="1" s="1"/>
  <c r="AS43" i="1" s="1"/>
  <c r="AS20" i="1"/>
  <c r="H26" i="23"/>
  <c r="H14" i="23"/>
  <c r="G47" i="20"/>
  <c r="H45" i="20" s="1"/>
  <c r="H16" i="23" l="1"/>
  <c r="H17" i="23" s="1"/>
  <c r="I23" i="23"/>
  <c r="H28" i="20"/>
  <c r="H29" i="20" s="1"/>
  <c r="H44" i="20" s="1"/>
  <c r="H18" i="20"/>
  <c r="AS46" i="1"/>
  <c r="AT44" i="1" s="1"/>
  <c r="AT46" i="1" s="1"/>
  <c r="AU44" i="1" s="1"/>
  <c r="AU46" i="1" s="1"/>
  <c r="AV44" i="1" s="1"/>
  <c r="AV46" i="1" s="1"/>
  <c r="AW44" i="1" s="1"/>
  <c r="AW46" i="1" s="1"/>
  <c r="AX44" i="1" s="1"/>
  <c r="AX46" i="1" s="1"/>
  <c r="AY44" i="1" s="1"/>
  <c r="AY46" i="1" s="1"/>
  <c r="AZ44" i="1" s="1"/>
  <c r="AZ46" i="1" s="1"/>
  <c r="BA44" i="1" s="1"/>
  <c r="BA46" i="1" s="1"/>
  <c r="BB44" i="1" s="1"/>
  <c r="BB46" i="1" s="1"/>
  <c r="BC44" i="1" s="1"/>
  <c r="BC46" i="1" s="1"/>
  <c r="BD44" i="1" s="1"/>
  <c r="BD46" i="1" s="1"/>
  <c r="BE44" i="1" s="1"/>
  <c r="G20" i="23"/>
  <c r="BK19" i="1"/>
  <c r="BE19" i="1"/>
  <c r="BK27" i="1" l="1"/>
  <c r="BK28" i="1" s="1"/>
  <c r="BK43" i="1" s="1"/>
  <c r="BK20" i="1"/>
  <c r="BE27" i="1"/>
  <c r="BE28" i="1" s="1"/>
  <c r="BE43" i="1" s="1"/>
  <c r="BE46" i="1" s="1"/>
  <c r="BF44" i="1" s="1"/>
  <c r="BF46" i="1" s="1"/>
  <c r="BG44" i="1" s="1"/>
  <c r="BG46" i="1" s="1"/>
  <c r="BH44" i="1" s="1"/>
  <c r="BH46" i="1" s="1"/>
  <c r="BI44" i="1" s="1"/>
  <c r="BI46" i="1" s="1"/>
  <c r="BJ44" i="1" s="1"/>
  <c r="BJ46" i="1" s="1"/>
  <c r="BK44" i="1" s="1"/>
  <c r="BE20" i="1"/>
  <c r="H47" i="20"/>
  <c r="I45" i="20" s="1"/>
  <c r="I26" i="23"/>
  <c r="I14" i="23"/>
  <c r="H19" i="23"/>
  <c r="I17" i="20"/>
  <c r="I28" i="20" l="1"/>
  <c r="I29" i="20" s="1"/>
  <c r="I44" i="20" s="1"/>
  <c r="I18" i="20"/>
  <c r="J23" i="23"/>
  <c r="I16" i="23"/>
  <c r="I17" i="23" s="1"/>
  <c r="BW19" i="1"/>
  <c r="BQ19" i="1"/>
  <c r="H20" i="23"/>
  <c r="BK46" i="1"/>
  <c r="BL44" i="1" s="1"/>
  <c r="BL46" i="1" s="1"/>
  <c r="BM44" i="1" s="1"/>
  <c r="BM46" i="1" s="1"/>
  <c r="BN44" i="1" s="1"/>
  <c r="BN46" i="1" s="1"/>
  <c r="BO44" i="1" s="1"/>
  <c r="BO46" i="1" s="1"/>
  <c r="BP44" i="1" s="1"/>
  <c r="BP46" i="1" s="1"/>
  <c r="BQ44" i="1" s="1"/>
  <c r="BQ27" i="1" l="1"/>
  <c r="BQ28" i="1" s="1"/>
  <c r="BQ43" i="1" s="1"/>
  <c r="BQ46" i="1" s="1"/>
  <c r="BR44" i="1" s="1"/>
  <c r="BR46" i="1" s="1"/>
  <c r="BS44" i="1" s="1"/>
  <c r="BS46" i="1" s="1"/>
  <c r="BT44" i="1" s="1"/>
  <c r="BT46" i="1" s="1"/>
  <c r="BU44" i="1" s="1"/>
  <c r="BU46" i="1" s="1"/>
  <c r="BV44" i="1" s="1"/>
  <c r="BV46" i="1" s="1"/>
  <c r="BW44" i="1" s="1"/>
  <c r="BQ20" i="1"/>
  <c r="I19" i="23"/>
  <c r="J17" i="20"/>
  <c r="J26" i="23"/>
  <c r="J14" i="23"/>
  <c r="BW27" i="1"/>
  <c r="BW28" i="1" s="1"/>
  <c r="BW43" i="1" s="1"/>
  <c r="BW20" i="1"/>
  <c r="I47" i="20"/>
  <c r="J45" i="20" s="1"/>
  <c r="J16" i="23" l="1"/>
  <c r="J17" i="23" s="1"/>
  <c r="K23" i="23"/>
  <c r="J28" i="20"/>
  <c r="J29" i="20" s="1"/>
  <c r="J44" i="20" s="1"/>
  <c r="J47" i="20" s="1"/>
  <c r="K45" i="20" s="1"/>
  <c r="J18" i="20"/>
  <c r="BW46" i="1"/>
  <c r="BX44" i="1" s="1"/>
  <c r="BX46" i="1" s="1"/>
  <c r="BY44" i="1" s="1"/>
  <c r="BY46" i="1" s="1"/>
  <c r="BZ44" i="1" s="1"/>
  <c r="BZ46" i="1" s="1"/>
  <c r="CA44" i="1" s="1"/>
  <c r="CA46" i="1" s="1"/>
  <c r="CB44" i="1" s="1"/>
  <c r="CB46" i="1" s="1"/>
  <c r="CC44" i="1" s="1"/>
  <c r="I20" i="23"/>
  <c r="CC19" i="1"/>
  <c r="CI19" i="1"/>
  <c r="CI27" i="1" l="1"/>
  <c r="CI28" i="1" s="1"/>
  <c r="CI43" i="1" s="1"/>
  <c r="CI20" i="1"/>
  <c r="CC27" i="1"/>
  <c r="CC28" i="1" s="1"/>
  <c r="CC43" i="1" s="1"/>
  <c r="CC46" i="1" s="1"/>
  <c r="CD44" i="1" s="1"/>
  <c r="CD46" i="1" s="1"/>
  <c r="CE44" i="1" s="1"/>
  <c r="CE46" i="1" s="1"/>
  <c r="CF44" i="1" s="1"/>
  <c r="CF46" i="1" s="1"/>
  <c r="CG44" i="1" s="1"/>
  <c r="CG46" i="1" s="1"/>
  <c r="CH44" i="1" s="1"/>
  <c r="CH46" i="1" s="1"/>
  <c r="CI44" i="1" s="1"/>
  <c r="CC20" i="1"/>
  <c r="K26" i="23"/>
  <c r="K14" i="23"/>
  <c r="K17" i="20"/>
  <c r="J19" i="23"/>
  <c r="CO19" i="1" l="1"/>
  <c r="CU19" i="1"/>
  <c r="J20" i="23"/>
  <c r="K28" i="20"/>
  <c r="K29" i="20" s="1"/>
  <c r="K44" i="20" s="1"/>
  <c r="K47" i="20" s="1"/>
  <c r="L45" i="20" s="1"/>
  <c r="K18" i="20"/>
  <c r="K16" i="23"/>
  <c r="K17" i="23" s="1"/>
  <c r="L23" i="23"/>
  <c r="CI46" i="1"/>
  <c r="CJ44" i="1" s="1"/>
  <c r="CJ46" i="1" s="1"/>
  <c r="CK44" i="1" s="1"/>
  <c r="CK46" i="1" s="1"/>
  <c r="CL44" i="1" s="1"/>
  <c r="CL46" i="1" s="1"/>
  <c r="CM44" i="1" s="1"/>
  <c r="CM46" i="1" s="1"/>
  <c r="CN44" i="1" s="1"/>
  <c r="CN46" i="1" s="1"/>
  <c r="CO44" i="1" s="1"/>
  <c r="L26" i="23" l="1"/>
  <c r="L14" i="23"/>
  <c r="K19" i="23"/>
  <c r="L17" i="20"/>
  <c r="CU27" i="1"/>
  <c r="CU28" i="1" s="1"/>
  <c r="CU43" i="1" s="1"/>
  <c r="CU20" i="1"/>
  <c r="CO27" i="1"/>
  <c r="CO28" i="1" s="1"/>
  <c r="CO43" i="1" s="1"/>
  <c r="CO46" i="1" s="1"/>
  <c r="CP44" i="1" s="1"/>
  <c r="CP46" i="1" s="1"/>
  <c r="CQ44" i="1" s="1"/>
  <c r="CQ46" i="1" s="1"/>
  <c r="CR44" i="1" s="1"/>
  <c r="CR46" i="1" s="1"/>
  <c r="CS44" i="1" s="1"/>
  <c r="CS46" i="1" s="1"/>
  <c r="CT44" i="1" s="1"/>
  <c r="CT46" i="1" s="1"/>
  <c r="CU44" i="1" s="1"/>
  <c r="CO20" i="1"/>
  <c r="L16" i="23" l="1"/>
  <c r="L17" i="23" s="1"/>
  <c r="M17" i="20" s="1"/>
  <c r="CU46" i="1"/>
  <c r="CV44" i="1" s="1"/>
  <c r="CV46" i="1" s="1"/>
  <c r="CW44" i="1" s="1"/>
  <c r="CW46" i="1" s="1"/>
  <c r="CX44" i="1" s="1"/>
  <c r="CX46" i="1" s="1"/>
  <c r="CY44" i="1" s="1"/>
  <c r="CY46" i="1" s="1"/>
  <c r="CZ44" i="1" s="1"/>
  <c r="CZ46" i="1" s="1"/>
  <c r="DA44" i="1" s="1"/>
  <c r="L28" i="20"/>
  <c r="L29" i="20" s="1"/>
  <c r="L44" i="20" s="1"/>
  <c r="L47" i="20" s="1"/>
  <c r="M45" i="20" s="1"/>
  <c r="L18" i="20"/>
  <c r="K20" i="23"/>
  <c r="DG19" i="1"/>
  <c r="DA19" i="1"/>
  <c r="L19" i="23" l="1"/>
  <c r="L20" i="23" s="1"/>
  <c r="DG27" i="1"/>
  <c r="DG28" i="1" s="1"/>
  <c r="DG43" i="1" s="1"/>
  <c r="DG20" i="1"/>
  <c r="M28" i="20"/>
  <c r="M29" i="20" s="1"/>
  <c r="M44" i="20" s="1"/>
  <c r="C54" i="20" s="1"/>
  <c r="M18" i="20"/>
  <c r="DA27" i="1"/>
  <c r="DA28" i="1" s="1"/>
  <c r="DA43" i="1" s="1"/>
  <c r="DA46" i="1" s="1"/>
  <c r="DB44" i="1" s="1"/>
  <c r="DB46" i="1" s="1"/>
  <c r="DC44" i="1" s="1"/>
  <c r="DC46" i="1" s="1"/>
  <c r="DD44" i="1" s="1"/>
  <c r="DD46" i="1" s="1"/>
  <c r="DE44" i="1" s="1"/>
  <c r="DE46" i="1" s="1"/>
  <c r="DF44" i="1" s="1"/>
  <c r="DF46" i="1" s="1"/>
  <c r="DG44" i="1" s="1"/>
  <c r="DA20" i="1"/>
  <c r="DM19" i="1" l="1"/>
  <c r="DM20" i="1" s="1"/>
  <c r="DS19" i="1"/>
  <c r="DS27" i="1" s="1"/>
  <c r="DS28" i="1" s="1"/>
  <c r="DS43" i="1" s="1"/>
  <c r="M47" i="20"/>
  <c r="DG46" i="1"/>
  <c r="DH44" i="1" s="1"/>
  <c r="DH46" i="1" s="1"/>
  <c r="DI44" i="1" s="1"/>
  <c r="DI46" i="1" s="1"/>
  <c r="DJ44" i="1" s="1"/>
  <c r="DJ46" i="1" s="1"/>
  <c r="DK44" i="1" s="1"/>
  <c r="DK46" i="1" s="1"/>
  <c r="DL44" i="1" s="1"/>
  <c r="DL46" i="1" s="1"/>
  <c r="DM44" i="1" s="1"/>
  <c r="DS20" i="1" l="1"/>
  <c r="DM27" i="1"/>
  <c r="DM28" i="1" s="1"/>
  <c r="DM43" i="1" s="1"/>
  <c r="DM46" i="1" s="1"/>
  <c r="DN44" i="1" s="1"/>
  <c r="DN46" i="1" s="1"/>
  <c r="DO44" i="1" s="1"/>
  <c r="DO46" i="1" s="1"/>
  <c r="DP44" i="1" s="1"/>
  <c r="DP46" i="1" s="1"/>
  <c r="DQ44" i="1" s="1"/>
  <c r="DQ46" i="1" s="1"/>
  <c r="DR44" i="1" s="1"/>
  <c r="DR46" i="1" s="1"/>
  <c r="DS44" i="1" s="1"/>
  <c r="DS46" i="1" s="1"/>
  <c r="C55" i="20" s="1"/>
  <c r="C56" i="20" l="1"/>
  <c r="D4" i="103" l="1"/>
  <c r="G31" i="103" l="1"/>
  <c r="C28" i="104" s="1"/>
  <c r="E28" i="104" s="1"/>
  <c r="G35" i="103"/>
  <c r="C32" i="104" s="1"/>
  <c r="E32" i="104" s="1"/>
  <c r="G34" i="103"/>
  <c r="C31" i="104" s="1"/>
  <c r="G32" i="103"/>
  <c r="C29" i="104" s="1"/>
  <c r="E29" i="104" s="1"/>
  <c r="G43" i="103"/>
  <c r="C36" i="104" s="1"/>
  <c r="K29" i="104" l="1"/>
  <c r="K48" i="104" s="1"/>
  <c r="G29" i="104"/>
  <c r="M29" i="104"/>
  <c r="M48" i="104" s="1"/>
  <c r="I29" i="104"/>
  <c r="I48" i="104" s="1"/>
  <c r="L29" i="104"/>
  <c r="L48" i="104" s="1"/>
  <c r="H29" i="104"/>
  <c r="H48" i="104" s="1"/>
  <c r="J29" i="104"/>
  <c r="J48" i="104" s="1"/>
  <c r="I28" i="104"/>
  <c r="L28" i="104"/>
  <c r="G28" i="104"/>
  <c r="M28" i="104"/>
  <c r="K28" i="104"/>
  <c r="H28" i="104"/>
  <c r="J32" i="104"/>
  <c r="J64" i="104" s="1"/>
  <c r="F32" i="104"/>
  <c r="F64" i="104" s="1"/>
  <c r="J28" i="104"/>
  <c r="H32" i="104"/>
  <c r="H64" i="104" s="1"/>
  <c r="M32" i="104"/>
  <c r="M64" i="104" s="1"/>
  <c r="C64" i="104"/>
  <c r="G32" i="104"/>
  <c r="G64" i="104" s="1"/>
  <c r="I32" i="104"/>
  <c r="I64" i="104" s="1"/>
  <c r="K32" i="104"/>
  <c r="K64" i="104" s="1"/>
  <c r="E64" i="104"/>
  <c r="L32" i="104"/>
  <c r="L64" i="104" s="1"/>
  <c r="F29" i="104"/>
  <c r="F48" i="104" s="1"/>
  <c r="E48" i="104"/>
  <c r="G48" i="104"/>
  <c r="D29" i="104"/>
  <c r="C48" i="104"/>
  <c r="C52" i="104"/>
  <c r="H31" i="104"/>
  <c r="H52" i="104" s="1"/>
  <c r="E31" i="104"/>
  <c r="E52" i="104" s="1"/>
  <c r="F31" i="104"/>
  <c r="F52" i="104" s="1"/>
  <c r="J31" i="104"/>
  <c r="J52" i="104" s="1"/>
  <c r="L31" i="104"/>
  <c r="L52" i="104" s="1"/>
  <c r="M31" i="104"/>
  <c r="M52" i="104" s="1"/>
  <c r="D31" i="104"/>
  <c r="G31" i="104"/>
  <c r="G52" i="104" s="1"/>
  <c r="I31" i="104"/>
  <c r="I52" i="104" s="1"/>
  <c r="K31" i="104"/>
  <c r="K52" i="104" s="1"/>
  <c r="I36" i="104"/>
  <c r="I60" i="104" s="1"/>
  <c r="E36" i="104"/>
  <c r="E60" i="104" s="1"/>
  <c r="D36" i="104"/>
  <c r="J36" i="104"/>
  <c r="J60" i="104" s="1"/>
  <c r="F36" i="104"/>
  <c r="F60" i="104" s="1"/>
  <c r="H36" i="104"/>
  <c r="H60" i="104" s="1"/>
  <c r="L36" i="104"/>
  <c r="L60" i="104" s="1"/>
  <c r="M36" i="104"/>
  <c r="M60" i="104" s="1"/>
  <c r="G36" i="104"/>
  <c r="G60" i="104" s="1"/>
  <c r="C60" i="104"/>
  <c r="K36" i="104"/>
  <c r="K60" i="104" s="1"/>
  <c r="C44" i="104"/>
  <c r="F28" i="104"/>
  <c r="D28" i="104"/>
  <c r="G38" i="103"/>
  <c r="G40" i="103" s="1"/>
  <c r="G39" i="103" s="1"/>
  <c r="C35" i="104" s="1"/>
  <c r="G19" i="103"/>
  <c r="G41" i="103"/>
  <c r="C34" i="104" s="1"/>
  <c r="E34" i="104" s="1"/>
  <c r="E35" i="104" l="1"/>
  <c r="E72" i="104" s="1"/>
  <c r="C72" i="104"/>
  <c r="I35" i="104"/>
  <c r="I72" i="104" s="1"/>
  <c r="F35" i="104"/>
  <c r="H35" i="104"/>
  <c r="G35" i="104"/>
  <c r="F34" i="104"/>
  <c r="F56" i="104" s="1"/>
  <c r="J34" i="104"/>
  <c r="J56" i="104" s="1"/>
  <c r="M34" i="104"/>
  <c r="I34" i="104"/>
  <c r="I56" i="104" s="1"/>
  <c r="L34" i="104"/>
  <c r="L56" i="104" s="1"/>
  <c r="H34" i="104"/>
  <c r="H56" i="104" s="1"/>
  <c r="K34" i="104"/>
  <c r="K56" i="104" s="1"/>
  <c r="E66" i="104"/>
  <c r="E65" i="104"/>
  <c r="L66" i="104"/>
  <c r="L65" i="104"/>
  <c r="G66" i="104"/>
  <c r="G65" i="104"/>
  <c r="K65" i="104"/>
  <c r="K66" i="104"/>
  <c r="M66" i="104"/>
  <c r="M65" i="104"/>
  <c r="J65" i="104"/>
  <c r="J66" i="104"/>
  <c r="I66" i="104"/>
  <c r="I65" i="104"/>
  <c r="F65" i="104"/>
  <c r="F66" i="104"/>
  <c r="H65" i="104"/>
  <c r="H66" i="104"/>
  <c r="I44" i="104"/>
  <c r="K61" i="104"/>
  <c r="K62" i="104"/>
  <c r="L53" i="104"/>
  <c r="L54" i="104"/>
  <c r="K44" i="104"/>
  <c r="E44" i="104"/>
  <c r="H62" i="104"/>
  <c r="H61" i="104"/>
  <c r="E61" i="104"/>
  <c r="E62" i="104"/>
  <c r="G54" i="104"/>
  <c r="G53" i="104"/>
  <c r="J54" i="104"/>
  <c r="J53" i="104"/>
  <c r="K49" i="104"/>
  <c r="K50" i="104"/>
  <c r="J49" i="104"/>
  <c r="J50" i="104"/>
  <c r="G44" i="104"/>
  <c r="H44" i="104"/>
  <c r="F61" i="104"/>
  <c r="F62" i="104"/>
  <c r="F53" i="104"/>
  <c r="F54" i="104"/>
  <c r="I49" i="104"/>
  <c r="I50" i="104"/>
  <c r="G50" i="104"/>
  <c r="G49" i="104"/>
  <c r="L50" i="104"/>
  <c r="L49" i="104"/>
  <c r="J44" i="104"/>
  <c r="G62" i="104"/>
  <c r="G61" i="104"/>
  <c r="I61" i="104"/>
  <c r="I62" i="104"/>
  <c r="F44" i="104"/>
  <c r="M44" i="104"/>
  <c r="M62" i="104"/>
  <c r="M61" i="104"/>
  <c r="J61" i="104"/>
  <c r="J62" i="104"/>
  <c r="K54" i="104"/>
  <c r="K53" i="104"/>
  <c r="M54" i="104"/>
  <c r="M53" i="104"/>
  <c r="E54" i="104"/>
  <c r="E53" i="104"/>
  <c r="E49" i="104"/>
  <c r="E50" i="104"/>
  <c r="F50" i="104"/>
  <c r="F49" i="104"/>
  <c r="E56" i="104"/>
  <c r="M56" i="104"/>
  <c r="C56" i="104"/>
  <c r="D34" i="104"/>
  <c r="D38" i="104" s="1"/>
  <c r="G34" i="104"/>
  <c r="G56" i="104" s="1"/>
  <c r="L44" i="104"/>
  <c r="L61" i="104"/>
  <c r="L62" i="104"/>
  <c r="I54" i="104"/>
  <c r="I53" i="104"/>
  <c r="H53" i="104"/>
  <c r="H54" i="104"/>
  <c r="H49" i="104"/>
  <c r="H50" i="104"/>
  <c r="M50" i="104"/>
  <c r="M49" i="104"/>
  <c r="G42" i="103"/>
  <c r="K35" i="104" l="1"/>
  <c r="K72" i="104" s="1"/>
  <c r="F72" i="104"/>
  <c r="E74" i="104"/>
  <c r="E73" i="104"/>
  <c r="I74" i="104"/>
  <c r="I73" i="104"/>
  <c r="L35" i="104"/>
  <c r="L72" i="104" s="1"/>
  <c r="G72" i="104"/>
  <c r="J35" i="104"/>
  <c r="J72" i="104" s="1"/>
  <c r="M35" i="104"/>
  <c r="M72" i="104" s="1"/>
  <c r="H72" i="104"/>
  <c r="L45" i="104"/>
  <c r="L46" i="104"/>
  <c r="M58" i="104"/>
  <c r="M57" i="104"/>
  <c r="G57" i="104"/>
  <c r="G58" i="104"/>
  <c r="K58" i="104"/>
  <c r="K57" i="104"/>
  <c r="E57" i="104"/>
  <c r="E58" i="104"/>
  <c r="F45" i="104"/>
  <c r="F46" i="104"/>
  <c r="G38" i="104"/>
  <c r="K38" i="104"/>
  <c r="F57" i="104"/>
  <c r="F58" i="104"/>
  <c r="M38" i="104"/>
  <c r="G46" i="104"/>
  <c r="G45" i="104"/>
  <c r="K45" i="104"/>
  <c r="K46" i="104"/>
  <c r="L57" i="104"/>
  <c r="L58" i="104"/>
  <c r="L38" i="104"/>
  <c r="H57" i="104"/>
  <c r="H58" i="104"/>
  <c r="J57" i="104"/>
  <c r="J58" i="104"/>
  <c r="M46" i="104"/>
  <c r="M45" i="104"/>
  <c r="H38" i="104"/>
  <c r="E38" i="104"/>
  <c r="I38" i="104"/>
  <c r="I58" i="104"/>
  <c r="I57" i="104"/>
  <c r="F38" i="104"/>
  <c r="G44" i="103" s="1"/>
  <c r="G46" i="103" s="1"/>
  <c r="J45" i="104"/>
  <c r="J46" i="104"/>
  <c r="H45" i="104"/>
  <c r="H46" i="104"/>
  <c r="E46" i="104"/>
  <c r="E45" i="104"/>
  <c r="I46" i="104"/>
  <c r="I45" i="104"/>
  <c r="E81" i="104" l="1"/>
  <c r="E82" i="104"/>
  <c r="I81" i="104"/>
  <c r="I82" i="104"/>
  <c r="G74" i="104"/>
  <c r="G82" i="104" s="1"/>
  <c r="G73" i="104"/>
  <c r="G81" i="104" s="1"/>
  <c r="J73" i="104"/>
  <c r="J81" i="104" s="1"/>
  <c r="J74" i="104"/>
  <c r="J82" i="104" s="1"/>
  <c r="H74" i="104"/>
  <c r="H82" i="104" s="1"/>
  <c r="H73" i="104"/>
  <c r="H81" i="104" s="1"/>
  <c r="L74" i="104"/>
  <c r="L82" i="104" s="1"/>
  <c r="L73" i="104"/>
  <c r="L81" i="104" s="1"/>
  <c r="J38" i="104"/>
  <c r="M74" i="104"/>
  <c r="M82" i="104" s="1"/>
  <c r="M73" i="104"/>
  <c r="M81" i="104" s="1"/>
  <c r="F73" i="104"/>
  <c r="F81" i="104" s="1"/>
  <c r="F74" i="104"/>
  <c r="F82" i="104" s="1"/>
  <c r="K74" i="104"/>
  <c r="K82" i="104" s="1"/>
  <c r="K73" i="104"/>
  <c r="K81" i="104" s="1"/>
  <c r="G45" i="103"/>
  <c r="G7" i="103"/>
  <c r="G17" i="103" l="1"/>
  <c r="F47" i="103"/>
  <c r="G47" i="103" s="1"/>
  <c r="G18" i="103" l="1"/>
  <c r="G16" i="103"/>
</calcChain>
</file>

<file path=xl/comments1.xml><?xml version="1.0" encoding="utf-8"?>
<comments xmlns="http://schemas.openxmlformats.org/spreadsheetml/2006/main">
  <authors>
    <author>Jimm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Includes feed for nursery tanks and cages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Includes workboat, barge, double cab and small tractor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Fingerlings purchased for first year after which fingerlings are produced at the hatchery.</t>
        </r>
      </text>
    </comment>
  </commentList>
</comments>
</file>

<file path=xl/comments2.xml><?xml version="1.0" encoding="utf-8"?>
<comments xmlns="http://schemas.openxmlformats.org/spreadsheetml/2006/main">
  <authors>
    <author>Alexia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Alexia:</t>
        </r>
        <r>
          <rPr>
            <sz val="9"/>
            <color indexed="81"/>
            <rFont val="Tahoma"/>
            <family val="2"/>
          </rPr>
          <t xml:space="preserve">
Will vary depending on location</t>
        </r>
      </text>
    </comment>
  </commentList>
</comments>
</file>

<file path=xl/comments3.xml><?xml version="1.0" encoding="utf-8"?>
<comments xmlns="http://schemas.openxmlformats.org/spreadsheetml/2006/main">
  <authors>
    <author>Jimm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Insert from CAPEX sheet. Formula. Make equal to "Current Value". If number is inserted does it account for inflation. </t>
        </r>
      </text>
    </comment>
  </commentList>
</comments>
</file>

<file path=xl/comments4.xml><?xml version="1.0" encoding="utf-8"?>
<comments xmlns="http://schemas.openxmlformats.org/spreadsheetml/2006/main">
  <authors>
    <author>Jimm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Fish in RAS quarantine tanks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Fish in RAS quarantine system</t>
        </r>
      </text>
    </comment>
  </commentList>
</comments>
</file>

<file path=xl/comments5.xml><?xml version="1.0" encoding="utf-8"?>
<comments xmlns="http://schemas.openxmlformats.org/spreadsheetml/2006/main">
  <authors>
    <author>Jimm</author>
  </authors>
  <commentList>
    <comment ref="O9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Fingerlings supplied by separate hatchery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Fish transferred to cages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Fish transferred to cages</t>
        </r>
      </text>
    </comment>
    <comment ref="X11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Fish transferred to cages</t>
        </r>
      </text>
    </comment>
    <comment ref="AA12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Fish transferred to cages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Excluding broodstock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Tank volume (m3)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Stocking density (kg/m3)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Cage volume (m3)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Stocking density (kg/m3)</t>
        </r>
      </text>
    </comment>
  </commentList>
</comments>
</file>

<file path=xl/comments6.xml><?xml version="1.0" encoding="utf-8"?>
<comments xmlns="http://schemas.openxmlformats.org/spreadsheetml/2006/main">
  <authors>
    <author>Jimm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Assume maximum two broodstock quarantined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At 1500mg/L Waste Discharge, Microscreen Filter</t>
        </r>
      </text>
    </comment>
  </commentList>
</comments>
</file>

<file path=xl/comments7.xml><?xml version="1.0" encoding="utf-8"?>
<comments xmlns="http://schemas.openxmlformats.org/spreadsheetml/2006/main">
  <authors>
    <author>Jimm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Jimm:</t>
        </r>
        <r>
          <rPr>
            <sz val="9"/>
            <color indexed="81"/>
            <rFont val="Tahoma"/>
            <family val="2"/>
          </rPr>
          <t xml:space="preserve">
Difficult to quantify in the absence of a defined geographic location</t>
        </r>
      </text>
    </comment>
  </commentList>
</comments>
</file>

<file path=xl/sharedStrings.xml><?xml version="1.0" encoding="utf-8"?>
<sst xmlns="http://schemas.openxmlformats.org/spreadsheetml/2006/main" count="4151" uniqueCount="1474">
  <si>
    <t>Sales</t>
  </si>
  <si>
    <t>Accounting Fees</t>
  </si>
  <si>
    <t>Audit fees</t>
  </si>
  <si>
    <t>Bank Charges</t>
  </si>
  <si>
    <t>Courier Freight &amp; Postage</t>
  </si>
  <si>
    <t>Entertainment Expenses</t>
  </si>
  <si>
    <t>Printing &amp; Stationery</t>
  </si>
  <si>
    <t>Subscriptions</t>
  </si>
  <si>
    <t>Telephone &amp; Fax</t>
  </si>
  <si>
    <t>Travel &amp; Accommodation</t>
  </si>
  <si>
    <t>Depreciation Method</t>
  </si>
  <si>
    <t>Goodwill &amp; Intangibles Amortization</t>
  </si>
  <si>
    <t>PP&amp;E Write-up</t>
  </si>
  <si>
    <t xml:space="preserve"> 0=SLN   1=Sum of Years </t>
  </si>
  <si>
    <t xml:space="preserve"> 0=Not Deductible   1=Tax Deductible</t>
  </si>
  <si>
    <t>Fair Value PP&amp;E</t>
  </si>
  <si>
    <t>Accumulated Depreciation</t>
  </si>
  <si>
    <t>Manual or Computed Depreciation</t>
  </si>
  <si>
    <t>Net PP&amp;E</t>
  </si>
  <si>
    <t xml:space="preserve"> 0=Manual   1=Computed</t>
  </si>
  <si>
    <t>Year</t>
  </si>
  <si>
    <t>Year No.</t>
  </si>
  <si>
    <t>Salvage</t>
  </si>
  <si>
    <t>Capex</t>
  </si>
  <si>
    <t>Useful Life</t>
  </si>
  <si>
    <t>Computed Depreciation</t>
  </si>
  <si>
    <t>Manual Depreciation</t>
  </si>
  <si>
    <t>Total Book Depreciation</t>
  </si>
  <si>
    <t>Period (Yrs)</t>
  </si>
  <si>
    <t>Amortization of Intangibles (incl Write-up)</t>
  </si>
  <si>
    <t>Impairment of Goodwill</t>
  </si>
  <si>
    <t>Total Cost (R)</t>
  </si>
  <si>
    <t>Amortization of Capitalized Financing Costs</t>
  </si>
  <si>
    <t>Net Income before Tax</t>
  </si>
  <si>
    <t>Pre-NOL Taxable Income</t>
  </si>
  <si>
    <t>Net Operating Loss'</t>
  </si>
  <si>
    <t>Less: NOLs Used</t>
  </si>
  <si>
    <t>Post-NOL Taxable Income</t>
  </si>
  <si>
    <t>Cash Taxes Payable</t>
  </si>
  <si>
    <t>Total Book Tax</t>
  </si>
  <si>
    <t>Current Year NOL</t>
  </si>
  <si>
    <t>NOLs Used</t>
  </si>
  <si>
    <t>Ending NOL Balance</t>
  </si>
  <si>
    <t>Projected Asset Sales:</t>
  </si>
  <si>
    <t>Estimated Sale Proceeds</t>
  </si>
  <si>
    <t>Book Basis of Assets</t>
  </si>
  <si>
    <t>Tax Basis of Assets</t>
  </si>
  <si>
    <t>Book Gain (Loss) on Sale</t>
  </si>
  <si>
    <t>Tax Gain (Loss) on Sale</t>
  </si>
  <si>
    <t>Allocation to Balance Sheet:</t>
  </si>
  <si>
    <t>EBITDA</t>
  </si>
  <si>
    <t>Assesed Loss to Date</t>
  </si>
  <si>
    <t>New debt</t>
  </si>
  <si>
    <t>Interest</t>
  </si>
  <si>
    <t>Ending Bal</t>
  </si>
  <si>
    <t>;</t>
  </si>
  <si>
    <t>Item</t>
  </si>
  <si>
    <t>Category</t>
  </si>
  <si>
    <t>Year of purchase</t>
  </si>
  <si>
    <t>Asset Categories</t>
  </si>
  <si>
    <t>Useful life</t>
  </si>
  <si>
    <t>Motor vehicles</t>
  </si>
  <si>
    <t>Furniture and fittings</t>
  </si>
  <si>
    <t>Other income</t>
  </si>
  <si>
    <t>VAT</t>
  </si>
  <si>
    <t>Buildings</t>
  </si>
  <si>
    <t>Turnover</t>
  </si>
  <si>
    <t>Price</t>
  </si>
  <si>
    <t>Gross PP&amp;E</t>
  </si>
  <si>
    <t>PP&amp;E:</t>
  </si>
  <si>
    <t>Other Long-Term Assets</t>
  </si>
  <si>
    <t>Bank Revolver</t>
  </si>
  <si>
    <t>Term Loan "A"</t>
  </si>
  <si>
    <t>Term Loan "B"</t>
  </si>
  <si>
    <t>20 years</t>
  </si>
  <si>
    <t>10 years</t>
  </si>
  <si>
    <t>Product mix</t>
  </si>
  <si>
    <t>Macro-economic Assumptions</t>
  </si>
  <si>
    <t>Biological Assumptions</t>
  </si>
  <si>
    <t>Balance brought forward</t>
  </si>
  <si>
    <t>Balance</t>
  </si>
  <si>
    <t>Protective clothing</t>
  </si>
  <si>
    <t>Market Assumptions</t>
  </si>
  <si>
    <t>Plant &amp; Equipment</t>
  </si>
  <si>
    <t>Change in Deferred Tax Liability</t>
  </si>
  <si>
    <t>Starting NOL Balance</t>
  </si>
  <si>
    <t>Current Debt</t>
  </si>
  <si>
    <t>Starting Bal</t>
  </si>
  <si>
    <t>ZAR:USD</t>
  </si>
  <si>
    <t>ZAR:EURO</t>
  </si>
  <si>
    <t>Rate of Inflation</t>
  </si>
  <si>
    <t>Corporate Tax Rate</t>
  </si>
  <si>
    <t>Finance costs</t>
  </si>
  <si>
    <t>Prime Interest Rate</t>
  </si>
  <si>
    <t>Prime interest rate</t>
  </si>
  <si>
    <t>Boats</t>
  </si>
  <si>
    <t>Value (ZAR)</t>
  </si>
  <si>
    <t>Floating structures</t>
  </si>
  <si>
    <t>5 years</t>
  </si>
  <si>
    <t>Consumables</t>
  </si>
  <si>
    <t>INCOME STATEMENT</t>
  </si>
  <si>
    <t>Revenue</t>
  </si>
  <si>
    <t>ZAR '000</t>
  </si>
  <si>
    <t>Note</t>
  </si>
  <si>
    <t>Depreciation and impairment expenses</t>
  </si>
  <si>
    <t>EBIT</t>
  </si>
  <si>
    <t>Finance income</t>
  </si>
  <si>
    <t>Profit before income tax</t>
  </si>
  <si>
    <t>Income tax expense</t>
  </si>
  <si>
    <t>Profit for the year</t>
  </si>
  <si>
    <t>CASHFLOW STATEMENT</t>
  </si>
  <si>
    <t>Cashflows from operating activities</t>
  </si>
  <si>
    <t>Payments to suppliers</t>
  </si>
  <si>
    <t>Income tax paid</t>
  </si>
  <si>
    <t>Net cash generated from operations</t>
  </si>
  <si>
    <t>Cashflows from investing activities</t>
  </si>
  <si>
    <t>Purchase of property, plant, equipment</t>
  </si>
  <si>
    <t>Proceeds from disposal of assets</t>
  </si>
  <si>
    <t>Net cash from investing activities</t>
  </si>
  <si>
    <t>Cashflows from financing activities</t>
  </si>
  <si>
    <t>Net cash from financing activities</t>
  </si>
  <si>
    <t>Proceeds from borrowings</t>
  </si>
  <si>
    <t>Repayment of borrowings</t>
  </si>
  <si>
    <t>Interest and financing costs paid</t>
  </si>
  <si>
    <t>Interest received</t>
  </si>
  <si>
    <t>Dividends paid</t>
  </si>
  <si>
    <t>Net increase in cash and cash equivalents</t>
  </si>
  <si>
    <t>Cash and cash equivalents at 01 March</t>
  </si>
  <si>
    <t>Cash and cash equivalents at 28 Feb</t>
  </si>
  <si>
    <t>Exchange gains/(losses)</t>
  </si>
  <si>
    <t>Monthly Income Statement</t>
  </si>
  <si>
    <t>Production</t>
  </si>
  <si>
    <t>1. Revenue</t>
  </si>
  <si>
    <t>New product</t>
  </si>
  <si>
    <t>Sales Price</t>
  </si>
  <si>
    <t>Sales Revenue</t>
  </si>
  <si>
    <t>Asset register</t>
  </si>
  <si>
    <t>Current balance</t>
  </si>
  <si>
    <t>New deposits</t>
  </si>
  <si>
    <t>Interest earned</t>
  </si>
  <si>
    <t>Withdrawals</t>
  </si>
  <si>
    <t xml:space="preserve">Savings Account </t>
  </si>
  <si>
    <t>Interest rate</t>
  </si>
  <si>
    <t>Prime</t>
  </si>
  <si>
    <t>KEY ASSUMPTIONS TO THE FINANCIAL PROJECTIONS</t>
  </si>
  <si>
    <t>Turnover Tax</t>
  </si>
  <si>
    <t>First payment number for year</t>
  </si>
  <si>
    <t>Profit for the month</t>
  </si>
  <si>
    <t>Monthly Cashflow</t>
  </si>
  <si>
    <t>Cash and cash equivalents at month end</t>
  </si>
  <si>
    <t>Calculated repayment</t>
  </si>
  <si>
    <t>Cash and cash equivalents at start of month</t>
  </si>
  <si>
    <t>Monthly Financial Statements</t>
  </si>
  <si>
    <t>Grants received</t>
  </si>
  <si>
    <t>Repayment of capital</t>
  </si>
  <si>
    <t>Number of payments remaining</t>
  </si>
  <si>
    <t>Receipts from customers</t>
  </si>
  <si>
    <t>Capital Expenses F2015</t>
  </si>
  <si>
    <t>Directors Remuneration</t>
  </si>
  <si>
    <t>TOTAL SALARIES AND WAGES</t>
  </si>
  <si>
    <t>Product deliveries (x21T)</t>
  </si>
  <si>
    <t>Variable costs of production</t>
  </si>
  <si>
    <t>Overhead expenses</t>
  </si>
  <si>
    <t>Starting Bal 01Mar16</t>
  </si>
  <si>
    <t>Periods lapsed to date</t>
  </si>
  <si>
    <t>Equity investment received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</si>
  <si>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</si>
  <si>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</si>
  <si>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</si>
  <si>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</si>
  <si>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</si>
  <si>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</si>
  <si>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</si>
  <si>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</si>
  <si>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</si>
  <si>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</si>
  <si>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</si>
  <si>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</si>
  <si>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Sales costs</t>
  </si>
  <si>
    <t>2. Sales Costs</t>
  </si>
  <si>
    <t>3. Variable Costs of Production</t>
  </si>
  <si>
    <t>9. Capital Expenditure</t>
  </si>
  <si>
    <t>8. Income Tax</t>
  </si>
  <si>
    <t>7. Finance Costs</t>
  </si>
  <si>
    <t>6. Finance Income</t>
  </si>
  <si>
    <t>5. Depreciation</t>
  </si>
  <si>
    <t>4. Overhead Expenses</t>
  </si>
  <si>
    <t>Feed logistics</t>
  </si>
  <si>
    <t xml:space="preserve">Processing </t>
  </si>
  <si>
    <t>Electricity</t>
  </si>
  <si>
    <t>Salaries and wages</t>
  </si>
  <si>
    <t>Training</t>
  </si>
  <si>
    <t>Facility R&amp;M</t>
  </si>
  <si>
    <t>Small equipment</t>
  </si>
  <si>
    <t>Grow-out</t>
  </si>
  <si>
    <t>Hatchery and Nursery</t>
  </si>
  <si>
    <t>Hatchery consumables</t>
  </si>
  <si>
    <t>Repairs and maintenance</t>
  </si>
  <si>
    <t>Laboratory and Environmental</t>
  </si>
  <si>
    <t>External sample testing</t>
  </si>
  <si>
    <t>Rate</t>
  </si>
  <si>
    <t>Human Resources</t>
  </si>
  <si>
    <t>Processing Manager</t>
  </si>
  <si>
    <t>Grade</t>
  </si>
  <si>
    <t>EX1</t>
  </si>
  <si>
    <t>Quality Controller</t>
  </si>
  <si>
    <t>Technician</t>
  </si>
  <si>
    <t>Qty</t>
  </si>
  <si>
    <t>Team Leaders</t>
  </si>
  <si>
    <t>General Workers</t>
  </si>
  <si>
    <t>M2</t>
  </si>
  <si>
    <t>E4L</t>
  </si>
  <si>
    <t>E4U</t>
  </si>
  <si>
    <t>E3</t>
  </si>
  <si>
    <t>E2</t>
  </si>
  <si>
    <t>Senior Executive</t>
  </si>
  <si>
    <t>Executive</t>
  </si>
  <si>
    <t>M1</t>
  </si>
  <si>
    <t>Senior Management</t>
  </si>
  <si>
    <t>E1</t>
  </si>
  <si>
    <t>Employee level 1</t>
  </si>
  <si>
    <t>Employee level 2</t>
  </si>
  <si>
    <t>Employee level 3</t>
  </si>
  <si>
    <t>Employee level 4</t>
  </si>
  <si>
    <t>Position</t>
  </si>
  <si>
    <t>EX2</t>
  </si>
  <si>
    <t>Med. Aid</t>
  </si>
  <si>
    <t>PAYE</t>
  </si>
  <si>
    <t>Bonus Prov.</t>
  </si>
  <si>
    <t>Gross Salary</t>
  </si>
  <si>
    <t xml:space="preserve">Tax Table </t>
  </si>
  <si>
    <t>Annual Tax Credit</t>
  </si>
  <si>
    <t>Monthly Tax Credit</t>
  </si>
  <si>
    <t>Annual Income subject to 22%  &lt;</t>
  </si>
  <si>
    <t>Monthly Income subject to 22% &lt;</t>
  </si>
  <si>
    <t>Annual Income subject to 35% &gt;</t>
  </si>
  <si>
    <t>Monthly Income subject to 35% &gt;</t>
  </si>
  <si>
    <t>CTC Salary</t>
  </si>
  <si>
    <t>Net Salary</t>
  </si>
  <si>
    <t>Processing</t>
  </si>
  <si>
    <t>Production Manager</t>
  </si>
  <si>
    <t>GO Supervisor</t>
  </si>
  <si>
    <t>Supervisor</t>
  </si>
  <si>
    <t>Lab Technicians</t>
  </si>
  <si>
    <t>Admin Officers</t>
  </si>
  <si>
    <t>Workshop Supervisor</t>
  </si>
  <si>
    <t>Cleaners</t>
  </si>
  <si>
    <t>Receptionist/other</t>
  </si>
  <si>
    <t>Total feed required for month (kg)</t>
  </si>
  <si>
    <t>Production (from detailed bioplan)</t>
  </si>
  <si>
    <t>Comment</t>
  </si>
  <si>
    <t>Ave. Price FOB:</t>
  </si>
  <si>
    <t>Cost component</t>
  </si>
  <si>
    <t>Collection Factory</t>
  </si>
  <si>
    <t>Inland freight to port</t>
  </si>
  <si>
    <t>Freight cost per kg:</t>
  </si>
  <si>
    <t>Agency (1.5% + R450 documents)</t>
  </si>
  <si>
    <t>Effective price ZAR / Kg</t>
  </si>
  <si>
    <t>Computer/IT Expenses</t>
  </si>
  <si>
    <t>Protective clothing (admin)</t>
  </si>
  <si>
    <t>Repairs &amp; Maintenance (offices)</t>
  </si>
  <si>
    <t>Training (admin)</t>
  </si>
  <si>
    <t>OH Expenses</t>
  </si>
  <si>
    <t>Salaries and Wages (admin)</t>
  </si>
  <si>
    <t>Health and Safety inspections</t>
  </si>
  <si>
    <t>Legal costs</t>
  </si>
  <si>
    <t>Marketing / advertising costs</t>
  </si>
  <si>
    <t>Security</t>
  </si>
  <si>
    <t>CSI costs</t>
  </si>
  <si>
    <t>Processing consumables</t>
  </si>
  <si>
    <t>Certification/audit</t>
  </si>
  <si>
    <t>Veterinary services</t>
  </si>
  <si>
    <t>4 years</t>
  </si>
  <si>
    <t>Lab equipment</t>
  </si>
  <si>
    <t>Budgets ex-vat</t>
  </si>
  <si>
    <t>ANALYSIS</t>
  </si>
  <si>
    <t>Financial indicators</t>
  </si>
  <si>
    <t>Discount rate</t>
  </si>
  <si>
    <t>Max working capital req. (R '000)</t>
  </si>
  <si>
    <r>
      <t xml:space="preserve">Production Plan      </t>
    </r>
    <r>
      <rPr>
        <sz val="16"/>
        <color theme="3" tint="-0.249977111117893"/>
        <rFont val="Segoe UI"/>
        <family val="2"/>
      </rPr>
      <t xml:space="preserve"> (see detailed bioplan)</t>
    </r>
  </si>
  <si>
    <t>Weighted Average Cost of Capital</t>
  </si>
  <si>
    <t>Low</t>
  </si>
  <si>
    <t>High</t>
  </si>
  <si>
    <t>Midpoint</t>
  </si>
  <si>
    <t>Country Risk Premium (CRP)</t>
  </si>
  <si>
    <t>Equity Market Risk Premium (EMRP)</t>
  </si>
  <si>
    <r>
      <t>Beta (</t>
    </r>
    <r>
      <rPr>
        <sz val="12"/>
        <rFont val="Calibri"/>
        <family val="2"/>
      </rPr>
      <t>Β</t>
    </r>
    <r>
      <rPr>
        <sz val="10.199999999999999"/>
        <rFont val="Calibri"/>
        <family val="2"/>
      </rPr>
      <t>)</t>
    </r>
  </si>
  <si>
    <t>Small Stock Premium (SSP)</t>
  </si>
  <si>
    <r>
      <t>Specific risk premium (</t>
    </r>
    <r>
      <rPr>
        <sz val="12"/>
        <rFont val="Calibri"/>
        <family val="2"/>
      </rPr>
      <t>α</t>
    </r>
    <r>
      <rPr>
        <sz val="10.199999999999999"/>
        <rFont val="Calibri"/>
        <family val="2"/>
      </rPr>
      <t>)</t>
    </r>
  </si>
  <si>
    <t>Cost of Equity (Ke)</t>
  </si>
  <si>
    <t>Tax Rate (T)</t>
  </si>
  <si>
    <t>Post-Tax Cost of Debt (Kd)</t>
  </si>
  <si>
    <t>Capital Structure</t>
  </si>
  <si>
    <t>% equity</t>
  </si>
  <si>
    <t>% debt</t>
  </si>
  <si>
    <t>Discount rate for NPV Calculation</t>
  </si>
  <si>
    <t>Managing Director</t>
  </si>
  <si>
    <t>Financial Director</t>
  </si>
  <si>
    <t>Summary Bioplan</t>
  </si>
  <si>
    <t>Income Received (60 days)</t>
  </si>
  <si>
    <t>Other income/fair value adjustments</t>
  </si>
  <si>
    <t>Int. export consignment size (Kg)</t>
  </si>
  <si>
    <t>Local product invoiced</t>
  </si>
  <si>
    <t>Int. product invoiced</t>
  </si>
  <si>
    <t>Income Received (90 days)</t>
  </si>
  <si>
    <t>Income Received (30 days)</t>
  </si>
  <si>
    <t>Int. sales costs</t>
  </si>
  <si>
    <t>Inflation rate SA</t>
  </si>
  <si>
    <t>R&amp;M Schedule</t>
  </si>
  <si>
    <t xml:space="preserve">1. Workboats: Fuel and R&amp;M </t>
  </si>
  <si>
    <t>Operation</t>
  </si>
  <si>
    <t>Detail</t>
  </si>
  <si>
    <t>Ave. trips/mnth</t>
  </si>
  <si>
    <t>Vessel</t>
  </si>
  <si>
    <t>Details</t>
  </si>
  <si>
    <t>Units</t>
  </si>
  <si>
    <t>Distance travelled</t>
  </si>
  <si>
    <t>Work speed (km/h)</t>
  </si>
  <si>
    <t>Efficency %</t>
  </si>
  <si>
    <t>Work hours</t>
  </si>
  <si>
    <t>Fuel L/Hr.</t>
  </si>
  <si>
    <t>Total fuel (L)</t>
  </si>
  <si>
    <t>Vessel R&amp;M @ % of fuel</t>
  </si>
  <si>
    <t>Total cost / trip</t>
  </si>
  <si>
    <t>Total fuel cost/mnth</t>
  </si>
  <si>
    <t>Total R&amp;M cost/mnth</t>
  </si>
  <si>
    <t>Total cost / mnth</t>
  </si>
  <si>
    <t>2. Vehicles: Fuel and R&amp;M</t>
  </si>
  <si>
    <t>Vehicle</t>
  </si>
  <si>
    <t>General use</t>
  </si>
  <si>
    <t>Capital Replacement Schedule</t>
  </si>
  <si>
    <t>Year of Purchase</t>
  </si>
  <si>
    <t>Lifespan</t>
  </si>
  <si>
    <t>Year for Replacement</t>
  </si>
  <si>
    <t>Petrol price:</t>
  </si>
  <si>
    <t>Diesel price:</t>
  </si>
  <si>
    <t>Fuel cost (ZAR)</t>
  </si>
  <si>
    <t>20T barge</t>
  </si>
  <si>
    <t>Workboat</t>
  </si>
  <si>
    <t>Small tractor</t>
  </si>
  <si>
    <t>Twincab</t>
  </si>
  <si>
    <t>R&amp;M @ 33% of fuel</t>
  </si>
  <si>
    <t>Generator 1</t>
  </si>
  <si>
    <t>Generator 2</t>
  </si>
  <si>
    <t>Total biomass (kg)</t>
  </si>
  <si>
    <t>6% devaluation p.a.</t>
  </si>
  <si>
    <t>Product deliveries (x1T)</t>
  </si>
  <si>
    <t>IRR</t>
  </si>
  <si>
    <t>Insurance (asset)</t>
  </si>
  <si>
    <t>Contingency</t>
  </si>
  <si>
    <t>Escalation</t>
  </si>
  <si>
    <t>Cash-flow check</t>
  </si>
  <si>
    <t>Vehicle running expenses</t>
  </si>
  <si>
    <t>Professional fees</t>
  </si>
  <si>
    <t>Starting Bal 01Mar15</t>
  </si>
  <si>
    <t>Periods</t>
  </si>
  <si>
    <t>Total interest payments</t>
  </si>
  <si>
    <t>Total capital payments</t>
  </si>
  <si>
    <t>Replacement Value</t>
  </si>
  <si>
    <t>Current Value (ZAR)</t>
  </si>
  <si>
    <r>
      <t xml:space="preserve">Provision for replacement of capital equipment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</si>
  <si>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Notes:</t>
  </si>
  <si>
    <t>1. See Capital Replacement Schedule tab</t>
  </si>
  <si>
    <t>at 6% per annum</t>
  </si>
  <si>
    <t>Risk Free Rate (Rf)</t>
  </si>
  <si>
    <t>Country Risk Adjusted Rate of Return</t>
  </si>
  <si>
    <t>Country risk adjusted cost of debt</t>
  </si>
  <si>
    <t>Cost of Debt</t>
  </si>
  <si>
    <t>Current book val.</t>
  </si>
  <si>
    <t>Financial Manager</t>
  </si>
  <si>
    <t>G1</t>
  </si>
  <si>
    <t>Cargo dues</t>
  </si>
  <si>
    <t>Release fees</t>
  </si>
  <si>
    <t>Documentation/courier/other</t>
  </si>
  <si>
    <t>Clearing at destination</t>
  </si>
  <si>
    <t>Road bond</t>
  </si>
  <si>
    <t>NPV (10 year)</t>
  </si>
  <si>
    <t>Food Safety Officer</t>
  </si>
  <si>
    <t>Laboratories and Environmental</t>
  </si>
  <si>
    <t>Environmental Officer</t>
  </si>
  <si>
    <t>Stakeholder Relations Manager</t>
  </si>
  <si>
    <t>Batch 1</t>
  </si>
  <si>
    <t>Batch 2</t>
  </si>
  <si>
    <t>Batch 3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</si>
  <si>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</si>
  <si>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</si>
  <si>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</si>
  <si>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</si>
  <si>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</si>
  <si>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</si>
  <si>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</si>
  <si>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</si>
  <si>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</si>
  <si>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Wholesale Product Inventory</t>
  </si>
  <si>
    <t>SA Product Inventory</t>
  </si>
  <si>
    <t>International Product Inventory</t>
  </si>
  <si>
    <t>Wholesale product consigned</t>
  </si>
  <si>
    <t>SA product consigned</t>
  </si>
  <si>
    <t>Exp. product consigned</t>
  </si>
  <si>
    <t>Batch:</t>
  </si>
  <si>
    <t>Stocking month:</t>
  </si>
  <si>
    <t>Stock weight (g)</t>
  </si>
  <si>
    <t>Harvest Weight</t>
  </si>
  <si>
    <t>Harvest (T LFE)</t>
  </si>
  <si>
    <t>Date</t>
  </si>
  <si>
    <t>Month</t>
  </si>
  <si>
    <t>Days in month</t>
  </si>
  <si>
    <t>Ave Monthly Temp Plan</t>
  </si>
  <si>
    <t>Life-cycle Month</t>
  </si>
  <si>
    <t>Monthy Data (Actual)</t>
  </si>
  <si>
    <t>Quantity Actual</t>
  </si>
  <si>
    <t>Quantity at start of month</t>
  </si>
  <si>
    <t>Culled fish</t>
  </si>
  <si>
    <t>Mortalities</t>
  </si>
  <si>
    <t>Cummulative mortalities</t>
  </si>
  <si>
    <t>Mortality monthly %</t>
  </si>
  <si>
    <t>Cummulative mortality %</t>
  </si>
  <si>
    <t>Harvested fish</t>
  </si>
  <si>
    <t>Quantity at end of month</t>
  </si>
  <si>
    <t>Biomass Actual</t>
  </si>
  <si>
    <t>Ave weight at start of month</t>
  </si>
  <si>
    <t>Biomass at start of month</t>
  </si>
  <si>
    <t>Daily growth for month %</t>
  </si>
  <si>
    <t>Ave weight at end of month</t>
  </si>
  <si>
    <t>Mortality mass</t>
  </si>
  <si>
    <t>Harvested mass for month</t>
  </si>
  <si>
    <t>Biomass at end of month</t>
  </si>
  <si>
    <t>Feed Actual</t>
  </si>
  <si>
    <t>Feed used during month</t>
  </si>
  <si>
    <t>EFCR for month</t>
  </si>
  <si>
    <t>Cummulative feed used</t>
  </si>
  <si>
    <t>Cummulative EFCR to date</t>
  </si>
  <si>
    <t>Monthly Data (Plan)</t>
  </si>
  <si>
    <t>Biomass Plan</t>
  </si>
  <si>
    <t>Ave weight (g) at start month</t>
  </si>
  <si>
    <t>Ongoing weight (g) for bioplan</t>
  </si>
  <si>
    <t>Growth phase for bioplan</t>
  </si>
  <si>
    <t>Ave weight (g) at end of month</t>
  </si>
  <si>
    <t>Biomass (Kg) at start of month</t>
  </si>
  <si>
    <t>Mortality mass (Kg)</t>
  </si>
  <si>
    <t>Harvested mass (Kg) for month</t>
  </si>
  <si>
    <t>Biomass (Kg) at end of month</t>
  </si>
  <si>
    <t>Target EFCR</t>
  </si>
  <si>
    <t>Plan feed used during month</t>
  </si>
  <si>
    <t>Growth Phase</t>
  </si>
  <si>
    <t>Water Temperature</t>
  </si>
  <si>
    <t>Temp</t>
  </si>
  <si>
    <t>MORT.</t>
  </si>
  <si>
    <t>Weight (g)</t>
  </si>
  <si>
    <t>GROWTH PHASE</t>
  </si>
  <si>
    <t>Volume</t>
  </si>
  <si>
    <t>Days</t>
  </si>
  <si>
    <t>Gr. Phase</t>
  </si>
  <si>
    <t>1-5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</si>
  <si>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</si>
  <si>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</si>
  <si>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</si>
  <si>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</si>
  <si>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</si>
  <si>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</si>
  <si>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</si>
  <si>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</si>
  <si>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</si>
  <si>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</si>
  <si>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Loan 1</t>
  </si>
  <si>
    <t>Overdraft</t>
  </si>
  <si>
    <t>Quantity Plan</t>
  </si>
  <si>
    <t>Feed Plan</t>
  </si>
  <si>
    <t>Summary of Capital Expenses</t>
  </si>
  <si>
    <t>Services</t>
  </si>
  <si>
    <t>WACC Calculation</t>
  </si>
  <si>
    <t>Income from borrowings</t>
  </si>
  <si>
    <t>Dusky kob</t>
  </si>
  <si>
    <t>RAS</t>
  </si>
  <si>
    <t>PLAN</t>
  </si>
  <si>
    <t>5-12</t>
  </si>
  <si>
    <t>60-110</t>
  </si>
  <si>
    <t>110-180</t>
  </si>
  <si>
    <t>180-270</t>
  </si>
  <si>
    <t>270-350</t>
  </si>
  <si>
    <t>350-440</t>
  </si>
  <si>
    <t>440-540</t>
  </si>
  <si>
    <t>540-650</t>
  </si>
  <si>
    <t>650-785</t>
  </si>
  <si>
    <t>785-945</t>
  </si>
  <si>
    <t>945-1135</t>
  </si>
  <si>
    <t>1135-1355</t>
  </si>
  <si>
    <t>1355-1620</t>
  </si>
  <si>
    <t>1620-1940</t>
  </si>
  <si>
    <t>1940-2300</t>
  </si>
  <si>
    <t>2300-2750</t>
  </si>
  <si>
    <t>2750-3150</t>
  </si>
  <si>
    <t>Batch 4</t>
  </si>
  <si>
    <t>n</t>
  </si>
  <si>
    <t>Initial weight (kg/ind)</t>
  </si>
  <si>
    <t>Final weight (kg/ind)</t>
  </si>
  <si>
    <t>Initial Biomass (kg)</t>
  </si>
  <si>
    <t>Initial stocking density (kg/m3)</t>
  </si>
  <si>
    <t>Final stocking density (kg/m3)</t>
  </si>
  <si>
    <t>Final tanks required</t>
  </si>
  <si>
    <t>Hourly exchanges (flushing)</t>
  </si>
  <si>
    <t>Total Broodstock requirement</t>
  </si>
  <si>
    <t>Fertilised eggs</t>
  </si>
  <si>
    <t>-</t>
  </si>
  <si>
    <t>Hatched eggs - Early Larvae (0-12DAH)</t>
  </si>
  <si>
    <t>100ind/L</t>
  </si>
  <si>
    <t>60ind/L</t>
  </si>
  <si>
    <t>Survival</t>
  </si>
  <si>
    <t>Egg incubation tanks</t>
  </si>
  <si>
    <t>Monthly harvest (kg LFE)</t>
  </si>
  <si>
    <t>Broodstock tanks</t>
  </si>
  <si>
    <r>
      <t xml:space="preserve">Fertilisation success rate </t>
    </r>
    <r>
      <rPr>
        <sz val="8"/>
        <color theme="1"/>
        <rFont val="Calibri"/>
        <family val="2"/>
        <scheme val="minor"/>
      </rPr>
      <t>(Fielder and Heasman, 2011)</t>
    </r>
  </si>
  <si>
    <r>
      <t xml:space="preserve">Hatching success rate </t>
    </r>
    <r>
      <rPr>
        <sz val="8"/>
        <color theme="1"/>
        <rFont val="Calibri"/>
        <family val="2"/>
        <scheme val="minor"/>
      </rPr>
      <t>(Fielder et al 2010; ABASA)</t>
    </r>
  </si>
  <si>
    <r>
      <t xml:space="preserve">Survival rate </t>
    </r>
    <r>
      <rPr>
        <sz val="8"/>
        <color theme="1"/>
        <rFont val="Calibri"/>
        <family val="2"/>
        <scheme val="minor"/>
      </rPr>
      <t>(</t>
    </r>
    <r>
      <rPr>
        <i/>
        <sz val="8"/>
        <color theme="1"/>
        <rFont val="Calibri"/>
        <family val="2"/>
        <scheme val="minor"/>
      </rPr>
      <t>Fielder and Heasman 2011</t>
    </r>
    <r>
      <rPr>
        <sz val="8"/>
        <color theme="1"/>
        <rFont val="Calibri"/>
        <family val="2"/>
        <scheme val="minor"/>
      </rPr>
      <t>)</t>
    </r>
  </si>
  <si>
    <t>System Maximum Feed Rate</t>
  </si>
  <si>
    <t>kg feed/day</t>
  </si>
  <si>
    <t>m3</t>
  </si>
  <si>
    <t>Broodstock quarantine tanks</t>
  </si>
  <si>
    <t>Desired TAN tank concentration</t>
  </si>
  <si>
    <t>mg/L</t>
  </si>
  <si>
    <t>Recycle flow to biofilter</t>
  </si>
  <si>
    <r>
      <t>g 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/min</t>
    </r>
  </si>
  <si>
    <r>
      <t>kg 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/day</t>
    </r>
  </si>
  <si>
    <r>
      <t>kg 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/kg feed</t>
    </r>
  </si>
  <si>
    <r>
      <t>g 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/hr</t>
    </r>
  </si>
  <si>
    <t>TSS Production Rate</t>
  </si>
  <si>
    <t>kg TSS/kg feed</t>
  </si>
  <si>
    <t>kg Solids/day</t>
  </si>
  <si>
    <t>Total</t>
  </si>
  <si>
    <t>Financial Projections Dusky kob</t>
  </si>
  <si>
    <t>Roadfreight to site</t>
  </si>
  <si>
    <t>Inflation factor</t>
  </si>
  <si>
    <t>Cumulative mortality</t>
  </si>
  <si>
    <t>Monthly mortality %</t>
  </si>
  <si>
    <t>Financial Year: 01 March - 28 February</t>
  </si>
  <si>
    <t>Other</t>
  </si>
  <si>
    <t>Product yield - Fillets</t>
  </si>
  <si>
    <t>Frozen - Fillets</t>
  </si>
  <si>
    <t>SA Price (Frozen, fillet)/per kg</t>
  </si>
  <si>
    <t>SA Price (Fresh, fillet)/per kg</t>
  </si>
  <si>
    <t>Export Price (Frozen, WRG)/per kg</t>
  </si>
  <si>
    <t>Export Price (Fresh, WRG)/per kg</t>
  </si>
  <si>
    <t>Export Price (Frozen, fillet)/per kg</t>
  </si>
  <si>
    <t>Export Price (Fresh, fillet)/per kg</t>
  </si>
  <si>
    <t>Stocking quantity per batch</t>
  </si>
  <si>
    <t>Projected production tpa</t>
  </si>
  <si>
    <t>SA product invoiced</t>
  </si>
  <si>
    <t>SA sales costs</t>
  </si>
  <si>
    <t>Target weight (g)</t>
  </si>
  <si>
    <t>Stocking quantity (n)</t>
  </si>
  <si>
    <t>Harvest cap (fpm)</t>
  </si>
  <si>
    <t>EFCR</t>
  </si>
  <si>
    <t>SA sales costs - logistics</t>
  </si>
  <si>
    <t>SA sales costs - commissions</t>
  </si>
  <si>
    <t>Waste removal</t>
  </si>
  <si>
    <t>Broodstock Feed</t>
  </si>
  <si>
    <t>BROODSTOCK BIOMASS</t>
  </si>
  <si>
    <t>Broodstock</t>
  </si>
  <si>
    <t>TOTAL BIOMASS (kg)</t>
  </si>
  <si>
    <t>Broodstock biomass (kg)</t>
  </si>
  <si>
    <t>Waste removal (per kg)</t>
  </si>
  <si>
    <t>Product yield - Whole</t>
  </si>
  <si>
    <t>Product sold locally (wholesale)</t>
  </si>
  <si>
    <t>Local sales price (Fresh, whole)/kg EXW</t>
  </si>
  <si>
    <t>SA Consignment size (Kg)</t>
  </si>
  <si>
    <t>SA Price (Frozen, fillet)/kg</t>
  </si>
  <si>
    <t>SA Price (Fresh, fillet)/kg</t>
  </si>
  <si>
    <t>Export Price (Frozen, WRG)/kg</t>
  </si>
  <si>
    <t>Export Price (Fresh, WRG)/kg</t>
  </si>
  <si>
    <t>Export Price (Frozen, fillet)/kg</t>
  </si>
  <si>
    <t>Export Price (Fresh, fillet)/kg</t>
  </si>
  <si>
    <t>Wholesale consignment size (Kg)</t>
  </si>
  <si>
    <t xml:space="preserve">Export logistics costs </t>
  </si>
  <si>
    <t>International packaging costs (per Kg)</t>
  </si>
  <si>
    <t>Harvest cap (fish per month)</t>
  </si>
  <si>
    <t>Wholesale price (Fresh, whole)</t>
  </si>
  <si>
    <t>Vehicle/vessel operating expenses</t>
  </si>
  <si>
    <t>Survival rate</t>
  </si>
  <si>
    <t>CAGES</t>
  </si>
  <si>
    <t>Cages</t>
  </si>
  <si>
    <t>Pre-development</t>
  </si>
  <si>
    <t>Land</t>
  </si>
  <si>
    <t>Bulk infrastructure</t>
  </si>
  <si>
    <t xml:space="preserve">Vehicles </t>
  </si>
  <si>
    <t>Transport and Logistics</t>
  </si>
  <si>
    <t>Fresh - Fillets</t>
  </si>
  <si>
    <t>Product sold into SA</t>
  </si>
  <si>
    <t>Product for export</t>
  </si>
  <si>
    <t>Live feed production</t>
  </si>
  <si>
    <t>Live Feed Production</t>
  </si>
  <si>
    <t>Sales and Marketing Director</t>
  </si>
  <si>
    <t>Skippers/Drivers/Technicians</t>
  </si>
  <si>
    <t>Administration including sales</t>
  </si>
  <si>
    <t>Sales Manager</t>
  </si>
  <si>
    <t>Country risk adjusted cost of capital</t>
  </si>
  <si>
    <t>Water required (m3)</t>
  </si>
  <si>
    <t>BROODSTOCK QUARANTINE AREA</t>
  </si>
  <si>
    <t>BROODSTOCK HOLDING AND SPAWNING AREA</t>
  </si>
  <si>
    <t>Total m3 water</t>
  </si>
  <si>
    <t>Total L of water</t>
  </si>
  <si>
    <r>
      <t>Flow rate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/hr)</t>
    </r>
  </si>
  <si>
    <t>Flow rate (l/s))</t>
  </si>
  <si>
    <r>
      <t>Make up flow required at 10%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/hr)</t>
    </r>
  </si>
  <si>
    <t>Makeup flow required at 10% (l/s))</t>
  </si>
  <si>
    <t>EGG INCUBATION</t>
  </si>
  <si>
    <t>Estimated egg requirement</t>
  </si>
  <si>
    <t xml:space="preserve">Larvae (12-50DAH) </t>
  </si>
  <si>
    <t>LARVAL REARING</t>
  </si>
  <si>
    <t>Juvenile rearing (50DAH - 10g)</t>
  </si>
  <si>
    <t>NURSERY</t>
  </si>
  <si>
    <t>CAGE GROWOUT</t>
  </si>
  <si>
    <t>Larval rearing tanks</t>
  </si>
  <si>
    <t>System Maximum Biomass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</si>
  <si>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</si>
  <si>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</si>
  <si>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</si>
  <si>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</si>
  <si>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</si>
  <si>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</si>
  <si>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</si>
  <si>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</si>
  <si>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</si>
  <si>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</si>
  <si>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Equipment</t>
  </si>
  <si>
    <t>KW</t>
  </si>
  <si>
    <t>% efficiency</t>
  </si>
  <si>
    <t>hours usage per day</t>
  </si>
  <si>
    <t>Usage per month (KWhrs)</t>
  </si>
  <si>
    <t>Blower</t>
  </si>
  <si>
    <t>Monthly electricity cost</t>
  </si>
  <si>
    <t>Pumping cost per month</t>
  </si>
  <si>
    <t>m³ pumped per month</t>
  </si>
  <si>
    <t xml:space="preserve">ZAR cents /m3 </t>
  </si>
  <si>
    <t>R/kWh</t>
  </si>
  <si>
    <t>hours/week</t>
  </si>
  <si>
    <t>wks</t>
  </si>
  <si>
    <t>Cost per annum for 1 kWh</t>
  </si>
  <si>
    <t>Weighted average energy cost per kWh</t>
  </si>
  <si>
    <t>Chargeable demand kVA</t>
  </si>
  <si>
    <t>Rate kVA</t>
  </si>
  <si>
    <t>Cost</t>
  </si>
  <si>
    <t>High Demand Season     (Jun-Aug)</t>
  </si>
  <si>
    <t>Peak</t>
  </si>
  <si>
    <t>Standard</t>
  </si>
  <si>
    <t>Off-peak</t>
  </si>
  <si>
    <t>Low Demand Season          (Sep-May)</t>
  </si>
  <si>
    <t>Eskom Ruraflex tariff calc.</t>
  </si>
  <si>
    <t>Ruraflex</t>
  </si>
  <si>
    <t>Weighted average cost per kWh</t>
  </si>
  <si>
    <t>Electricity cost calculation</t>
  </si>
  <si>
    <t>Quarantine recirculation pump</t>
  </si>
  <si>
    <t>Qty juveniles stocked</t>
  </si>
  <si>
    <t>Laboratory consumables</t>
  </si>
  <si>
    <t>Equipment calibration/R&amp;M</t>
  </si>
  <si>
    <t>Dusky kob (Land-based RAS + Cage growout facility - 4 stockings per year)</t>
  </si>
  <si>
    <t>Max Biomass (kg)</t>
  </si>
  <si>
    <t>Businessrate</t>
  </si>
  <si>
    <t>Eskom Megaflex tariff calc</t>
  </si>
  <si>
    <t>Item No.</t>
  </si>
  <si>
    <t>Description</t>
  </si>
  <si>
    <t>Unit</t>
  </si>
  <si>
    <t>Quantity</t>
  </si>
  <si>
    <t>Amount</t>
  </si>
  <si>
    <t>Brought forward</t>
  </si>
  <si>
    <t>Vehicles</t>
  </si>
  <si>
    <t>Transport and logistics</t>
  </si>
  <si>
    <t>Total nett of consulting fees</t>
  </si>
  <si>
    <t>Total % of consulting fees on total project cost</t>
  </si>
  <si>
    <t xml:space="preserve">Main abstraction pump </t>
  </si>
  <si>
    <t>Ammonia removal rate of biomedia</t>
  </si>
  <si>
    <t>m2</t>
  </si>
  <si>
    <t>Biomedia specific surface area (m2/m3)</t>
  </si>
  <si>
    <t>Operating surface for bacteria required</t>
  </si>
  <si>
    <t>g</t>
  </si>
  <si>
    <t>Total ammonia production</t>
  </si>
  <si>
    <t>Nitrogen content</t>
  </si>
  <si>
    <t>Percentage protein content</t>
  </si>
  <si>
    <t>Wasted nitrogen</t>
  </si>
  <si>
    <t>Ammonia production per gram wasted nitrogen</t>
  </si>
  <si>
    <t>Ammonia loss in passive nitrification</t>
  </si>
  <si>
    <t>Ammonia requiring nitrification</t>
  </si>
  <si>
    <t>Blast freezer</t>
  </si>
  <si>
    <t>Disposable PPE</t>
  </si>
  <si>
    <t>Processing clothing</t>
  </si>
  <si>
    <t>Junior Management</t>
  </si>
  <si>
    <t>Processing workers</t>
  </si>
  <si>
    <t>Packaging and storage workers</t>
  </si>
  <si>
    <t>Fuel storage</t>
  </si>
  <si>
    <t>Nets</t>
  </si>
  <si>
    <t>Boat engines</t>
  </si>
  <si>
    <t>Pumps</t>
  </si>
  <si>
    <t>Filtration equipment</t>
  </si>
  <si>
    <t xml:space="preserve"> </t>
  </si>
  <si>
    <t>Land-based aquaculture systems</t>
  </si>
  <si>
    <t>Water-based aquaculture systems</t>
  </si>
  <si>
    <t>Fingerling purchases</t>
  </si>
  <si>
    <t>Aquaculture systems - Landbased</t>
  </si>
  <si>
    <t>Aquaculture system - Waterbased</t>
  </si>
  <si>
    <t>Product yield - Gilled and gutted</t>
  </si>
  <si>
    <t>Frozen - G&amp;G</t>
  </si>
  <si>
    <t>SA Price (Fresh, G&amp;G)/kg</t>
  </si>
  <si>
    <t>SA Price (Fresh, G&amp;G)/per kg</t>
  </si>
  <si>
    <t>SA Price (Frozen, G&amp;G)/per kg</t>
  </si>
  <si>
    <t>Product (kg Portioned)</t>
  </si>
  <si>
    <t>Product (kg G&amp;G Fresh)</t>
  </si>
  <si>
    <t>Product (kg G&amp;G Frozen)</t>
  </si>
  <si>
    <t>15ind/L</t>
  </si>
  <si>
    <t>SA Price (Frozen, G&amp;G)/kg</t>
  </si>
  <si>
    <t xml:space="preserve">Fresh - Gilled and gutted (G&amp;G) </t>
  </si>
  <si>
    <t>Average feed price (per kg)</t>
  </si>
  <si>
    <t>CO2 Stripper Pumps</t>
  </si>
  <si>
    <t>EFCR &amp; MORTALITY</t>
  </si>
  <si>
    <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cone system return pump</t>
    </r>
  </si>
  <si>
    <t>Drum filter HPRS (pump)</t>
  </si>
  <si>
    <t>Species</t>
  </si>
  <si>
    <t>Jan - Year 1</t>
  </si>
  <si>
    <t>Harvest cap per month</t>
  </si>
  <si>
    <t>Harvest Weight (g)</t>
  </si>
  <si>
    <t>Specie</t>
  </si>
  <si>
    <t>Apr - Year 2</t>
  </si>
  <si>
    <t>Jul - Year 2</t>
  </si>
  <si>
    <t>BIOMODEL ASSUMPTIONS</t>
  </si>
  <si>
    <t>Daily growth for month (%)</t>
  </si>
  <si>
    <t>Stocking/Feed deliveries/Harvest</t>
  </si>
  <si>
    <t>Staff movements/Mortality collection</t>
  </si>
  <si>
    <t>EFCR - RAS</t>
  </si>
  <si>
    <t>EFCR - Cages</t>
  </si>
  <si>
    <t>Total (excl Professional Fees and Contingency)</t>
  </si>
  <si>
    <t>Ice machine</t>
  </si>
  <si>
    <t>Electricity (Cold store, ice machine)</t>
  </si>
  <si>
    <t>Product deliveries (T)</t>
  </si>
  <si>
    <t>Packaging costs (Disposable Polyboxes)</t>
  </si>
  <si>
    <t>Feed</t>
  </si>
  <si>
    <t>Cumulative mortality %</t>
  </si>
  <si>
    <t>Plan cumulative feed used</t>
  </si>
  <si>
    <t>Cumulative FCR</t>
  </si>
  <si>
    <t>TOTAL HARVEST (kg)</t>
  </si>
  <si>
    <t>FEED REQUIREMENTS (kg)</t>
  </si>
  <si>
    <t>TOTAL MORTALITY WASTE (kg)</t>
  </si>
  <si>
    <t>1.</t>
  </si>
  <si>
    <t>PRE-DEVELOPMENT</t>
  </si>
  <si>
    <t>1.1</t>
  </si>
  <si>
    <t>Concept design</t>
  </si>
  <si>
    <t>%</t>
  </si>
  <si>
    <t>1.2</t>
  </si>
  <si>
    <t>Feasibility study</t>
  </si>
  <si>
    <t>1.3</t>
  </si>
  <si>
    <t>Fund-raising</t>
  </si>
  <si>
    <t>1.3.1</t>
  </si>
  <si>
    <t>Fund-raising activities</t>
  </si>
  <si>
    <t>Sum</t>
  </si>
  <si>
    <t>1.3.2</t>
  </si>
  <si>
    <t>Travel and related expenses</t>
  </si>
  <si>
    <t>1.4</t>
  </si>
  <si>
    <t>Land option/related costs</t>
  </si>
  <si>
    <t>Carried to summary</t>
  </si>
  <si>
    <t>2.</t>
  </si>
  <si>
    <t>LAND</t>
  </si>
  <si>
    <t>2.1</t>
  </si>
  <si>
    <t>Deposit payment</t>
  </si>
  <si>
    <t>2.1.1.</t>
  </si>
  <si>
    <t>2.2</t>
  </si>
  <si>
    <t>Transfer tax</t>
  </si>
  <si>
    <t>2.2.1</t>
  </si>
  <si>
    <t>Transfer Tax on title</t>
  </si>
  <si>
    <t>2.3</t>
  </si>
  <si>
    <t>Monthly payments</t>
  </si>
  <si>
    <t>2.3.1</t>
  </si>
  <si>
    <t>Monthly payment</t>
  </si>
  <si>
    <t>2.4</t>
  </si>
  <si>
    <t>Legal fees</t>
  </si>
  <si>
    <t>2.4.1</t>
  </si>
  <si>
    <t>Legal fees associated with lease</t>
  </si>
  <si>
    <t>3.</t>
  </si>
  <si>
    <t>BULK INFRASTRUCTURE</t>
  </si>
  <si>
    <t>3.1</t>
  </si>
  <si>
    <t>Drainage</t>
  </si>
  <si>
    <t>3.1.1</t>
  </si>
  <si>
    <t>Drainage channel to canal for system outflow</t>
  </si>
  <si>
    <t>m</t>
  </si>
  <si>
    <t>3.1.2</t>
  </si>
  <si>
    <t xml:space="preserve">Concrete pit for drum filter </t>
  </si>
  <si>
    <t>3.1.3</t>
  </si>
  <si>
    <t xml:space="preserve">Provision for connection to sewage mains </t>
  </si>
  <si>
    <t>3.2</t>
  </si>
  <si>
    <t>Clearing of land</t>
  </si>
  <si>
    <t>3.2.1</t>
  </si>
  <si>
    <t>Clearing and levelling of land</t>
  </si>
  <si>
    <t>3.3</t>
  </si>
  <si>
    <t>Roads and parking</t>
  </si>
  <si>
    <t>3.3.1</t>
  </si>
  <si>
    <t>Provision for access road construction</t>
  </si>
  <si>
    <t>3.3.2</t>
  </si>
  <si>
    <t>Parking area (with 5 carports)</t>
  </si>
  <si>
    <t>3.4</t>
  </si>
  <si>
    <t>Security and fencing</t>
  </si>
  <si>
    <t>3.4.1</t>
  </si>
  <si>
    <t>Perimeter fence including main entrance gate</t>
  </si>
  <si>
    <t>3.4.2</t>
  </si>
  <si>
    <t xml:space="preserve">Access control - main building </t>
  </si>
  <si>
    <t>3.4.3</t>
  </si>
  <si>
    <t xml:space="preserve">Bio-secure area - access control </t>
  </si>
  <si>
    <t>3.4.4</t>
  </si>
  <si>
    <t xml:space="preserve">Boom gate </t>
  </si>
  <si>
    <t>3.4.5</t>
  </si>
  <si>
    <t xml:space="preserve">Alarms, cameras </t>
  </si>
  <si>
    <t>3.4.6</t>
  </si>
  <si>
    <t>Deliveries (Incl. in logistics budget)</t>
  </si>
  <si>
    <t>3.4.7</t>
  </si>
  <si>
    <t>Installation and commissioning (Incl. in buildings budget)</t>
  </si>
  <si>
    <t>3.5</t>
  </si>
  <si>
    <t>Landscaping</t>
  </si>
  <si>
    <t>3.5.1</t>
  </si>
  <si>
    <t xml:space="preserve">General grassing and landscaping </t>
  </si>
  <si>
    <t>3.5.3</t>
  </si>
  <si>
    <t xml:space="preserve">External Signage </t>
  </si>
  <si>
    <t>3.6</t>
  </si>
  <si>
    <t>Waste system</t>
  </si>
  <si>
    <t>3.6.1</t>
  </si>
  <si>
    <t xml:space="preserve">Refuse </t>
  </si>
  <si>
    <t>3.6.2</t>
  </si>
  <si>
    <t xml:space="preserve">Chemical waste </t>
  </si>
  <si>
    <t>3.6.3</t>
  </si>
  <si>
    <t>Biological waste</t>
  </si>
  <si>
    <t>3.7</t>
  </si>
  <si>
    <t>Power supply</t>
  </si>
  <si>
    <t>3.7.1</t>
  </si>
  <si>
    <t>Bulk power supply to site  (including transformer)</t>
  </si>
  <si>
    <t>3.7.2</t>
  </si>
  <si>
    <t xml:space="preserve">Electrical meter and box </t>
  </si>
  <si>
    <t>3.7.3</t>
  </si>
  <si>
    <t xml:space="preserve">160kVA generator </t>
  </si>
  <si>
    <t>3.7.4</t>
  </si>
  <si>
    <t xml:space="preserve">Concrete slab for generator </t>
  </si>
  <si>
    <t>3.7.5</t>
  </si>
  <si>
    <t xml:space="preserve">Switches, boards and conduits </t>
  </si>
  <si>
    <t>3.7.6</t>
  </si>
  <si>
    <t>Diesel storage (incl. bung wall etc.)</t>
  </si>
  <si>
    <t>3.7.7</t>
  </si>
  <si>
    <t xml:space="preserve">Spares </t>
  </si>
  <si>
    <t>3.7.8</t>
  </si>
  <si>
    <t>Installation and commissioning</t>
  </si>
  <si>
    <t>3.8</t>
  </si>
  <si>
    <t>Potable water</t>
  </si>
  <si>
    <t>3.8.1</t>
  </si>
  <si>
    <t>Potable water supply to site</t>
  </si>
  <si>
    <t>3.8.2</t>
  </si>
  <si>
    <t>External taps</t>
  </si>
  <si>
    <t>No.</t>
  </si>
  <si>
    <t>3.8.3</t>
  </si>
  <si>
    <t xml:space="preserve">Water meter </t>
  </si>
  <si>
    <t>4.</t>
  </si>
  <si>
    <t>BUILDINGS</t>
  </si>
  <si>
    <t xml:space="preserve">Hatchery + Nursery </t>
  </si>
  <si>
    <t>4.1.1</t>
  </si>
  <si>
    <t>Complete warehouse structure including roof, columns, perimeter walls, windows and façade (agricultural tunnel alternative)</t>
  </si>
  <si>
    <t>4.1.2</t>
  </si>
  <si>
    <t>Concrete floor, steel floated</t>
  </si>
  <si>
    <t>4.1.3</t>
  </si>
  <si>
    <t xml:space="preserve">Specialist raised floor around tanks </t>
  </si>
  <si>
    <t>4.1.4</t>
  </si>
  <si>
    <t xml:space="preserve">Suspended ceiling grid for services etc. </t>
  </si>
  <si>
    <t>4.1.5</t>
  </si>
  <si>
    <t>Electrical budget for lights, power supply , switching and complete installation with DB's</t>
  </si>
  <si>
    <t>4.1.6</t>
  </si>
  <si>
    <t xml:space="preserve">Internal walls and partitions </t>
  </si>
  <si>
    <t>4.1.7</t>
  </si>
  <si>
    <t>Domestic water reticulation throughout building</t>
  </si>
  <si>
    <t>4.1.8</t>
  </si>
  <si>
    <t xml:space="preserve">Fire fighting equipment and signage </t>
  </si>
  <si>
    <t>4.1.9</t>
  </si>
  <si>
    <t xml:space="preserve">Ventilation, evaporative cooling </t>
  </si>
  <si>
    <t>4.1.10</t>
  </si>
  <si>
    <t>Canteen and lounge (Incl. in building budget)</t>
  </si>
  <si>
    <t>4.1.11</t>
  </si>
  <si>
    <t>Offices (Incl. in building budget)</t>
  </si>
  <si>
    <t>4.1.12</t>
  </si>
  <si>
    <t>Reception (Incl. in building budget)</t>
  </si>
  <si>
    <t>4.1.14</t>
  </si>
  <si>
    <t>Ablutions/ change rooms (Incl. in building budget)</t>
  </si>
  <si>
    <t>4.1.15</t>
  </si>
  <si>
    <t>Lab (Provisional sum for 35m2)</t>
  </si>
  <si>
    <t>4.1.16</t>
  </si>
  <si>
    <t>Equipment store</t>
  </si>
  <si>
    <t>4.1.17</t>
  </si>
  <si>
    <t>Workshop</t>
  </si>
  <si>
    <t>4.1.18</t>
  </si>
  <si>
    <t>Feed store</t>
  </si>
  <si>
    <t>4.2</t>
  </si>
  <si>
    <t>Processing Facility</t>
  </si>
  <si>
    <t>4.2.1</t>
  </si>
  <si>
    <t>Receiving area</t>
  </si>
  <si>
    <t>4.2.2</t>
  </si>
  <si>
    <t>Cleaning, gutting, sorting line</t>
  </si>
  <si>
    <t>4.2.3</t>
  </si>
  <si>
    <t>Packing line</t>
  </si>
  <si>
    <t>4.2.4</t>
  </si>
  <si>
    <t>4.2.5</t>
  </si>
  <si>
    <t>Cold storage</t>
  </si>
  <si>
    <t>4.2.6</t>
  </si>
  <si>
    <t>Dispatch</t>
  </si>
  <si>
    <t>4.2.7</t>
  </si>
  <si>
    <t xml:space="preserve">Staff canteen </t>
  </si>
  <si>
    <t>4.2.8</t>
  </si>
  <si>
    <t>Staff ablutions incl. showers</t>
  </si>
  <si>
    <t>4.2.9</t>
  </si>
  <si>
    <t>Storage and other space (laundry, chemical store etc)</t>
  </si>
  <si>
    <t>4.2.11</t>
  </si>
  <si>
    <t>Offices</t>
  </si>
  <si>
    <t>4.2.12</t>
  </si>
  <si>
    <t xml:space="preserve">Reception </t>
  </si>
  <si>
    <t>4.2.13</t>
  </si>
  <si>
    <t>4.2.14</t>
  </si>
  <si>
    <t>Air-conditioning (excl. freezer and cold storage)</t>
  </si>
  <si>
    <t>4.2.26</t>
  </si>
  <si>
    <t xml:space="preserve">Bio secure entrance </t>
  </si>
  <si>
    <t>4.2.27</t>
  </si>
  <si>
    <t>Bio secure exit</t>
  </si>
  <si>
    <t>5.</t>
  </si>
  <si>
    <t>5.1.1</t>
  </si>
  <si>
    <t xml:space="preserve">Table Stainless steel </t>
  </si>
  <si>
    <t>5.1.2</t>
  </si>
  <si>
    <t xml:space="preserve">Hose pipe + fittings </t>
  </si>
  <si>
    <t>5.1.3</t>
  </si>
  <si>
    <t xml:space="preserve">Ice spade </t>
  </si>
  <si>
    <t>5.2.1</t>
  </si>
  <si>
    <t>Main processing table -stainless steel</t>
  </si>
  <si>
    <t>5.2.2</t>
  </si>
  <si>
    <t xml:space="preserve">Grading table -stainless steel </t>
  </si>
  <si>
    <t>5.2.3</t>
  </si>
  <si>
    <t xml:space="preserve">Grading scale </t>
  </si>
  <si>
    <t xml:space="preserve">Gill plate tagging gun and label maker </t>
  </si>
  <si>
    <t>5.2.5</t>
  </si>
  <si>
    <t>White butcher bins</t>
  </si>
  <si>
    <t>5.2.6</t>
  </si>
  <si>
    <t>Knives - gutting</t>
  </si>
  <si>
    <t xml:space="preserve">Knives -general use </t>
  </si>
  <si>
    <t xml:space="preserve">Temperature gauge -wall mounted </t>
  </si>
  <si>
    <t xml:space="preserve">Temperature gauge pen type </t>
  </si>
  <si>
    <t xml:space="preserve">Hose pipes and fitting </t>
  </si>
  <si>
    <t>5.3.1</t>
  </si>
  <si>
    <t xml:space="preserve">Packing table </t>
  </si>
  <si>
    <t>5.3.2</t>
  </si>
  <si>
    <t xml:space="preserve">Packing scale with printer </t>
  </si>
  <si>
    <t>5.3.3</t>
  </si>
  <si>
    <t>5.3.4</t>
  </si>
  <si>
    <t>5.3.5</t>
  </si>
  <si>
    <t>5.4.1</t>
  </si>
  <si>
    <t xml:space="preserve">Plastic pallets </t>
  </si>
  <si>
    <t>5.4.2</t>
  </si>
  <si>
    <t xml:space="preserve">Pallet jack </t>
  </si>
  <si>
    <t>5.5.1</t>
  </si>
  <si>
    <t xml:space="preserve">Ice spades </t>
  </si>
  <si>
    <t xml:space="preserve">Ice machines </t>
  </si>
  <si>
    <t xml:space="preserve">Stunner </t>
  </si>
  <si>
    <t>Ice bins for harvesting unit</t>
  </si>
  <si>
    <t>Sundry harvest equipment</t>
  </si>
  <si>
    <t>Overall provision for PPE Equipment (clothing, food safety etc.)</t>
  </si>
  <si>
    <t>IT and communication</t>
  </si>
  <si>
    <t>Internet and Wi-fi</t>
  </si>
  <si>
    <t>Computers, telephones,printers</t>
  </si>
  <si>
    <t>Offices and Equipment</t>
  </si>
  <si>
    <t>Office furniture</t>
  </si>
  <si>
    <t>Canteen furniture</t>
  </si>
  <si>
    <t>Canteen fridges and equipment</t>
  </si>
  <si>
    <t>Lockers</t>
  </si>
  <si>
    <t>Sanitary equipment etc.</t>
  </si>
  <si>
    <t>Storage racks</t>
  </si>
  <si>
    <t>Maintenance equipment</t>
  </si>
  <si>
    <t>Laboratory</t>
  </si>
  <si>
    <t xml:space="preserve">Work bench / stations/ stools </t>
  </si>
  <si>
    <t xml:space="preserve">Microscopes </t>
  </si>
  <si>
    <t xml:space="preserve">Water sampling kit  </t>
  </si>
  <si>
    <t xml:space="preserve">Sediment sampler </t>
  </si>
  <si>
    <t xml:space="preserve">Microbiology equipment </t>
  </si>
  <si>
    <t xml:space="preserve">Fridge &amp; Freezer </t>
  </si>
  <si>
    <t xml:space="preserve">Small Equipment </t>
  </si>
  <si>
    <t xml:space="preserve">Delivery  </t>
  </si>
  <si>
    <t>Carried to Summary</t>
  </si>
  <si>
    <t>4.3</t>
  </si>
  <si>
    <t>SERVICES</t>
  </si>
  <si>
    <t>5.1</t>
  </si>
  <si>
    <t>Pump station and water extraction point</t>
  </si>
  <si>
    <t xml:space="preserve">Pump infrastructure </t>
  </si>
  <si>
    <t xml:space="preserve">In-line submersible pumps </t>
  </si>
  <si>
    <t xml:space="preserve">Back up in-line submersible pumps </t>
  </si>
  <si>
    <t>5.1.4</t>
  </si>
  <si>
    <t xml:space="preserve">Electrical  </t>
  </si>
  <si>
    <t>5.1.5</t>
  </si>
  <si>
    <t>Mooring blocks - concrete collar for pipelines</t>
  </si>
  <si>
    <t>5.1.6</t>
  </si>
  <si>
    <t>Buoys</t>
  </si>
  <si>
    <t>5.2</t>
  </si>
  <si>
    <t>Incoming water treatment and storage</t>
  </si>
  <si>
    <t xml:space="preserve">350NB HDPE Mainline water pipe </t>
  </si>
  <si>
    <t xml:space="preserve">350NB HDPE Back up mainline water pipe </t>
  </si>
  <si>
    <t>Hatchery piping inside building (Hanging)</t>
  </si>
  <si>
    <t>Storage reservoir</t>
  </si>
  <si>
    <t xml:space="preserve">Fittings and Brackets </t>
  </si>
  <si>
    <t xml:space="preserve">Delivery </t>
  </si>
  <si>
    <t xml:space="preserve">Installation and commissioning </t>
  </si>
  <si>
    <t>5.3</t>
  </si>
  <si>
    <t>Oxygen supply</t>
  </si>
  <si>
    <t>Oxygen generator</t>
  </si>
  <si>
    <t>Back-up oxygen generator</t>
  </si>
  <si>
    <t>Comprehensive installation and material for oxygen delivery</t>
  </si>
  <si>
    <t>Manifold</t>
  </si>
  <si>
    <t xml:space="preserve">Fittings and brackets </t>
  </si>
  <si>
    <t>5.3.6</t>
  </si>
  <si>
    <t>Spares package</t>
  </si>
  <si>
    <t>5.3.7</t>
  </si>
  <si>
    <t>5.3.8</t>
  </si>
  <si>
    <t>5.4</t>
  </si>
  <si>
    <t>Air blowers</t>
  </si>
  <si>
    <t>5.4.3</t>
  </si>
  <si>
    <t>5.4.4</t>
  </si>
  <si>
    <t>5.5</t>
  </si>
  <si>
    <t>Ozone</t>
  </si>
  <si>
    <t>Ozone generator</t>
  </si>
  <si>
    <t>No</t>
  </si>
  <si>
    <t>Discharge system</t>
  </si>
  <si>
    <t>Wastewater storage tank</t>
  </si>
  <si>
    <t>Pipeline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</si>
  <si>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</si>
  <si>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</si>
  <si>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</si>
  <si>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</si>
  <si>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</si>
  <si>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</si>
  <si>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</si>
  <si>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</si>
  <si>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</si>
  <si>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</si>
  <si>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</si>
  <si>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</si>
  <si>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4.2.10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</si>
  <si>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</si>
  <si>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</si>
  <si>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</si>
  <si>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</si>
  <si>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</si>
  <si>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</si>
  <si>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</si>
  <si>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</si>
  <si>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</si>
  <si>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</si>
  <si>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</si>
  <si>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4.2.40</t>
  </si>
  <si>
    <t>4.1</t>
  </si>
  <si>
    <t>4.3.1</t>
  </si>
  <si>
    <t>4.3.2</t>
  </si>
  <si>
    <t>4.4</t>
  </si>
  <si>
    <t>4.4.1</t>
  </si>
  <si>
    <t>4.4.3</t>
  </si>
  <si>
    <t>4.4.2</t>
  </si>
  <si>
    <t>4.4.4</t>
  </si>
  <si>
    <t>4.4.5</t>
  </si>
  <si>
    <t>4.4.6</t>
  </si>
  <si>
    <t>4.5</t>
  </si>
  <si>
    <t>4.5.1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</si>
  <si>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</si>
  <si>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</si>
  <si>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</si>
  <si>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</si>
  <si>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</si>
  <si>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</si>
  <si>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</si>
  <si>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</si>
  <si>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</si>
  <si>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</si>
  <si>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5.1.7</t>
  </si>
  <si>
    <t>5.6</t>
  </si>
  <si>
    <t>5.6.1</t>
  </si>
  <si>
    <t>5.6.2</t>
  </si>
  <si>
    <t>5.6.3</t>
  </si>
  <si>
    <t>5.6.4</t>
  </si>
  <si>
    <t>5.6.5</t>
  </si>
  <si>
    <t>5.6.6</t>
  </si>
  <si>
    <t>6.</t>
  </si>
  <si>
    <t>6.1</t>
  </si>
  <si>
    <t>Broodstock Quarantine</t>
  </si>
  <si>
    <t>6.1.1</t>
  </si>
  <si>
    <r>
      <t>Tanks - Fibre glass (10m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</si>
  <si>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6.1.2</t>
  </si>
  <si>
    <t>Fresh water supply, piping and fittings</t>
  </si>
  <si>
    <t>6.1.3</t>
  </si>
  <si>
    <t>Air supply and airstones</t>
  </si>
  <si>
    <t>6.1.4</t>
  </si>
  <si>
    <t xml:space="preserve">Alarm system and flow meters </t>
  </si>
  <si>
    <t>6.1.5</t>
  </si>
  <si>
    <t>Biofilter media</t>
  </si>
  <si>
    <t>6.1.6</t>
  </si>
  <si>
    <t>Biomedia housing</t>
  </si>
  <si>
    <t>6.1.7</t>
  </si>
  <si>
    <t>Mechanical filter (Sand filter)</t>
  </si>
  <si>
    <t>6.1.9</t>
  </si>
  <si>
    <t xml:space="preserve">Recirculating pump </t>
  </si>
  <si>
    <t>6.1.11</t>
  </si>
  <si>
    <t>6.1.12</t>
  </si>
  <si>
    <t>Small equipment and spares</t>
  </si>
  <si>
    <t>6.1.13</t>
  </si>
  <si>
    <t>6.1.14</t>
  </si>
  <si>
    <t>6.2</t>
  </si>
  <si>
    <t>Broodstock Holding</t>
  </si>
  <si>
    <t>6.2.1</t>
  </si>
  <si>
    <r>
      <t>Tanks - Fibre glass (45m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</si>
  <si>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6.2.2</t>
  </si>
  <si>
    <t xml:space="preserve">Air supply and air stones </t>
  </si>
  <si>
    <t>6.2.3</t>
  </si>
  <si>
    <t xml:space="preserve">Heat pump </t>
  </si>
  <si>
    <t>6.3</t>
  </si>
  <si>
    <t>Egg incubation/Larvae 12DAH</t>
  </si>
  <si>
    <t>6.3.1</t>
  </si>
  <si>
    <r>
      <t>Tanks - Fibreglass (0.5m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</si>
  <si>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6.3.3</t>
  </si>
  <si>
    <t>6.3.4</t>
  </si>
  <si>
    <t>6.3.5</t>
  </si>
  <si>
    <t>Tank lighting</t>
  </si>
  <si>
    <t>6.3.6</t>
  </si>
  <si>
    <t>Heat pump for egg incubation</t>
  </si>
  <si>
    <t>6.3.8</t>
  </si>
  <si>
    <t>6.3.9</t>
  </si>
  <si>
    <t>6.4</t>
  </si>
  <si>
    <t>Larvae (12DAH-50DAH) - Fingerling</t>
  </si>
  <si>
    <t>6.4.1</t>
  </si>
  <si>
    <r>
      <t>Tanks - Fibre glass (11.5m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</si>
  <si>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6.4.2</t>
  </si>
  <si>
    <t>6.4.3</t>
  </si>
  <si>
    <t>Ceramic diffusers</t>
  </si>
  <si>
    <t>6.4.4</t>
  </si>
  <si>
    <t>In-line UV filter</t>
  </si>
  <si>
    <t>6.4.5</t>
  </si>
  <si>
    <t>6.4.6</t>
  </si>
  <si>
    <t>Tank lights</t>
  </si>
  <si>
    <t>6.4.7</t>
  </si>
  <si>
    <t>6.4.8</t>
  </si>
  <si>
    <t>6.4.9</t>
  </si>
  <si>
    <t>6.4.10</t>
  </si>
  <si>
    <t>6.4.11</t>
  </si>
  <si>
    <t>6.5</t>
  </si>
  <si>
    <t>Live feed</t>
  </si>
  <si>
    <t>6.5.1</t>
  </si>
  <si>
    <r>
      <t>Algae culture tanks (6m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</si>
  <si>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6.5.2</t>
  </si>
  <si>
    <r>
      <t>Rotifer tanks (3.8m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</si>
  <si>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6.5.3</t>
  </si>
  <si>
    <r>
      <t>Artemia tanks (2m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</si>
  <si>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6.5.4</t>
  </si>
  <si>
    <t>Stock algae culture equipment</t>
  </si>
  <si>
    <t>6.5.5</t>
  </si>
  <si>
    <t>6.5.6</t>
  </si>
  <si>
    <t>Lighting systems</t>
  </si>
  <si>
    <t>6.5.7</t>
  </si>
  <si>
    <t>Live feed heating systems</t>
  </si>
  <si>
    <t>6.5.8</t>
  </si>
  <si>
    <t>Live feed aeration systems</t>
  </si>
  <si>
    <t>6.5.9</t>
  </si>
  <si>
    <t>Live feed screening systems</t>
  </si>
  <si>
    <t>6.5.10</t>
  </si>
  <si>
    <t>6.5.11</t>
  </si>
  <si>
    <t>6.5.12</t>
  </si>
  <si>
    <r>
      <t>Tanks - Fibre glass (15m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</si>
  <si>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Monk tanks</t>
  </si>
  <si>
    <t>Oxygen cone</t>
  </si>
  <si>
    <t xml:space="preserve">Oxygen cone system return pump </t>
  </si>
  <si>
    <t>Oxygen solenoid control panel</t>
  </si>
  <si>
    <t>Main system return pump</t>
  </si>
  <si>
    <t>6.4.12</t>
  </si>
  <si>
    <t>6.4.13</t>
  </si>
  <si>
    <t>6.4.14</t>
  </si>
  <si>
    <t xml:space="preserve">Biofilter housing </t>
  </si>
  <si>
    <t>Biofilter outlet screens</t>
  </si>
  <si>
    <t>Protein skimmer</t>
  </si>
  <si>
    <t>Low head oxygenator</t>
  </si>
  <si>
    <r>
      <t>CO</t>
    </r>
    <r>
      <rPr>
        <vertAlign val="subscript"/>
        <sz val="16"/>
        <color theme="1"/>
        <rFont val="Calibri"/>
        <family val="2"/>
        <scheme val="minor"/>
      </rPr>
      <t xml:space="preserve">2 </t>
    </r>
    <r>
      <rPr>
        <sz val="16"/>
        <color theme="1"/>
        <rFont val="Calibri"/>
        <family val="2"/>
        <scheme val="minor"/>
      </rPr>
      <t>Stripper</t>
    </r>
  </si>
  <si>
    <r>
      <t>CO</t>
    </r>
    <r>
      <rPr>
        <vertAlign val="subscript"/>
        <sz val="16"/>
        <color theme="1"/>
        <rFont val="Calibri"/>
        <family val="2"/>
        <scheme val="minor"/>
      </rPr>
      <t xml:space="preserve">2 </t>
    </r>
    <r>
      <rPr>
        <sz val="16"/>
        <color theme="1"/>
        <rFont val="Calibri"/>
        <family val="2"/>
        <scheme val="minor"/>
      </rPr>
      <t>Stripper Pumps</t>
    </r>
  </si>
  <si>
    <t>6.2.4</t>
  </si>
  <si>
    <t>6.2.5</t>
  </si>
  <si>
    <t>6.2.6</t>
  </si>
  <si>
    <t>6.2.7</t>
  </si>
  <si>
    <t>6.2.8</t>
  </si>
  <si>
    <t>6.3.2</t>
  </si>
  <si>
    <t>6.3.7</t>
  </si>
  <si>
    <t>6.7</t>
  </si>
  <si>
    <t>6.7.1</t>
  </si>
  <si>
    <t>Cage structures (15m diameter HDPE Circular)</t>
  </si>
  <si>
    <t>6.7.2</t>
  </si>
  <si>
    <t>Mooring blocks</t>
  </si>
  <si>
    <t>6.7.3</t>
  </si>
  <si>
    <t>Nets (15m diameter 8m depth)</t>
  </si>
  <si>
    <t>6.7.4</t>
  </si>
  <si>
    <t>Antifouling paint</t>
  </si>
  <si>
    <t>6.7.5</t>
  </si>
  <si>
    <t>Predator nets</t>
  </si>
  <si>
    <t>6.7.6</t>
  </si>
  <si>
    <t>1600L HDPE Buoys</t>
  </si>
  <si>
    <t>6.7.7</t>
  </si>
  <si>
    <t>880L HDPE Buoys</t>
  </si>
  <si>
    <t>6.7.8</t>
  </si>
  <si>
    <t>Marking buoys (25L)</t>
  </si>
  <si>
    <t>6.7.9</t>
  </si>
  <si>
    <t>Anchor chains</t>
  </si>
  <si>
    <t>6.7.10</t>
  </si>
  <si>
    <t>Ropes</t>
  </si>
  <si>
    <t>6.7.11</t>
  </si>
  <si>
    <t>Shackles and Thimbles</t>
  </si>
  <si>
    <t>6.7.12</t>
  </si>
  <si>
    <t>AQUACULTURE SYSTEMS - LAND</t>
  </si>
  <si>
    <t>AQUACULTURE SYSTEMS - WATER</t>
  </si>
  <si>
    <t>7.</t>
  </si>
  <si>
    <t>VEHICLES</t>
  </si>
  <si>
    <t>7.1.1</t>
  </si>
  <si>
    <t>7.1.2</t>
  </si>
  <si>
    <t>Twin cab</t>
  </si>
  <si>
    <t>7.1.3</t>
  </si>
  <si>
    <t>7.1.4</t>
  </si>
  <si>
    <t>20T Barge</t>
  </si>
  <si>
    <t>7.1.5</t>
  </si>
  <si>
    <t>8</t>
  </si>
  <si>
    <t>TRANSPORT/LOGISTICS</t>
  </si>
  <si>
    <t>8.1</t>
  </si>
  <si>
    <t>Logistics</t>
  </si>
  <si>
    <t>8.1.1</t>
  </si>
  <si>
    <t>Truck - Superlink</t>
  </si>
  <si>
    <t>8.1.2</t>
  </si>
  <si>
    <t xml:space="preserve">Customs clearing and local costs </t>
  </si>
  <si>
    <t>8.1.3</t>
  </si>
  <si>
    <t xml:space="preserve">Duties </t>
  </si>
  <si>
    <t>Value</t>
  </si>
  <si>
    <t>9.</t>
  </si>
  <si>
    <t>PROFESSIONAL FEES</t>
  </si>
  <si>
    <t>9.1</t>
  </si>
  <si>
    <t>Design fees</t>
  </si>
  <si>
    <t>9.1.1</t>
  </si>
  <si>
    <t xml:space="preserve">Civil, structural and water services engineer </t>
  </si>
  <si>
    <t>9.1.2</t>
  </si>
  <si>
    <t>Aquaculture equipment design</t>
  </si>
  <si>
    <t>9.1.3</t>
  </si>
  <si>
    <t>Architect</t>
  </si>
  <si>
    <t>9.1.4</t>
  </si>
  <si>
    <t xml:space="preserve">Electrical engineer </t>
  </si>
  <si>
    <t>9.1.5</t>
  </si>
  <si>
    <t xml:space="preserve">Sundry design consultants </t>
  </si>
  <si>
    <t>9.1.6</t>
  </si>
  <si>
    <t xml:space="preserve">Travel costs for consultants </t>
  </si>
  <si>
    <t>9.1.7</t>
  </si>
  <si>
    <t xml:space="preserve">Disbursement cost for consultants </t>
  </si>
  <si>
    <t>9.2</t>
  </si>
  <si>
    <t>Project management, quantity surveying, procurement &amp; cost cotrol</t>
  </si>
  <si>
    <t>9.2.1</t>
  </si>
  <si>
    <t>Project management</t>
  </si>
  <si>
    <t>9.2.2</t>
  </si>
  <si>
    <t xml:space="preserve">Quantity survey, Procurement &amp; Cost control </t>
  </si>
  <si>
    <t>9.2.3</t>
  </si>
  <si>
    <t xml:space="preserve">Travel costs for project manager </t>
  </si>
  <si>
    <t>9.2.4</t>
  </si>
  <si>
    <t xml:space="preserve">Disbursement cost for project manager </t>
  </si>
  <si>
    <t>10.</t>
  </si>
  <si>
    <t>CONTINGENCY</t>
  </si>
  <si>
    <t>CONTINGENCY ON CAPEX</t>
  </si>
  <si>
    <t>10.1.1</t>
  </si>
  <si>
    <t>Contingency (5% OF OVERALL PROJECT)</t>
  </si>
  <si>
    <t>10.1.2</t>
  </si>
  <si>
    <t xml:space="preserve">Foreign exchange rate risks </t>
  </si>
  <si>
    <t>10g fingerlings - 2kg harvest</t>
  </si>
  <si>
    <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Generator</t>
    </r>
  </si>
  <si>
    <r>
      <t>200m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/hr drum filter</t>
    </r>
  </si>
  <si>
    <r>
      <t>Cold-room (100m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</si>
  <si>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Generator</t>
    </r>
  </si>
  <si>
    <r>
      <t>Tank/cage volume spec.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)</t>
    </r>
  </si>
  <si>
    <t>TOTAL</t>
  </si>
  <si>
    <t>See Summary Bioplan</t>
  </si>
  <si>
    <t>12-25</t>
  </si>
  <si>
    <t>25-60</t>
  </si>
  <si>
    <t>CAGES REQUIRED (n)</t>
  </si>
  <si>
    <t>Hatchery</t>
  </si>
  <si>
    <t>Tank vol (m3)</t>
  </si>
  <si>
    <t>Volume (m3)</t>
  </si>
  <si>
    <t>Litres</t>
  </si>
  <si>
    <t>Hourly exchanges</t>
  </si>
  <si>
    <t>Flow rate (m3/h)</t>
  </si>
  <si>
    <t>Flow rate (lpm)</t>
  </si>
  <si>
    <t>Q-Tanks</t>
  </si>
  <si>
    <t>Cage vol</t>
  </si>
  <si>
    <t>Water quality requirements</t>
  </si>
  <si>
    <t>Optimal</t>
  </si>
  <si>
    <t>Range</t>
  </si>
  <si>
    <t>Dissolved oxygen (DO) (mg/L)</t>
  </si>
  <si>
    <t>5-8</t>
  </si>
  <si>
    <t>Temperature (Deg C)</t>
  </si>
  <si>
    <t>18-26</t>
  </si>
  <si>
    <t>pH</t>
  </si>
  <si>
    <t>7,7-7,9</t>
  </si>
  <si>
    <t>Carbon dioxide (CO2) (mg/L)</t>
  </si>
  <si>
    <t>&lt;20</t>
  </si>
  <si>
    <t>Ammonia-nitrogen (mg/L-N)</t>
  </si>
  <si>
    <t>Nitrite-nitrogen (mg/L)</t>
  </si>
  <si>
    <t>Nitrate-nitrogen (mg/L)</t>
  </si>
  <si>
    <t>&lt;100</t>
  </si>
  <si>
    <t>Salinity (ppt)</t>
  </si>
  <si>
    <t>Alkalinity (mg/L)</t>
  </si>
  <si>
    <t>120-200</t>
  </si>
  <si>
    <t>Hardness (mg/L)</t>
  </si>
  <si>
    <t>TSS (mg/L)</t>
  </si>
  <si>
    <t>&lt;10</t>
  </si>
  <si>
    <t>System parameters - Hatchery</t>
  </si>
  <si>
    <t>kg</t>
  </si>
  <si>
    <r>
      <t>kg</t>
    </r>
    <r>
      <rPr>
        <vertAlign val="superscript"/>
        <sz val="8"/>
        <rFont val="Calibri"/>
        <family val="2"/>
        <scheme val="minor"/>
      </rPr>
      <t>-1</t>
    </r>
    <r>
      <rPr>
        <sz val="8"/>
        <rFont val="Calibri"/>
        <family val="2"/>
        <scheme val="minor"/>
      </rPr>
      <t xml:space="preserve"> TAN</t>
    </r>
  </si>
  <si>
    <t>kgTAN</t>
  </si>
  <si>
    <r>
      <t>kgTAN/m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/day</t>
    </r>
  </si>
  <si>
    <r>
      <t>m</t>
    </r>
    <r>
      <rPr>
        <vertAlign val="superscript"/>
        <sz val="8"/>
        <rFont val="Calibri"/>
        <family val="2"/>
        <scheme val="minor"/>
      </rPr>
      <t>2</t>
    </r>
  </si>
  <si>
    <r>
      <t>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/m</t>
    </r>
    <r>
      <rPr>
        <vertAlign val="superscript"/>
        <sz val="8"/>
        <rFont val="Calibri"/>
        <family val="2"/>
        <scheme val="minor"/>
      </rPr>
      <t>3</t>
    </r>
  </si>
  <si>
    <t>Volume of biofilter media required</t>
  </si>
  <si>
    <r>
      <t>m</t>
    </r>
    <r>
      <rPr>
        <vertAlign val="superscript"/>
        <sz val="8"/>
        <rFont val="Calibri"/>
        <family val="2"/>
        <scheme val="minor"/>
      </rPr>
      <t>3</t>
    </r>
  </si>
  <si>
    <r>
      <t>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/h</t>
    </r>
  </si>
  <si>
    <t>Max water temp</t>
  </si>
  <si>
    <t>deg C</t>
  </si>
  <si>
    <t>Elevation above sea level</t>
  </si>
  <si>
    <t>DO at Saturation</t>
  </si>
  <si>
    <t>Inlet DO</t>
  </si>
  <si>
    <t>Outlet DO</t>
  </si>
  <si>
    <t>DO Consumption rate</t>
  </si>
  <si>
    <t>kg DO/kg feed</t>
  </si>
  <si>
    <t>Daily Oxygen Demand</t>
  </si>
  <si>
    <t>Daily Ozone Demand</t>
  </si>
  <si>
    <r>
      <t>kg O</t>
    </r>
    <r>
      <rPr>
        <vertAlign val="sub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/hr</t>
    </r>
  </si>
  <si>
    <r>
      <t>kg O</t>
    </r>
    <r>
      <rPr>
        <vertAlign val="sub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/day</t>
    </r>
  </si>
  <si>
    <r>
      <t>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Production Rate</t>
    </r>
  </si>
  <si>
    <r>
      <t>Hourly 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Production</t>
    </r>
  </si>
  <si>
    <r>
      <t>Daily 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Production</t>
    </r>
  </si>
  <si>
    <r>
      <t>kg/day CO</t>
    </r>
    <r>
      <rPr>
        <vertAlign val="subscript"/>
        <sz val="8"/>
        <rFont val="Calibri"/>
        <family val="2"/>
        <scheme val="minor"/>
      </rPr>
      <t>2</t>
    </r>
  </si>
  <si>
    <t>Solids Production</t>
  </si>
  <si>
    <t>l/day</t>
  </si>
  <si>
    <t>Make-up flow as % System Volume per day</t>
  </si>
  <si>
    <t>Make-up flow rate</t>
  </si>
  <si>
    <t>l/min</t>
  </si>
  <si>
    <t>Make-up water DO concentration</t>
  </si>
  <si>
    <t>Make-up water TAN concentration</t>
  </si>
  <si>
    <t>Make-up water CO2 concentration</t>
  </si>
  <si>
    <t>Make-up water nitrate-nitrite concentration</t>
  </si>
  <si>
    <t>Make-up water TSS concentration</t>
  </si>
  <si>
    <t>Cbest</t>
  </si>
  <si>
    <t>Conc entering tank (mg/L)</t>
  </si>
  <si>
    <t>CO2 removal efficiency</t>
  </si>
  <si>
    <t>TAN removal efficiency</t>
  </si>
  <si>
    <t>TSS removal efficiency</t>
  </si>
  <si>
    <t>O2 transfer efficiency</t>
  </si>
  <si>
    <t>Defined</t>
  </si>
  <si>
    <t>Daily ozone application rate</t>
  </si>
  <si>
    <r>
      <t>kg O</t>
    </r>
    <r>
      <rPr>
        <vertAlign val="sub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/kg feed</t>
    </r>
  </si>
  <si>
    <t>Total flow required based on tank exchange (hatchery)</t>
  </si>
  <si>
    <t>lpm</t>
  </si>
  <si>
    <t>Reuse flow required based on DO</t>
  </si>
  <si>
    <t>Reuse flow required based on TAN</t>
  </si>
  <si>
    <t>Reuse flow required based on CO2</t>
  </si>
  <si>
    <t>Make-up flow based on Nitrate</t>
  </si>
  <si>
    <t>6.6</t>
  </si>
  <si>
    <t>Q-Tanks (up to 30g)</t>
  </si>
  <si>
    <t>6.6.1</t>
  </si>
  <si>
    <t>6.6.2</t>
  </si>
  <si>
    <t>6.6.3</t>
  </si>
  <si>
    <t>6.6.4</t>
  </si>
  <si>
    <t>6.6.9</t>
  </si>
  <si>
    <t>6.6.10</t>
  </si>
  <si>
    <t>Water treatment for hatchery</t>
  </si>
  <si>
    <t>Drum filter (max 485 m3/h)</t>
  </si>
  <si>
    <t>Drum filter crating</t>
  </si>
  <si>
    <t>HPRS - Drum filter pump</t>
  </si>
  <si>
    <t>6.6.5</t>
  </si>
  <si>
    <t>6.6.6</t>
  </si>
  <si>
    <t>6.6.7</t>
  </si>
  <si>
    <t>MAX CAGES REQUIRED (n)</t>
  </si>
  <si>
    <t>Aquaculture systems - Hatchery</t>
  </si>
  <si>
    <t>Blower - 4,1kW</t>
  </si>
  <si>
    <t>Accessories (Inlet filter/ pressure relief and guage/ heat dissipation pipe)</t>
  </si>
  <si>
    <t>Deliveries</t>
  </si>
  <si>
    <t>Aquaculture systems - Cages</t>
  </si>
  <si>
    <t>Fingerling cost</t>
  </si>
  <si>
    <t xml:space="preserve">Cost of sales </t>
  </si>
  <si>
    <t>System return pump (hatchery)</t>
  </si>
  <si>
    <t>BATCH BIOMASS (kg)</t>
  </si>
  <si>
    <t>HARVEST (kg)</t>
  </si>
  <si>
    <t>MORTALITY WASTE (kg)</t>
  </si>
  <si>
    <t>Q - TANKS REQUIRED (n)</t>
  </si>
  <si>
    <t>MAX Q-TANKS REQ (n)</t>
  </si>
  <si>
    <t>Fish weight (g) at stocking</t>
  </si>
  <si>
    <t>Oct - Year 2</t>
  </si>
  <si>
    <t>Production Schedule</t>
  </si>
  <si>
    <t>Section/Days</t>
  </si>
  <si>
    <t>Broodstock spawning</t>
  </si>
  <si>
    <t>Egg collection and incubation</t>
  </si>
  <si>
    <t>Larviculture</t>
  </si>
  <si>
    <t>Quarantine</t>
  </si>
  <si>
    <t>Drum filter</t>
  </si>
  <si>
    <t>HPRS</t>
  </si>
  <si>
    <t>5.6.7</t>
  </si>
  <si>
    <t>5.6.8</t>
  </si>
  <si>
    <t>Cage Growout/Harvest</t>
  </si>
  <si>
    <t>Consingment size (kg)</t>
  </si>
  <si>
    <t>Average price per kg EXW</t>
  </si>
  <si>
    <t>ECONOMIC INDICATORS</t>
  </si>
  <si>
    <t>SENSITIVITIES</t>
  </si>
  <si>
    <t>Data</t>
  </si>
  <si>
    <t>Harvest (LFE) T</t>
  </si>
  <si>
    <t>Product processed (G&amp;G)</t>
  </si>
  <si>
    <t xml:space="preserve">Product consigned </t>
  </si>
  <si>
    <t>SA product</t>
  </si>
  <si>
    <t>International product</t>
  </si>
  <si>
    <t>Product invoiced (ZAR)</t>
  </si>
  <si>
    <t>Through-rate Price (ZAR/kg)</t>
  </si>
  <si>
    <t>Sales Costs</t>
  </si>
  <si>
    <t>TOTAL COSTS</t>
  </si>
  <si>
    <t>Total costs /kg</t>
  </si>
  <si>
    <t>Sales Costs /kg</t>
  </si>
  <si>
    <t>Variable costs of production /kg</t>
  </si>
  <si>
    <t>Overhead expenses /kg</t>
  </si>
  <si>
    <t>Feed costs</t>
  </si>
  <si>
    <t>GO costs</t>
  </si>
  <si>
    <t>Overhead costs</t>
  </si>
  <si>
    <t>Processing costs</t>
  </si>
  <si>
    <t>Per KG Cost Analysis</t>
  </si>
  <si>
    <t>Feed costs /kg LFE</t>
  </si>
  <si>
    <t>GO costs /kg LFE</t>
  </si>
  <si>
    <t>Overhead costs /Kg LFE</t>
  </si>
  <si>
    <t>Financing costs /kg LFE</t>
  </si>
  <si>
    <t>Gilling +  gutting loss @ 90% yield</t>
  </si>
  <si>
    <t>Processing costs /kg G&amp;G</t>
  </si>
  <si>
    <t>TOTAL COSTS FOB /kg G&amp;G</t>
  </si>
  <si>
    <t>Sales costs /kg G&amp;G</t>
  </si>
  <si>
    <t>TOTAL COSTS SOLD /kg G&amp;G</t>
  </si>
  <si>
    <t>Target price @ 25% margin</t>
  </si>
  <si>
    <t>Target price @ 33% margin</t>
  </si>
  <si>
    <t xml:space="preserve">Margin @ budget price of </t>
  </si>
  <si>
    <t>TOTAL COSTS ex-Cage /kg G&amp;G</t>
  </si>
  <si>
    <t>TOTAL COSTS ex-Cage /kg LFE</t>
  </si>
  <si>
    <t>Grow-out consumables</t>
  </si>
  <si>
    <t>Heat pump - egg incubation</t>
  </si>
  <si>
    <t>Heat pump - Broodstock</t>
  </si>
  <si>
    <t>Heat pump - Quarantine</t>
  </si>
  <si>
    <t>Juvenile costs /kg LFE</t>
  </si>
  <si>
    <t>Net replacement</t>
  </si>
  <si>
    <t>Break bulk</t>
  </si>
  <si>
    <t xml:space="preserve">Seafreight to Port </t>
  </si>
  <si>
    <t>Dusky Kob Feed Cost</t>
  </si>
  <si>
    <t>Capital Expenditure</t>
  </si>
  <si>
    <t>Capital Expenditure (Fixed)</t>
  </si>
  <si>
    <t>Capital Expenditure (Variable)</t>
  </si>
  <si>
    <t>Income</t>
  </si>
  <si>
    <t>Sales Price /kg G&amp;G</t>
  </si>
  <si>
    <t>Variable Costs</t>
  </si>
  <si>
    <t>Juvenile costs</t>
  </si>
  <si>
    <t>Grow-out costs</t>
  </si>
  <si>
    <t>Cost of Sales</t>
  </si>
  <si>
    <t>Fixed costs</t>
  </si>
  <si>
    <t>Financing of capital costs</t>
  </si>
  <si>
    <t>Total costs</t>
  </si>
  <si>
    <t>Sensitivities</t>
  </si>
  <si>
    <t>Sales price upper range</t>
  </si>
  <si>
    <t>Sales price lower range</t>
  </si>
  <si>
    <t>Upper range</t>
  </si>
  <si>
    <t>Lower range</t>
  </si>
  <si>
    <t>Cost of sales</t>
  </si>
  <si>
    <t>Total costs upper</t>
  </si>
  <si>
    <t>Total costs lower</t>
  </si>
  <si>
    <t>Fixed costs/kg</t>
  </si>
  <si>
    <t>Hatchery/nursery/live feed production costs</t>
  </si>
  <si>
    <t>Laboratory costs</t>
  </si>
  <si>
    <t>Fixed costs /Kg LFE</t>
  </si>
  <si>
    <t>DUSKY KOB CAGE OPERATION</t>
  </si>
  <si>
    <t xml:space="preserve">Variable costs of production </t>
  </si>
  <si>
    <t>Yield loss costs</t>
  </si>
  <si>
    <t>Water lease fees (per m2)</t>
  </si>
  <si>
    <t>Area size requirements</t>
  </si>
  <si>
    <t>Water lease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</si>
</sst>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R&quot;\ #,##0;[Red]&quot;R&quot;\ \-#,##0"/>
    <numFmt numFmtId="8" formatCode="&quot;R&quot;\ #,##0.00;[Red]&quot;R&quot;\ \-#,##0.00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_ ;_ * \-#,##0_ ;_ * &quot;-&quot;??_ ;_ @_ "/>
    <numFmt numFmtId="169" formatCode="_-[$$-409]* #,##0.00_ ;_-[$$-409]* \-#,##0.00\ ;_-[$$-409]* &quot;-&quot;??_ ;_-@_ "/>
    <numFmt numFmtId="170" formatCode="_-&quot;£&quot;* #,##0.00_-;\-&quot;£&quot;* #,##0.00_-;_-&quot;£&quot;* &quot;-&quot;??_-;_-@_-"/>
    <numFmt numFmtId="171" formatCode="_(* #,##0_);_(* \(#,##0\);_(* &quot;-&quot;??_);_(@_)"/>
    <numFmt numFmtId="172" formatCode="_ [$USD]\ * #,##0_ ;_ [$USD]\ * \-#,##0_ ;_ [$USD]\ * &quot;-&quot;??_ ;_ @_ "/>
    <numFmt numFmtId="173" formatCode="_ * #,##0.0_ ;_ * \-#,##0.0_ ;_ * &quot;-&quot;??_ ;_ @_ "/>
    <numFmt numFmtId="174" formatCode="_ * #,##0.000_ ;_ * \-#,##0.000_ ;_ * &quot;-&quot;??_ ;_ @_ "/>
    <numFmt numFmtId="175" formatCode="_ [$R-1C09]\ * #,##0.00_ ;_ [$R-1C09]\ * \-#,##0.00_ ;_ [$R-1C09]\ * &quot;-&quot;??_ ;_ @_ "/>
    <numFmt numFmtId="176" formatCode="_ * #,##0.0000_ ;_ * \-#,##0.0000_ ;_ * &quot;-&quot;??_ ;_ @_ "/>
    <numFmt numFmtId="177" formatCode="_(* #,##0.00_);_(* \(#,##0.00\);_(* &quot;-&quot;_);_(@_)"/>
    <numFmt numFmtId="178" formatCode="_-* #,##0_-;\-* #,##0_-;_-* &quot;-&quot;??_-;_-@_-"/>
    <numFmt numFmtId="179" formatCode="_ [$€-2]\ * #,##0.00_ ;_ [$€-2]\ * \-#,##0.00_ ;_ [$€-2]\ * &quot;-&quot;??_ ;_ @_ "/>
    <numFmt numFmtId="180" formatCode="0.0%"/>
    <numFmt numFmtId="181" formatCode="0.0"/>
    <numFmt numFmtId="182" formatCode="_ [$RWF]\ * #,##0_ ;_ [$RWF]\ * \-#,##0_ ;_ [$RWF]\ * &quot;-&quot;??_ ;_ @_ "/>
    <numFmt numFmtId="183" formatCode="_ [$R-1C09]\ * #,##0_ ;_ [$R-1C09]\ * \-#,##0_ ;_ [$R-1C09]\ * &quot;-&quot;??_ ;_ @_ "/>
    <numFmt numFmtId="184" formatCode="_ * #,##0.00_ ;_ * \-#,##0.00_ ;_ * &quot;-&quot;_ ;_ @_ "/>
    <numFmt numFmtId="185" formatCode="0.000"/>
    <numFmt numFmtId="186" formatCode="0.0000"/>
    <numFmt numFmtId="187" formatCode="_(* #,##0.000_);_(* \(#,##0.000\);_(* &quot;-&quot;_);_(@_)"/>
    <numFmt numFmtId="188" formatCode="_ [$ZAR]\ * #,##0.00_ ;_ [$ZAR]\ * \-#,##0.00_ ;_ [$ZAR]\ * &quot;-&quot;??_ ;_ @_ "/>
    <numFmt numFmtId="189" formatCode="#,##0_ ;\-#,##0\ "/>
    <numFmt numFmtId="190" formatCode="[$ZAR]\ #,##0;[$ZAR]\ \-#,##0"/>
    <numFmt numFmtId="191" formatCode="[$ZAR]\ #,##0.00;[$ZAR]\ \-#,##0.00"/>
    <numFmt numFmtId="192" formatCode="_ * #,##0.00000_ ;_ * \-#,##0.00000_ ;_ * &quot;-&quot;??_ ;_ @_ "/>
    <numFmt numFmtId="193" formatCode="_-* #,##0.00000_-;\-* #,##0.00000_-;_-* &quot;-&quot;?????_-;_-@_-"/>
    <numFmt numFmtId="194" formatCode="_(* #,##0.0_);_(* \(#,##0.0\);_(* &quot;-&quot;_);_(@_)"/>
    <numFmt numFmtId="195" formatCode="_-* #,##0.0_-;\-* #,##0.0_-;_-* &quot;-&quot;??_-;_-@_-"/>
    <numFmt numFmtId="196" formatCode="[$ZAR]\ #,##0.00;\-[$ZAR]\ #,##0.0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DB3337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6"/>
      <color rgb="FFD00023"/>
      <name val="Calibri"/>
      <family val="2"/>
      <scheme val="minor"/>
    </font>
    <font>
      <b/>
      <sz val="12"/>
      <color rgb="FFD00023"/>
      <name val="Calibri"/>
      <family val="2"/>
      <scheme val="minor"/>
    </font>
    <font>
      <sz val="10"/>
      <color rgb="FFD0002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sz val="22"/>
      <color theme="3"/>
      <name val="Segoe UI"/>
      <family val="2"/>
    </font>
    <font>
      <sz val="24"/>
      <color theme="3"/>
      <name val="Segoe UI"/>
      <family val="2"/>
    </font>
    <font>
      <b/>
      <sz val="11"/>
      <color theme="1"/>
      <name val="Segoe UI"/>
      <family val="2"/>
    </font>
    <font>
      <sz val="10"/>
      <color theme="3"/>
      <name val="Segoe UI"/>
      <family val="2"/>
    </font>
    <font>
      <b/>
      <sz val="11"/>
      <name val="Calibri"/>
      <family val="2"/>
      <scheme val="minor"/>
    </font>
    <font>
      <sz val="22"/>
      <name val="Segoe UI"/>
      <family val="2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2"/>
      <color theme="3" tint="-0.249977111117893"/>
      <name val="Segoe UI"/>
      <family val="2"/>
    </font>
    <font>
      <b/>
      <sz val="1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20"/>
      <color theme="3" tint="-0.249977111117893"/>
      <name val="Segoe UI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3"/>
      <name val="Calibri"/>
      <family val="2"/>
    </font>
    <font>
      <sz val="12"/>
      <color theme="3"/>
      <name val="Calibri"/>
      <family val="2"/>
    </font>
    <font>
      <sz val="16"/>
      <color theme="3" tint="-0.249977111117893"/>
      <name val="Segoe UI"/>
      <family val="2"/>
    </font>
    <font>
      <sz val="10"/>
      <color indexed="12"/>
      <name val="Calibri"/>
      <family val="2"/>
      <scheme val="minor"/>
    </font>
    <font>
      <b/>
      <sz val="12"/>
      <color rgb="FFDB3337"/>
      <name val="Calibri"/>
      <family val="2"/>
      <scheme val="minor"/>
    </font>
    <font>
      <sz val="12"/>
      <name val="Calibri"/>
      <family val="2"/>
    </font>
    <font>
      <sz val="10.199999999999999"/>
      <name val="Calibri"/>
      <family val="2"/>
    </font>
    <font>
      <b/>
      <sz val="1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</font>
    <font>
      <sz val="11"/>
      <name val="Segoe UI"/>
      <family val="2"/>
    </font>
    <font>
      <b/>
      <sz val="18"/>
      <color theme="3"/>
      <name val="Segoe UI"/>
      <family val="2"/>
    </font>
    <font>
      <b/>
      <sz val="18"/>
      <color rgb="FFDB3337"/>
      <name val="Segoe UI"/>
      <family val="2"/>
    </font>
    <font>
      <sz val="18"/>
      <color rgb="FFDB3337"/>
      <name val="Segoe UI"/>
      <family val="2"/>
    </font>
    <font>
      <b/>
      <sz val="10"/>
      <color rgb="FFD00023"/>
      <name val="Segoe UI"/>
      <family val="2"/>
    </font>
    <font>
      <sz val="14"/>
      <color theme="1"/>
      <name val="Segoe UI"/>
      <family val="2"/>
    </font>
    <font>
      <b/>
      <sz val="12"/>
      <color theme="1"/>
      <name val="Segoe UI"/>
      <family val="2"/>
    </font>
    <font>
      <sz val="9"/>
      <color theme="1"/>
      <name val="Segoe UI"/>
      <family val="2"/>
    </font>
    <font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8"/>
      <color indexed="62"/>
      <name val="Calibri"/>
      <family val="2"/>
      <scheme val="minor"/>
    </font>
    <font>
      <b/>
      <i/>
      <sz val="8"/>
      <color indexed="6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8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/>
      <diagonal/>
    </border>
    <border>
      <left/>
      <right style="medium">
        <color theme="0"/>
      </right>
      <top/>
      <bottom style="thin">
        <color theme="0" tint="-0.499984740745262"/>
      </bottom>
      <diagonal/>
    </border>
    <border>
      <left/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/>
      </right>
      <top style="thin">
        <color theme="0" tint="-0.499984740745262"/>
      </top>
      <bottom/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 style="medium">
        <color theme="1" tint="0.34998626667073579"/>
      </bottom>
      <diagonal/>
    </border>
    <border>
      <left style="medium">
        <color theme="0"/>
      </left>
      <right/>
      <top style="medium">
        <color theme="0" tint="-0.499984740745262"/>
      </top>
      <bottom style="medium">
        <color theme="1" tint="0.34998626667073579"/>
      </bottom>
      <diagonal/>
    </border>
    <border>
      <left/>
      <right style="medium">
        <color theme="0"/>
      </right>
      <top style="medium">
        <color theme="0" tint="-0.499984740745262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0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theme="0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medium">
        <color theme="0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theme="0"/>
      </left>
      <right style="thin">
        <color indexed="64"/>
      </right>
      <top style="medium">
        <color theme="0" tint="-0.499984740745262"/>
      </top>
      <bottom style="medium">
        <color theme="1" tint="0.34998626667073579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1" tint="0.34998626667073579"/>
      </bottom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1" tint="0.34998626667073579"/>
      </top>
      <bottom/>
      <diagonal/>
    </border>
    <border>
      <left style="medium">
        <color theme="0"/>
      </left>
      <right/>
      <top style="medium">
        <color theme="1" tint="0.34998626667073579"/>
      </top>
      <bottom/>
      <diagonal/>
    </border>
    <border>
      <left/>
      <right style="medium">
        <color theme="0"/>
      </right>
      <top style="medium">
        <color theme="1" tint="0.34998626667073579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 tint="-0.499984740745262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theme="0" tint="-0.499984740745262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1" tint="0.34998626667073579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theme="0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theme="0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medium">
        <color theme="0" tint="-0.499984740745262"/>
      </bottom>
      <diagonal/>
    </border>
    <border>
      <left style="thin">
        <color auto="1"/>
      </left>
      <right/>
      <top/>
      <bottom style="medium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1" fillId="0" borderId="0"/>
    <xf numFmtId="0" fontId="20" fillId="0" borderId="0"/>
    <xf numFmtId="0" fontId="11" fillId="0" borderId="0"/>
    <xf numFmtId="44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0">
    <xf numFmtId="0" fontId="0" fillId="0" borderId="0" xfId="0"/>
    <xf numFmtId="0" fontId="5" fillId="2" borderId="0" xfId="3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/>
    <xf numFmtId="0" fontId="3" fillId="2" borderId="0" xfId="0" applyFont="1" applyFill="1"/>
    <xf numFmtId="0" fontId="8" fillId="2" borderId="0" xfId="0" applyFont="1" applyFill="1"/>
    <xf numFmtId="0" fontId="4" fillId="2" borderId="0" xfId="0" quotePrefix="1" applyFont="1" applyFill="1"/>
    <xf numFmtId="168" fontId="4" fillId="2" borderId="0" xfId="1" applyNumberFormat="1" applyFont="1" applyFill="1"/>
    <xf numFmtId="168" fontId="3" fillId="2" borderId="0" xfId="1" applyNumberFormat="1" applyFont="1" applyFill="1" applyBorder="1"/>
    <xf numFmtId="168" fontId="3" fillId="2" borderId="0" xfId="1" applyNumberFormat="1" applyFont="1" applyFill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4" fillId="4" borderId="0" xfId="0" applyFont="1" applyFill="1"/>
    <xf numFmtId="0" fontId="4" fillId="4" borderId="0" xfId="0" applyFont="1" applyFill="1" applyBorder="1"/>
    <xf numFmtId="0" fontId="9" fillId="2" borderId="0" xfId="0" applyFont="1" applyFill="1" applyAlignment="1">
      <alignment horizontal="center" vertical="center" wrapText="1"/>
    </xf>
    <xf numFmtId="168" fontId="5" fillId="2" borderId="0" xfId="3" applyNumberFormat="1" applyFont="1" applyFill="1" applyBorder="1" applyAlignment="1">
      <alignment horizontal="center"/>
    </xf>
    <xf numFmtId="43" fontId="4" fillId="2" borderId="0" xfId="1" applyFont="1" applyFill="1" applyBorder="1"/>
    <xf numFmtId="0" fontId="13" fillId="2" borderId="0" xfId="0" applyFont="1" applyFill="1"/>
    <xf numFmtId="0" fontId="13" fillId="2" borderId="1" xfId="0" applyFont="1" applyFill="1" applyBorder="1"/>
    <xf numFmtId="43" fontId="13" fillId="2" borderId="1" xfId="0" applyNumberFormat="1" applyFont="1" applyFill="1" applyBorder="1" applyAlignment="1">
      <alignment horizontal="center"/>
    </xf>
    <xf numFmtId="9" fontId="4" fillId="2" borderId="0" xfId="2" applyFont="1" applyFill="1" applyBorder="1"/>
    <xf numFmtId="172" fontId="12" fillId="2" borderId="0" xfId="42" applyFont="1" applyFill="1"/>
    <xf numFmtId="172" fontId="12" fillId="2" borderId="0" xfId="42" applyFont="1" applyFill="1" applyBorder="1" applyAlignment="1">
      <alignment horizontal="center"/>
    </xf>
    <xf numFmtId="172" fontId="12" fillId="2" borderId="0" xfId="42" applyFont="1" applyFill="1" applyBorder="1"/>
    <xf numFmtId="38" fontId="12" fillId="2" borderId="0" xfId="42" applyNumberFormat="1" applyFont="1" applyFill="1" applyBorder="1"/>
    <xf numFmtId="38" fontId="12" fillId="2" borderId="8" xfId="42" applyNumberFormat="1" applyFont="1" applyFill="1" applyBorder="1" applyAlignment="1">
      <alignment horizontal="right"/>
    </xf>
    <xf numFmtId="0" fontId="14" fillId="2" borderId="0" xfId="0" applyFont="1" applyFill="1" applyAlignment="1">
      <alignment vertical="center" wrapText="1"/>
    </xf>
    <xf numFmtId="17" fontId="12" fillId="2" borderId="0" xfId="42" applyNumberFormat="1" applyFont="1" applyFill="1" applyBorder="1"/>
    <xf numFmtId="0" fontId="0" fillId="2" borderId="0" xfId="0" applyFill="1" applyBorder="1"/>
    <xf numFmtId="172" fontId="12" fillId="2" borderId="3" xfId="42" applyFont="1" applyFill="1" applyBorder="1"/>
    <xf numFmtId="172" fontId="12" fillId="2" borderId="5" xfId="42" applyFont="1" applyFill="1" applyBorder="1"/>
    <xf numFmtId="38" fontId="12" fillId="2" borderId="0" xfId="42" applyNumberFormat="1" applyFont="1" applyFill="1" applyBorder="1" applyAlignment="1">
      <alignment horizontal="center"/>
    </xf>
    <xf numFmtId="172" fontId="12" fillId="2" borderId="5" xfId="42" applyFont="1" applyFill="1" applyBorder="1" applyAlignment="1">
      <alignment horizontal="left"/>
    </xf>
    <xf numFmtId="172" fontId="16" fillId="2" borderId="0" xfId="42" applyFont="1" applyFill="1" applyBorder="1" applyAlignment="1">
      <alignment horizontal="center"/>
    </xf>
    <xf numFmtId="38" fontId="12" fillId="2" borderId="0" xfId="42" applyNumberFormat="1" applyFont="1" applyFill="1" applyBorder="1" applyAlignment="1">
      <alignment horizontal="left"/>
    </xf>
    <xf numFmtId="9" fontId="12" fillId="2" borderId="0" xfId="2" applyFont="1" applyFill="1" applyBorder="1" applyAlignment="1">
      <alignment horizontal="left"/>
    </xf>
    <xf numFmtId="172" fontId="15" fillId="2" borderId="5" xfId="42" applyFont="1" applyFill="1" applyBorder="1" applyAlignment="1">
      <alignment horizontal="left"/>
    </xf>
    <xf numFmtId="38" fontId="16" fillId="2" borderId="0" xfId="42" applyNumberFormat="1" applyFont="1" applyFill="1" applyBorder="1" applyAlignment="1">
      <alignment horizontal="center"/>
    </xf>
    <xf numFmtId="0" fontId="12" fillId="2" borderId="5" xfId="42" applyNumberFormat="1" applyFont="1" applyFill="1" applyBorder="1" applyAlignment="1">
      <alignment horizontal="center"/>
    </xf>
    <xf numFmtId="172" fontId="12" fillId="2" borderId="5" xfId="42" applyFont="1" applyFill="1" applyBorder="1" applyAlignment="1">
      <alignment horizontal="left" indent="1"/>
    </xf>
    <xf numFmtId="38" fontId="12" fillId="2" borderId="0" xfId="42" applyNumberFormat="1" applyFont="1" applyFill="1" applyBorder="1" applyAlignment="1">
      <alignment horizontal="left" indent="1"/>
    </xf>
    <xf numFmtId="168" fontId="12" fillId="2" borderId="0" xfId="1" applyNumberFormat="1" applyFont="1" applyFill="1" applyBorder="1" applyAlignment="1">
      <alignment horizontal="center"/>
    </xf>
    <xf numFmtId="0" fontId="12" fillId="5" borderId="0" xfId="0" applyFont="1" applyFill="1"/>
    <xf numFmtId="0" fontId="12" fillId="5" borderId="0" xfId="0" applyNumberFormat="1" applyFont="1" applyFill="1"/>
    <xf numFmtId="167" fontId="12" fillId="5" borderId="0" xfId="0" applyNumberFormat="1" applyFont="1" applyFill="1"/>
    <xf numFmtId="171" fontId="12" fillId="5" borderId="0" xfId="0" applyNumberFormat="1" applyFont="1" applyFill="1"/>
    <xf numFmtId="0" fontId="17" fillId="5" borderId="0" xfId="0" applyFont="1" applyFill="1"/>
    <xf numFmtId="0" fontId="12" fillId="5" borderId="7" xfId="0" applyFont="1" applyFill="1" applyBorder="1"/>
    <xf numFmtId="168" fontId="4" fillId="2" borderId="0" xfId="10" applyNumberFormat="1" applyFont="1" applyFill="1" applyBorder="1" applyAlignment="1">
      <alignment horizontal="left"/>
    </xf>
    <xf numFmtId="168" fontId="8" fillId="2" borderId="0" xfId="0" applyNumberFormat="1" applyFont="1" applyFill="1" applyBorder="1"/>
    <xf numFmtId="168" fontId="1" fillId="2" borderId="0" xfId="1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/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3" fontId="13" fillId="2" borderId="0" xfId="0" applyNumberFormat="1" applyFont="1" applyFill="1" applyBorder="1" applyAlignment="1">
      <alignment horizontal="center"/>
    </xf>
    <xf numFmtId="0" fontId="4" fillId="2" borderId="0" xfId="28" applyFill="1"/>
    <xf numFmtId="0" fontId="4" fillId="2" borderId="0" xfId="28" applyFill="1" applyBorder="1"/>
    <xf numFmtId="0" fontId="4" fillId="0" borderId="0" xfId="28" applyBorder="1"/>
    <xf numFmtId="0" fontId="4" fillId="0" borderId="0" xfId="28"/>
    <xf numFmtId="0" fontId="4" fillId="2" borderId="0" xfId="0" applyFont="1" applyFill="1" applyAlignment="1"/>
    <xf numFmtId="0" fontId="27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8" fillId="4" borderId="0" xfId="0" applyFont="1" applyFill="1" applyBorder="1"/>
    <xf numFmtId="0" fontId="2" fillId="2" borderId="0" xfId="0" applyFont="1" applyFill="1"/>
    <xf numFmtId="0" fontId="4" fillId="2" borderId="0" xfId="28" applyFill="1" applyAlignment="1">
      <alignment horizontal="center"/>
    </xf>
    <xf numFmtId="0" fontId="3" fillId="2" borderId="0" xfId="0" applyFont="1" applyFill="1" applyBorder="1"/>
    <xf numFmtId="168" fontId="3" fillId="2" borderId="6" xfId="1" applyNumberFormat="1" applyFont="1" applyFill="1" applyBorder="1"/>
    <xf numFmtId="0" fontId="25" fillId="2" borderId="0" xfId="0" applyFont="1" applyFill="1"/>
    <xf numFmtId="10" fontId="12" fillId="5" borderId="0" xfId="2" applyNumberFormat="1" applyFont="1" applyFill="1"/>
    <xf numFmtId="8" fontId="12" fillId="5" borderId="0" xfId="0" applyNumberFormat="1" applyFont="1" applyFill="1"/>
    <xf numFmtId="0" fontId="12" fillId="5" borderId="0" xfId="0" applyFont="1" applyFill="1" applyBorder="1"/>
    <xf numFmtId="43" fontId="12" fillId="2" borderId="0" xfId="1" applyFont="1" applyFill="1" applyBorder="1" applyAlignment="1">
      <alignment horizontal="center"/>
    </xf>
    <xf numFmtId="43" fontId="12" fillId="2" borderId="0" xfId="1" applyFont="1" applyFill="1" applyBorder="1"/>
    <xf numFmtId="176" fontId="12" fillId="2" borderId="0" xfId="1" applyNumberFormat="1" applyFont="1" applyFill="1" applyBorder="1"/>
    <xf numFmtId="0" fontId="4" fillId="2" borderId="0" xfId="0" applyFont="1" applyFill="1" applyBorder="1" applyAlignment="1"/>
    <xf numFmtId="0" fontId="0" fillId="2" borderId="0" xfId="0" quotePrefix="1" applyFont="1" applyFill="1"/>
    <xf numFmtId="43" fontId="12" fillId="5" borderId="0" xfId="0" applyNumberFormat="1" applyFont="1" applyFill="1"/>
    <xf numFmtId="0" fontId="33" fillId="2" borderId="0" xfId="0" applyFont="1" applyFill="1"/>
    <xf numFmtId="0" fontId="3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3" fillId="2" borderId="0" xfId="0" applyFont="1" applyFill="1" applyBorder="1"/>
    <xf numFmtId="0" fontId="0" fillId="2" borderId="0" xfId="0" applyFont="1" applyFill="1" applyAlignment="1">
      <alignment horizontal="center"/>
    </xf>
    <xf numFmtId="168" fontId="1" fillId="2" borderId="15" xfId="10" applyNumberFormat="1" applyFont="1" applyFill="1" applyBorder="1" applyAlignment="1">
      <alignment horizontal="left" indent="1"/>
    </xf>
    <xf numFmtId="0" fontId="38" fillId="2" borderId="19" xfId="0" quotePrefix="1" applyFont="1" applyFill="1" applyBorder="1" applyAlignment="1">
      <alignment horizontal="center" vertical="center"/>
    </xf>
    <xf numFmtId="0" fontId="38" fillId="2" borderId="11" xfId="0" quotePrefix="1" applyFont="1" applyFill="1" applyBorder="1" applyAlignment="1">
      <alignment horizontal="center" vertical="center"/>
    </xf>
    <xf numFmtId="168" fontId="24" fillId="2" borderId="13" xfId="10" applyNumberFormat="1" applyFont="1" applyFill="1" applyBorder="1" applyAlignment="1">
      <alignment horizontal="left" indent="1"/>
    </xf>
    <xf numFmtId="168" fontId="0" fillId="2" borderId="15" xfId="10" applyNumberFormat="1" applyFont="1" applyFill="1" applyBorder="1" applyAlignment="1">
      <alignment horizontal="left" indent="1"/>
    </xf>
    <xf numFmtId="168" fontId="24" fillId="2" borderId="15" xfId="10" applyNumberFormat="1" applyFont="1" applyFill="1" applyBorder="1" applyAlignment="1">
      <alignment horizontal="left" indent="1"/>
    </xf>
    <xf numFmtId="168" fontId="24" fillId="2" borderId="15" xfId="10" applyNumberFormat="1" applyFont="1" applyFill="1" applyBorder="1" applyAlignment="1">
      <alignment horizontal="left" wrapText="1" indent="1"/>
    </xf>
    <xf numFmtId="0" fontId="39" fillId="2" borderId="0" xfId="0" applyFont="1" applyFill="1" applyBorder="1" applyAlignment="1">
      <alignment horizontal="center" vertical="center"/>
    </xf>
    <xf numFmtId="168" fontId="33" fillId="2" borderId="34" xfId="10" applyNumberFormat="1" applyFont="1" applyFill="1" applyBorder="1" applyAlignment="1">
      <alignment horizontal="left" indent="1"/>
    </xf>
    <xf numFmtId="0" fontId="12" fillId="4" borderId="12" xfId="0" quotePrefix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top"/>
    </xf>
    <xf numFmtId="0" fontId="7" fillId="2" borderId="0" xfId="3" applyFont="1" applyFill="1" applyBorder="1" applyAlignment="1">
      <alignment horizontal="center"/>
    </xf>
    <xf numFmtId="168" fontId="8" fillId="2" borderId="0" xfId="10" applyNumberFormat="1" applyFont="1" applyFill="1" applyBorder="1" applyAlignment="1">
      <alignment horizontal="left"/>
    </xf>
    <xf numFmtId="171" fontId="8" fillId="2" borderId="0" xfId="0" applyNumberFormat="1" applyFont="1" applyFill="1" applyBorder="1"/>
    <xf numFmtId="165" fontId="4" fillId="4" borderId="16" xfId="10" applyNumberFormat="1" applyFont="1" applyFill="1" applyBorder="1" applyAlignment="1">
      <alignment horizontal="right"/>
    </xf>
    <xf numFmtId="165" fontId="4" fillId="2" borderId="16" xfId="10" applyNumberFormat="1" applyFont="1" applyFill="1" applyBorder="1" applyAlignment="1">
      <alignment horizontal="right"/>
    </xf>
    <xf numFmtId="165" fontId="4" fillId="2" borderId="26" xfId="10" applyNumberFormat="1" applyFont="1" applyFill="1" applyBorder="1" applyAlignment="1">
      <alignment horizontal="right"/>
    </xf>
    <xf numFmtId="165" fontId="4" fillId="2" borderId="36" xfId="10" applyNumberFormat="1" applyFont="1" applyFill="1" applyBorder="1" applyAlignment="1">
      <alignment horizontal="right"/>
    </xf>
    <xf numFmtId="0" fontId="0" fillId="2" borderId="0" xfId="0" applyFont="1" applyFill="1" applyAlignment="1"/>
    <xf numFmtId="0" fontId="6" fillId="2" borderId="0" xfId="3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165" fontId="2" fillId="2" borderId="14" xfId="10" applyNumberFormat="1" applyFont="1" applyFill="1" applyBorder="1" applyAlignment="1">
      <alignment horizontal="right"/>
    </xf>
    <xf numFmtId="165" fontId="1" fillId="2" borderId="16" xfId="10" applyNumberFormat="1" applyFont="1" applyFill="1" applyBorder="1" applyAlignment="1">
      <alignment horizontal="right"/>
    </xf>
    <xf numFmtId="165" fontId="1" fillId="2" borderId="23" xfId="10" applyNumberFormat="1" applyFont="1" applyFill="1" applyBorder="1" applyAlignment="1">
      <alignment horizontal="right"/>
    </xf>
    <xf numFmtId="165" fontId="1" fillId="2" borderId="28" xfId="1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1" fillId="2" borderId="18" xfId="10" applyNumberFormat="1" applyFont="1" applyFill="1" applyBorder="1" applyAlignment="1">
      <alignment horizontal="right"/>
    </xf>
    <xf numFmtId="165" fontId="2" fillId="2" borderId="31" xfId="10" applyNumberFormat="1" applyFont="1" applyFill="1" applyBorder="1" applyAlignment="1">
      <alignment horizontal="right"/>
    </xf>
    <xf numFmtId="168" fontId="2" fillId="2" borderId="25" xfId="10" applyNumberFormat="1" applyFont="1" applyFill="1" applyBorder="1" applyAlignment="1">
      <alignment horizontal="left"/>
    </xf>
    <xf numFmtId="168" fontId="2" fillId="2" borderId="14" xfId="10" applyNumberFormat="1" applyFont="1" applyFill="1" applyBorder="1" applyAlignment="1">
      <alignment horizontal="left"/>
    </xf>
    <xf numFmtId="168" fontId="2" fillId="2" borderId="25" xfId="0" applyNumberFormat="1" applyFont="1" applyFill="1" applyBorder="1"/>
    <xf numFmtId="168" fontId="2" fillId="2" borderId="14" xfId="0" applyNumberFormat="1" applyFont="1" applyFill="1" applyBorder="1"/>
    <xf numFmtId="0" fontId="24" fillId="2" borderId="0" xfId="0" applyFont="1" applyFill="1" applyAlignment="1">
      <alignment horizontal="left" indent="3"/>
    </xf>
    <xf numFmtId="0" fontId="24" fillId="2" borderId="0" xfId="0" applyFont="1" applyFill="1" applyAlignment="1">
      <alignment horizontal="left" indent="6"/>
    </xf>
    <xf numFmtId="0" fontId="9" fillId="2" borderId="0" xfId="0" applyFont="1" applyFill="1" applyAlignment="1">
      <alignment horizontal="left" indent="2"/>
    </xf>
    <xf numFmtId="165" fontId="4" fillId="2" borderId="0" xfId="1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175" fontId="4" fillId="4" borderId="0" xfId="1" applyNumberFormat="1" applyFont="1" applyFill="1" applyBorder="1"/>
    <xf numFmtId="0" fontId="8" fillId="2" borderId="0" xfId="0" applyFont="1" applyFill="1" applyBorder="1"/>
    <xf numFmtId="0" fontId="12" fillId="5" borderId="0" xfId="0" applyFont="1" applyFill="1" applyBorder="1" applyAlignment="1">
      <alignment horizontal="left"/>
    </xf>
    <xf numFmtId="9" fontId="18" fillId="5" borderId="0" xfId="2" applyFont="1" applyFill="1" applyBorder="1" applyAlignment="1">
      <alignment horizontal="center"/>
    </xf>
    <xf numFmtId="0" fontId="19" fillId="5" borderId="0" xfId="0" applyFont="1" applyFill="1" applyBorder="1"/>
    <xf numFmtId="165" fontId="4" fillId="2" borderId="26" xfId="10" applyNumberFormat="1" applyFont="1" applyFill="1" applyBorder="1" applyAlignment="1">
      <alignment horizontal="left"/>
    </xf>
    <xf numFmtId="165" fontId="4" fillId="4" borderId="26" xfId="10" applyNumberFormat="1" applyFont="1" applyFill="1" applyBorder="1" applyAlignment="1">
      <alignment horizontal="left"/>
    </xf>
    <xf numFmtId="165" fontId="4" fillId="4" borderId="26" xfId="10" applyNumberFormat="1" applyFont="1" applyFill="1" applyBorder="1" applyAlignment="1">
      <alignment horizontal="right"/>
    </xf>
    <xf numFmtId="9" fontId="4" fillId="4" borderId="26" xfId="2" applyFont="1" applyFill="1" applyBorder="1" applyAlignment="1">
      <alignment horizontal="right"/>
    </xf>
    <xf numFmtId="168" fontId="4" fillId="4" borderId="26" xfId="1" applyNumberFormat="1" applyFont="1" applyFill="1" applyBorder="1" applyAlignment="1">
      <alignment horizontal="right"/>
    </xf>
    <xf numFmtId="0" fontId="26" fillId="2" borderId="3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168" fontId="0" fillId="2" borderId="15" xfId="10" applyNumberFormat="1" applyFont="1" applyFill="1" applyBorder="1" applyAlignment="1">
      <alignment horizontal="left" indent="1"/>
    </xf>
    <xf numFmtId="168" fontId="1" fillId="2" borderId="15" xfId="10" applyNumberFormat="1" applyFont="1" applyFill="1" applyBorder="1" applyAlignment="1">
      <alignment horizontal="left" indent="1"/>
    </xf>
    <xf numFmtId="168" fontId="24" fillId="2" borderId="13" xfId="10" applyNumberFormat="1" applyFont="1" applyFill="1" applyBorder="1" applyAlignment="1">
      <alignment horizontal="left" indent="1"/>
    </xf>
    <xf numFmtId="0" fontId="30" fillId="2" borderId="25" xfId="10" applyNumberFormat="1" applyFont="1" applyFill="1" applyBorder="1" applyAlignment="1">
      <alignment horizontal="center"/>
    </xf>
    <xf numFmtId="0" fontId="27" fillId="2" borderId="26" xfId="10" applyNumberFormat="1" applyFont="1" applyFill="1" applyBorder="1" applyAlignment="1">
      <alignment horizontal="center"/>
    </xf>
    <xf numFmtId="0" fontId="30" fillId="2" borderId="26" xfId="10" applyNumberFormat="1" applyFont="1" applyFill="1" applyBorder="1" applyAlignment="1">
      <alignment horizontal="center"/>
    </xf>
    <xf numFmtId="168" fontId="24" fillId="2" borderId="26" xfId="10" applyNumberFormat="1" applyFont="1" applyFill="1" applyBorder="1" applyAlignment="1">
      <alignment wrapText="1"/>
    </xf>
    <xf numFmtId="0" fontId="30" fillId="2" borderId="15" xfId="10" applyNumberFormat="1" applyFont="1" applyFill="1" applyBorder="1" applyAlignment="1">
      <alignment horizontal="center"/>
    </xf>
    <xf numFmtId="168" fontId="37" fillId="4" borderId="10" xfId="10" applyNumberFormat="1" applyFont="1" applyFill="1" applyBorder="1" applyAlignment="1">
      <alignment horizontal="center" vertical="top"/>
    </xf>
    <xf numFmtId="0" fontId="38" fillId="4" borderId="44" xfId="0" quotePrefix="1" applyFont="1" applyFill="1" applyBorder="1" applyAlignment="1">
      <alignment horizontal="center" vertical="center"/>
    </xf>
    <xf numFmtId="0" fontId="30" fillId="2" borderId="45" xfId="10" applyNumberFormat="1" applyFont="1" applyFill="1" applyBorder="1" applyAlignment="1">
      <alignment horizontal="center"/>
    </xf>
    <xf numFmtId="0" fontId="30" fillId="2" borderId="26" xfId="10" applyNumberFormat="1" applyFont="1" applyFill="1" applyBorder="1" applyAlignment="1">
      <alignment horizontal="center" wrapText="1"/>
    </xf>
    <xf numFmtId="0" fontId="27" fillId="2" borderId="15" xfId="10" applyNumberFormat="1" applyFont="1" applyFill="1" applyBorder="1" applyAlignment="1">
      <alignment horizontal="center"/>
    </xf>
    <xf numFmtId="0" fontId="26" fillId="2" borderId="0" xfId="0" applyFont="1" applyFill="1" applyAlignment="1">
      <alignment vertical="center" wrapText="1"/>
    </xf>
    <xf numFmtId="0" fontId="26" fillId="2" borderId="9" xfId="0" applyFont="1" applyFill="1" applyBorder="1" applyAlignment="1">
      <alignment vertical="center" wrapText="1"/>
    </xf>
    <xf numFmtId="168" fontId="9" fillId="2" borderId="15" xfId="10" applyNumberFormat="1" applyFont="1" applyFill="1" applyBorder="1" applyAlignment="1">
      <alignment horizontal="left" indent="1"/>
    </xf>
    <xf numFmtId="165" fontId="2" fillId="2" borderId="28" xfId="10" applyNumberFormat="1" applyFont="1" applyFill="1" applyBorder="1" applyAlignment="1">
      <alignment horizontal="right"/>
    </xf>
    <xf numFmtId="0" fontId="41" fillId="2" borderId="26" xfId="10" applyNumberFormat="1" applyFont="1" applyFill="1" applyBorder="1" applyAlignment="1">
      <alignment horizontal="right"/>
    </xf>
    <xf numFmtId="0" fontId="41" fillId="2" borderId="26" xfId="1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0" fillId="2" borderId="0" xfId="0" quotePrefix="1" applyFont="1" applyFill="1" applyAlignment="1">
      <alignment horizontal="left" indent="1"/>
    </xf>
    <xf numFmtId="0" fontId="44" fillId="2" borderId="0" xfId="0" applyFont="1" applyFill="1" applyAlignment="1">
      <alignment vertical="center" wrapText="1"/>
    </xf>
    <xf numFmtId="0" fontId="45" fillId="2" borderId="0" xfId="0" applyFont="1" applyFill="1"/>
    <xf numFmtId="0" fontId="4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40" fillId="2" borderId="0" xfId="0" applyFont="1" applyFill="1" applyAlignment="1">
      <alignment horizontal="left" indent="1"/>
    </xf>
    <xf numFmtId="165" fontId="4" fillId="4" borderId="16" xfId="10" applyNumberFormat="1" applyFont="1" applyFill="1" applyBorder="1" applyAlignment="1">
      <alignment horizontal="left"/>
    </xf>
    <xf numFmtId="165" fontId="4" fillId="4" borderId="16" xfId="10" applyNumberFormat="1" applyFont="1" applyFill="1" applyBorder="1" applyAlignment="1">
      <alignment horizontal="left" indent="2"/>
    </xf>
    <xf numFmtId="0" fontId="4" fillId="4" borderId="16" xfId="10" applyNumberFormat="1" applyFont="1" applyFill="1" applyBorder="1" applyAlignment="1">
      <alignment horizontal="center"/>
    </xf>
    <xf numFmtId="165" fontId="4" fillId="4" borderId="23" xfId="10" applyNumberFormat="1" applyFont="1" applyFill="1" applyBorder="1" applyAlignment="1">
      <alignment horizontal="left"/>
    </xf>
    <xf numFmtId="0" fontId="4" fillId="4" borderId="16" xfId="10" applyNumberFormat="1" applyFont="1" applyFill="1" applyBorder="1" applyAlignment="1">
      <alignment horizontal="left"/>
    </xf>
    <xf numFmtId="0" fontId="4" fillId="6" borderId="16" xfId="10" applyNumberFormat="1" applyFont="1" applyFill="1" applyBorder="1" applyAlignment="1">
      <alignment horizontal="center"/>
    </xf>
    <xf numFmtId="172" fontId="38" fillId="2" borderId="5" xfId="42" applyFont="1" applyFill="1" applyBorder="1"/>
    <xf numFmtId="172" fontId="19" fillId="2" borderId="5" xfId="42" applyFont="1" applyFill="1" applyBorder="1"/>
    <xf numFmtId="172" fontId="38" fillId="2" borderId="0" xfId="42" applyFont="1" applyFill="1" applyBorder="1" applyAlignment="1">
      <alignment horizontal="center" wrapText="1"/>
    </xf>
    <xf numFmtId="172" fontId="38" fillId="2" borderId="0" xfId="42" applyFont="1" applyFill="1" applyBorder="1" applyAlignment="1">
      <alignment horizontal="center"/>
    </xf>
    <xf numFmtId="172" fontId="19" fillId="2" borderId="5" xfId="42" applyFont="1" applyFill="1" applyBorder="1" applyAlignment="1">
      <alignment horizontal="left"/>
    </xf>
    <xf numFmtId="172" fontId="38" fillId="2" borderId="5" xfId="42" applyFont="1" applyFill="1" applyBorder="1" applyAlignment="1">
      <alignment horizontal="center"/>
    </xf>
    <xf numFmtId="38" fontId="38" fillId="2" borderId="0" xfId="42" applyNumberFormat="1" applyFont="1" applyFill="1" applyBorder="1" applyAlignment="1">
      <alignment horizontal="center"/>
    </xf>
    <xf numFmtId="38" fontId="38" fillId="2" borderId="0" xfId="42" applyNumberFormat="1" applyFont="1" applyFill="1" applyBorder="1"/>
    <xf numFmtId="165" fontId="4" fillId="2" borderId="23" xfId="10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center"/>
    </xf>
    <xf numFmtId="173" fontId="4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165" fontId="4" fillId="2" borderId="16" xfId="10" applyNumberFormat="1" applyFont="1" applyFill="1" applyBorder="1" applyAlignment="1">
      <alignment horizontal="left"/>
    </xf>
    <xf numFmtId="0" fontId="12" fillId="4" borderId="12" xfId="0" quotePrefix="1" applyFont="1" applyFill="1" applyBorder="1" applyAlignment="1">
      <alignment horizontal="center" vertical="center" wrapText="1"/>
    </xf>
    <xf numFmtId="0" fontId="12" fillId="4" borderId="21" xfId="0" quotePrefix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 wrapText="1"/>
    </xf>
    <xf numFmtId="172" fontId="19" fillId="2" borderId="0" xfId="42" applyFont="1" applyFill="1" applyBorder="1" applyAlignment="1">
      <alignment horizontal="left"/>
    </xf>
    <xf numFmtId="0" fontId="25" fillId="2" borderId="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0" fillId="2" borderId="0" xfId="0" applyFont="1" applyFill="1" applyBorder="1"/>
    <xf numFmtId="9" fontId="4" fillId="4" borderId="26" xfId="2" applyFont="1" applyFill="1" applyBorder="1" applyAlignment="1">
      <alignment horizontal="left"/>
    </xf>
    <xf numFmtId="0" fontId="43" fillId="2" borderId="0" xfId="0" applyFont="1" applyFill="1"/>
    <xf numFmtId="0" fontId="46" fillId="2" borderId="0" xfId="0" applyFont="1" applyFill="1"/>
    <xf numFmtId="2" fontId="4" fillId="4" borderId="16" xfId="1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8" fillId="2" borderId="0" xfId="0" applyFont="1" applyFill="1" applyBorder="1"/>
    <xf numFmtId="9" fontId="4" fillId="4" borderId="16" xfId="2" applyFont="1" applyFill="1" applyBorder="1" applyAlignment="1">
      <alignment horizontal="center"/>
    </xf>
    <xf numFmtId="0" fontId="42" fillId="2" borderId="0" xfId="0" applyFont="1" applyFill="1" applyBorder="1" applyAlignment="1">
      <alignment vertical="center"/>
    </xf>
    <xf numFmtId="9" fontId="4" fillId="4" borderId="23" xfId="2" applyFont="1" applyFill="1" applyBorder="1" applyAlignment="1">
      <alignment horizontal="center"/>
    </xf>
    <xf numFmtId="168" fontId="4" fillId="2" borderId="0" xfId="1" applyNumberFormat="1" applyFont="1" applyFill="1" applyBorder="1"/>
    <xf numFmtId="168" fontId="4" fillId="2" borderId="0" xfId="0" applyNumberFormat="1" applyFont="1" applyFill="1" applyBorder="1"/>
    <xf numFmtId="0" fontId="42" fillId="2" borderId="0" xfId="0" applyFont="1" applyFill="1" applyBorder="1" applyAlignment="1">
      <alignment horizontal="left" vertical="center" indent="3"/>
    </xf>
    <xf numFmtId="165" fontId="8" fillId="2" borderId="35" xfId="10" applyNumberFormat="1" applyFont="1" applyFill="1" applyBorder="1" applyAlignment="1">
      <alignment horizontal="left"/>
    </xf>
    <xf numFmtId="165" fontId="8" fillId="2" borderId="22" xfId="10" applyNumberFormat="1" applyFont="1" applyFill="1" applyBorder="1" applyAlignment="1">
      <alignment horizontal="left"/>
    </xf>
    <xf numFmtId="165" fontId="8" fillId="2" borderId="13" xfId="10" applyNumberFormat="1" applyFont="1" applyFill="1" applyBorder="1" applyAlignment="1">
      <alignment horizontal="left"/>
    </xf>
    <xf numFmtId="165" fontId="4" fillId="2" borderId="36" xfId="10" applyNumberFormat="1" applyFont="1" applyFill="1" applyBorder="1" applyAlignment="1">
      <alignment horizontal="left"/>
    </xf>
    <xf numFmtId="165" fontId="4" fillId="2" borderId="23" xfId="10" applyNumberFormat="1" applyFont="1" applyFill="1" applyBorder="1" applyAlignment="1">
      <alignment horizontal="left"/>
    </xf>
    <xf numFmtId="165" fontId="4" fillId="2" borderId="15" xfId="10" applyNumberFormat="1" applyFont="1" applyFill="1" applyBorder="1" applyAlignment="1">
      <alignment horizontal="left"/>
    </xf>
    <xf numFmtId="165" fontId="4" fillId="2" borderId="37" xfId="10" applyNumberFormat="1" applyFont="1" applyFill="1" applyBorder="1" applyAlignment="1">
      <alignment horizontal="left"/>
    </xf>
    <xf numFmtId="165" fontId="4" fillId="2" borderId="29" xfId="10" applyNumberFormat="1" applyFont="1" applyFill="1" applyBorder="1" applyAlignment="1">
      <alignment horizontal="left"/>
    </xf>
    <xf numFmtId="165" fontId="4" fillId="2" borderId="41" xfId="10" applyNumberFormat="1" applyFont="1" applyFill="1" applyBorder="1" applyAlignment="1">
      <alignment horizontal="left"/>
    </xf>
    <xf numFmtId="165" fontId="15" fillId="2" borderId="25" xfId="0" applyNumberFormat="1" applyFont="1" applyFill="1" applyBorder="1"/>
    <xf numFmtId="165" fontId="15" fillId="2" borderId="38" xfId="0" applyNumberFormat="1" applyFont="1" applyFill="1" applyBorder="1"/>
    <xf numFmtId="165" fontId="4" fillId="2" borderId="26" xfId="10" applyNumberFormat="1" applyFont="1" applyFill="1" applyBorder="1" applyAlignment="1">
      <alignment horizontal="center"/>
    </xf>
    <xf numFmtId="165" fontId="4" fillId="2" borderId="36" xfId="10" applyNumberFormat="1" applyFont="1" applyFill="1" applyBorder="1" applyAlignment="1">
      <alignment horizontal="center"/>
    </xf>
    <xf numFmtId="165" fontId="4" fillId="2" borderId="23" xfId="10" applyNumberFormat="1" applyFont="1" applyFill="1" applyBorder="1" applyAlignment="1">
      <alignment horizontal="center"/>
    </xf>
    <xf numFmtId="165" fontId="4" fillId="2" borderId="15" xfId="10" applyNumberFormat="1" applyFont="1" applyFill="1" applyBorder="1" applyAlignment="1">
      <alignment horizontal="center"/>
    </xf>
    <xf numFmtId="165" fontId="4" fillId="2" borderId="37" xfId="10" applyNumberFormat="1" applyFont="1" applyFill="1" applyBorder="1" applyAlignment="1">
      <alignment horizontal="center"/>
    </xf>
    <xf numFmtId="165" fontId="4" fillId="2" borderId="29" xfId="10" applyNumberFormat="1" applyFont="1" applyFill="1" applyBorder="1" applyAlignment="1">
      <alignment horizontal="center"/>
    </xf>
    <xf numFmtId="165" fontId="4" fillId="2" borderId="41" xfId="10" applyNumberFormat="1" applyFont="1" applyFill="1" applyBorder="1" applyAlignment="1">
      <alignment horizontal="center"/>
    </xf>
    <xf numFmtId="165" fontId="8" fillId="2" borderId="35" xfId="0" applyNumberFormat="1" applyFont="1" applyFill="1" applyBorder="1"/>
    <xf numFmtId="165" fontId="8" fillId="2" borderId="22" xfId="0" applyNumberFormat="1" applyFont="1" applyFill="1" applyBorder="1"/>
    <xf numFmtId="165" fontId="8" fillId="2" borderId="13" xfId="0" applyNumberFormat="1" applyFont="1" applyFill="1" applyBorder="1"/>
    <xf numFmtId="165" fontId="4" fillId="2" borderId="27" xfId="10" applyNumberFormat="1" applyFont="1" applyFill="1" applyBorder="1" applyAlignment="1">
      <alignment horizontal="center"/>
    </xf>
    <xf numFmtId="165" fontId="4" fillId="2" borderId="39" xfId="10" applyNumberFormat="1" applyFont="1" applyFill="1" applyBorder="1" applyAlignment="1">
      <alignment horizontal="center"/>
    </xf>
    <xf numFmtId="165" fontId="4" fillId="2" borderId="24" xfId="10" applyNumberFormat="1" applyFont="1" applyFill="1" applyBorder="1" applyAlignment="1">
      <alignment horizontal="center"/>
    </xf>
    <xf numFmtId="165" fontId="8" fillId="2" borderId="33" xfId="10" applyNumberFormat="1" applyFont="1" applyFill="1" applyBorder="1" applyAlignment="1">
      <alignment horizontal="left"/>
    </xf>
    <xf numFmtId="165" fontId="8" fillId="2" borderId="40" xfId="10" applyNumberFormat="1" applyFont="1" applyFill="1" applyBorder="1" applyAlignment="1">
      <alignment horizontal="left"/>
    </xf>
    <xf numFmtId="165" fontId="8" fillId="2" borderId="32" xfId="10" applyNumberFormat="1" applyFont="1" applyFill="1" applyBorder="1" applyAlignment="1">
      <alignment horizontal="left"/>
    </xf>
    <xf numFmtId="165" fontId="8" fillId="2" borderId="42" xfId="10" applyNumberFormat="1" applyFont="1" applyFill="1" applyBorder="1" applyAlignment="1">
      <alignment horizontal="left"/>
    </xf>
    <xf numFmtId="0" fontId="4" fillId="4" borderId="26" xfId="2" applyNumberFormat="1" applyFont="1" applyFill="1" applyBorder="1" applyAlignment="1">
      <alignment horizontal="right"/>
    </xf>
    <xf numFmtId="0" fontId="42" fillId="2" borderId="0" xfId="0" applyFont="1" applyFill="1" applyBorder="1" applyAlignment="1">
      <alignment vertical="top"/>
    </xf>
    <xf numFmtId="168" fontId="2" fillId="2" borderId="43" xfId="10" applyNumberFormat="1" applyFont="1" applyFill="1" applyBorder="1" applyAlignment="1">
      <alignment horizontal="left"/>
    </xf>
    <xf numFmtId="168" fontId="1" fillId="2" borderId="24" xfId="10" applyNumberFormat="1" applyFont="1" applyFill="1" applyBorder="1" applyAlignment="1">
      <alignment horizontal="left"/>
    </xf>
    <xf numFmtId="0" fontId="27" fillId="2" borderId="25" xfId="10" applyNumberFormat="1" applyFont="1" applyFill="1" applyBorder="1" applyAlignment="1">
      <alignment horizontal="center"/>
    </xf>
    <xf numFmtId="168" fontId="0" fillId="2" borderId="17" xfId="10" applyNumberFormat="1" applyFont="1" applyFill="1" applyBorder="1" applyAlignment="1"/>
    <xf numFmtId="0" fontId="27" fillId="2" borderId="27" xfId="10" applyNumberFormat="1" applyFont="1" applyFill="1" applyBorder="1" applyAlignment="1">
      <alignment horizontal="center"/>
    </xf>
    <xf numFmtId="168" fontId="1" fillId="2" borderId="18" xfId="10" applyNumberFormat="1" applyFont="1" applyFill="1" applyBorder="1" applyAlignment="1">
      <alignment horizontal="left"/>
    </xf>
    <xf numFmtId="168" fontId="1" fillId="2" borderId="27" xfId="10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 indent="1"/>
    </xf>
    <xf numFmtId="0" fontId="1" fillId="2" borderId="26" xfId="10" applyNumberFormat="1" applyFont="1" applyFill="1" applyBorder="1" applyAlignment="1">
      <alignment horizontal="left" indent="1"/>
    </xf>
    <xf numFmtId="165" fontId="1" fillId="2" borderId="16" xfId="10" applyNumberFormat="1" applyFont="1" applyFill="1" applyBorder="1" applyAlignment="1">
      <alignment horizontal="left"/>
    </xf>
    <xf numFmtId="0" fontId="42" fillId="2" borderId="0" xfId="0" applyFont="1" applyFill="1" applyBorder="1" applyAlignment="1">
      <alignment horizontal="left" vertical="center"/>
    </xf>
    <xf numFmtId="165" fontId="0" fillId="2" borderId="16" xfId="10" applyNumberFormat="1" applyFont="1" applyFill="1" applyBorder="1" applyAlignment="1">
      <alignment horizontal="left"/>
    </xf>
    <xf numFmtId="0" fontId="1" fillId="2" borderId="0" xfId="10" applyNumberFormat="1" applyFont="1" applyFill="1" applyBorder="1" applyAlignment="1">
      <alignment horizontal="left" indent="1"/>
    </xf>
    <xf numFmtId="165" fontId="4" fillId="2" borderId="0" xfId="10" applyNumberFormat="1" applyFont="1" applyFill="1" applyBorder="1" applyAlignment="1">
      <alignment horizontal="center"/>
    </xf>
    <xf numFmtId="0" fontId="0" fillId="2" borderId="26" xfId="10" applyNumberFormat="1" applyFont="1" applyFill="1" applyBorder="1" applyAlignment="1">
      <alignment horizontal="left" indent="1"/>
    </xf>
    <xf numFmtId="165" fontId="18" fillId="2" borderId="26" xfId="10" applyNumberFormat="1" applyFont="1" applyFill="1" applyBorder="1" applyAlignment="1">
      <alignment horizontal="right"/>
    </xf>
    <xf numFmtId="165" fontId="18" fillId="2" borderId="16" xfId="10" applyNumberFormat="1" applyFont="1" applyFill="1" applyBorder="1" applyAlignment="1">
      <alignment horizontal="right"/>
    </xf>
    <xf numFmtId="168" fontId="24" fillId="2" borderId="17" xfId="10" applyNumberFormat="1" applyFont="1" applyFill="1" applyBorder="1" applyAlignment="1"/>
    <xf numFmtId="168" fontId="2" fillId="2" borderId="19" xfId="0" applyNumberFormat="1" applyFont="1" applyFill="1" applyBorder="1"/>
    <xf numFmtId="168" fontId="2" fillId="2" borderId="11" xfId="0" applyNumberFormat="1" applyFont="1" applyFill="1" applyBorder="1"/>
    <xf numFmtId="168" fontId="1" fillId="2" borderId="48" xfId="10" applyNumberFormat="1" applyFont="1" applyFill="1" applyBorder="1" applyAlignment="1">
      <alignment horizontal="left"/>
    </xf>
    <xf numFmtId="168" fontId="1" fillId="2" borderId="46" xfId="10" applyNumberFormat="1" applyFont="1" applyFill="1" applyBorder="1" applyAlignment="1">
      <alignment horizontal="left"/>
    </xf>
    <xf numFmtId="168" fontId="24" fillId="2" borderId="0" xfId="10" applyNumberFormat="1" applyFont="1" applyFill="1" applyBorder="1" applyAlignment="1">
      <alignment horizontal="left" wrapText="1" indent="1"/>
    </xf>
    <xf numFmtId="165" fontId="2" fillId="2" borderId="0" xfId="10" applyNumberFormat="1" applyFont="1" applyFill="1" applyBorder="1" applyAlignment="1">
      <alignment horizontal="right"/>
    </xf>
    <xf numFmtId="165" fontId="4" fillId="4" borderId="23" xfId="10" applyNumberFormat="1" applyFont="1" applyFill="1" applyBorder="1" applyAlignment="1">
      <alignment horizontal="right"/>
    </xf>
    <xf numFmtId="0" fontId="12" fillId="4" borderId="49" xfId="0" quotePrefix="1" applyFont="1" applyFill="1" applyBorder="1" applyAlignment="1">
      <alignment horizontal="center" vertical="center"/>
    </xf>
    <xf numFmtId="172" fontId="12" fillId="2" borderId="5" xfId="42" applyFont="1" applyFill="1" applyBorder="1" applyAlignment="1">
      <alignment horizontal="center"/>
    </xf>
    <xf numFmtId="38" fontId="12" fillId="2" borderId="5" xfId="42" applyNumberFormat="1" applyFont="1" applyFill="1" applyBorder="1"/>
    <xf numFmtId="165" fontId="12" fillId="5" borderId="0" xfId="1" applyNumberFormat="1" applyFont="1" applyFill="1" applyBorder="1"/>
    <xf numFmtId="0" fontId="12" fillId="2" borderId="0" xfId="0" applyFont="1" applyFill="1"/>
    <xf numFmtId="0" fontId="12" fillId="2" borderId="0" xfId="0" applyNumberFormat="1" applyFont="1" applyFill="1"/>
    <xf numFmtId="165" fontId="33" fillId="2" borderId="0" xfId="0" applyNumberFormat="1" applyFont="1" applyFill="1"/>
    <xf numFmtId="165" fontId="40" fillId="2" borderId="16" xfId="10" applyNumberFormat="1" applyFont="1" applyFill="1" applyBorder="1" applyAlignment="1">
      <alignment horizontal="right"/>
    </xf>
    <xf numFmtId="15" fontId="4" fillId="2" borderId="0" xfId="0" applyNumberFormat="1" applyFont="1" applyFill="1"/>
    <xf numFmtId="17" fontId="6" fillId="2" borderId="0" xfId="3" applyNumberFormat="1" applyFont="1" applyFill="1" applyBorder="1" applyAlignment="1">
      <alignment horizontal="center"/>
    </xf>
    <xf numFmtId="165" fontId="4" fillId="2" borderId="26" xfId="10" applyNumberFormat="1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1"/>
    </xf>
    <xf numFmtId="43" fontId="4" fillId="2" borderId="0" xfId="10" applyNumberFormat="1" applyFont="1" applyFill="1" applyBorder="1" applyAlignment="1">
      <alignment horizontal="right"/>
    </xf>
    <xf numFmtId="43" fontId="12" fillId="2" borderId="16" xfId="1" applyFont="1" applyFill="1" applyBorder="1" applyAlignment="1">
      <alignment horizontal="right"/>
    </xf>
    <xf numFmtId="168" fontId="2" fillId="2" borderId="22" xfId="0" applyNumberFormat="1" applyFont="1" applyFill="1" applyBorder="1"/>
    <xf numFmtId="168" fontId="2" fillId="2" borderId="20" xfId="0" applyNumberFormat="1" applyFont="1" applyFill="1" applyBorder="1"/>
    <xf numFmtId="168" fontId="1" fillId="2" borderId="47" xfId="10" applyNumberFormat="1" applyFont="1" applyFill="1" applyBorder="1" applyAlignment="1">
      <alignment horizontal="left"/>
    </xf>
    <xf numFmtId="171" fontId="12" fillId="2" borderId="0" xfId="0" applyNumberFormat="1" applyFont="1" applyFill="1"/>
    <xf numFmtId="8" fontId="12" fillId="2" borderId="0" xfId="0" applyNumberFormat="1" applyFont="1" applyFill="1"/>
    <xf numFmtId="43" fontId="12" fillId="2" borderId="0" xfId="0" applyNumberFormat="1" applyFont="1" applyFill="1"/>
    <xf numFmtId="167" fontId="12" fillId="2" borderId="0" xfId="0" applyNumberFormat="1" applyFont="1" applyFill="1"/>
    <xf numFmtId="165" fontId="12" fillId="2" borderId="26" xfId="10" applyNumberFormat="1" applyFont="1" applyFill="1" applyBorder="1" applyAlignment="1">
      <alignment horizontal="right"/>
    </xf>
    <xf numFmtId="0" fontId="4" fillId="2" borderId="26" xfId="2" applyNumberFormat="1" applyFont="1" applyFill="1" applyBorder="1" applyAlignment="1">
      <alignment horizontal="right"/>
    </xf>
    <xf numFmtId="168" fontId="0" fillId="2" borderId="15" xfId="10" applyNumberFormat="1" applyFont="1" applyFill="1" applyBorder="1" applyAlignment="1">
      <alignment horizontal="left" indent="1"/>
    </xf>
    <xf numFmtId="165" fontId="4" fillId="2" borderId="24" xfId="10" applyNumberFormat="1" applyFont="1" applyFill="1" applyBorder="1" applyAlignment="1">
      <alignment horizontal="left"/>
    </xf>
    <xf numFmtId="165" fontId="4" fillId="2" borderId="39" xfId="10" applyNumberFormat="1" applyFont="1" applyFill="1" applyBorder="1" applyAlignment="1">
      <alignment horizontal="left"/>
    </xf>
    <xf numFmtId="165" fontId="4" fillId="2" borderId="17" xfId="10" applyNumberFormat="1" applyFont="1" applyFill="1" applyBorder="1" applyAlignment="1">
      <alignment horizontal="left"/>
    </xf>
    <xf numFmtId="0" fontId="34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5" fontId="8" fillId="2" borderId="26" xfId="10" applyNumberFormat="1" applyFont="1" applyFill="1" applyBorder="1" applyAlignment="1">
      <alignment horizontal="left" indent="1"/>
    </xf>
    <xf numFmtId="165" fontId="4" fillId="2" borderId="26" xfId="10" applyNumberFormat="1" applyFont="1" applyFill="1" applyBorder="1" applyAlignment="1">
      <alignment horizontal="left" indent="2"/>
    </xf>
    <xf numFmtId="165" fontId="4" fillId="2" borderId="16" xfId="10" applyNumberFormat="1" applyFont="1" applyFill="1" applyBorder="1" applyAlignment="1">
      <alignment horizontal="center"/>
    </xf>
    <xf numFmtId="165" fontId="8" fillId="2" borderId="16" xfId="10" applyNumberFormat="1" applyFont="1" applyFill="1" applyBorder="1" applyAlignment="1">
      <alignment horizontal="center"/>
    </xf>
    <xf numFmtId="0" fontId="4" fillId="4" borderId="0" xfId="28" applyFill="1"/>
    <xf numFmtId="0" fontId="4" fillId="4" borderId="0" xfId="28" applyFill="1" applyBorder="1"/>
    <xf numFmtId="0" fontId="4" fillId="4" borderId="0" xfId="28" applyFill="1" applyAlignment="1">
      <alignment horizontal="center"/>
    </xf>
    <xf numFmtId="165" fontId="8" fillId="2" borderId="25" xfId="10" applyNumberFormat="1" applyFont="1" applyFill="1" applyBorder="1" applyAlignment="1">
      <alignment horizontal="left"/>
    </xf>
    <xf numFmtId="165" fontId="8" fillId="2" borderId="14" xfId="10" applyNumberFormat="1" applyFont="1" applyFill="1" applyBorder="1" applyAlignment="1">
      <alignment horizontal="left"/>
    </xf>
    <xf numFmtId="165" fontId="4" fillId="2" borderId="27" xfId="10" applyNumberFormat="1" applyFont="1" applyFill="1" applyBorder="1" applyAlignment="1">
      <alignment horizontal="left"/>
    </xf>
    <xf numFmtId="165" fontId="4" fillId="2" borderId="18" xfId="10" applyNumberFormat="1" applyFont="1" applyFill="1" applyBorder="1" applyAlignment="1">
      <alignment horizontal="left"/>
    </xf>
    <xf numFmtId="165" fontId="4" fillId="2" borderId="30" xfId="10" applyNumberFormat="1" applyFont="1" applyFill="1" applyBorder="1" applyAlignment="1">
      <alignment horizontal="left"/>
    </xf>
    <xf numFmtId="165" fontId="4" fillId="2" borderId="28" xfId="10" applyNumberFormat="1" applyFont="1" applyFill="1" applyBorder="1" applyAlignment="1">
      <alignment horizontal="left"/>
    </xf>
    <xf numFmtId="165" fontId="4" fillId="2" borderId="30" xfId="10" applyNumberFormat="1" applyFont="1" applyFill="1" applyBorder="1" applyAlignment="1">
      <alignment horizontal="center"/>
    </xf>
    <xf numFmtId="165" fontId="4" fillId="2" borderId="28" xfId="10" applyNumberFormat="1" applyFont="1" applyFill="1" applyBorder="1" applyAlignment="1">
      <alignment horizontal="center"/>
    </xf>
    <xf numFmtId="165" fontId="8" fillId="2" borderId="25" xfId="0" applyNumberFormat="1" applyFont="1" applyFill="1" applyBorder="1"/>
    <xf numFmtId="165" fontId="8" fillId="2" borderId="14" xfId="0" applyNumberFormat="1" applyFont="1" applyFill="1" applyBorder="1"/>
    <xf numFmtId="165" fontId="4" fillId="2" borderId="18" xfId="10" applyNumberFormat="1" applyFont="1" applyFill="1" applyBorder="1" applyAlignment="1">
      <alignment horizontal="center"/>
    </xf>
    <xf numFmtId="165" fontId="8" fillId="2" borderId="31" xfId="10" applyNumberFormat="1" applyFont="1" applyFill="1" applyBorder="1" applyAlignment="1">
      <alignment horizontal="left"/>
    </xf>
    <xf numFmtId="168" fontId="0" fillId="2" borderId="15" xfId="10" applyNumberFormat="1" applyFont="1" applyFill="1" applyBorder="1" applyAlignment="1">
      <alignment horizontal="left" indent="1"/>
    </xf>
    <xf numFmtId="165" fontId="12" fillId="2" borderId="16" xfId="10" applyNumberFormat="1" applyFont="1" applyFill="1" applyBorder="1" applyAlignment="1">
      <alignment horizontal="right"/>
    </xf>
    <xf numFmtId="165" fontId="12" fillId="2" borderId="36" xfId="10" applyNumberFormat="1" applyFont="1" applyFill="1" applyBorder="1" applyAlignment="1">
      <alignment horizontal="right"/>
    </xf>
    <xf numFmtId="165" fontId="12" fillId="2" borderId="25" xfId="0" applyNumberFormat="1" applyFont="1" applyFill="1" applyBorder="1"/>
    <xf numFmtId="165" fontId="12" fillId="2" borderId="38" xfId="0" applyNumberFormat="1" applyFont="1" applyFill="1" applyBorder="1"/>
    <xf numFmtId="0" fontId="4" fillId="2" borderId="2" xfId="8" applyFont="1" applyFill="1" applyBorder="1"/>
    <xf numFmtId="0" fontId="52" fillId="2" borderId="3" xfId="8" applyFont="1" applyFill="1" applyBorder="1"/>
    <xf numFmtId="0" fontId="4" fillId="2" borderId="3" xfId="8" applyFont="1" applyFill="1" applyBorder="1"/>
    <xf numFmtId="0" fontId="4" fillId="2" borderId="4" xfId="8" applyFont="1" applyFill="1" applyBorder="1"/>
    <xf numFmtId="0" fontId="4" fillId="0" borderId="0" xfId="8" applyFont="1"/>
    <xf numFmtId="0" fontId="1" fillId="0" borderId="0" xfId="8"/>
    <xf numFmtId="0" fontId="4" fillId="2" borderId="5" xfId="8" applyFont="1" applyFill="1" applyBorder="1"/>
    <xf numFmtId="0" fontId="10" fillId="2" borderId="0" xfId="8" applyFont="1" applyFill="1" applyBorder="1"/>
    <xf numFmtId="0" fontId="4" fillId="2" borderId="0" xfId="8" applyFont="1" applyFill="1" applyBorder="1"/>
    <xf numFmtId="0" fontId="4" fillId="2" borderId="6" xfId="8" applyFont="1" applyFill="1" applyBorder="1"/>
    <xf numFmtId="0" fontId="50" fillId="2" borderId="0" xfId="8" applyFont="1" applyFill="1" applyBorder="1" applyAlignment="1">
      <alignment horizontal="center"/>
    </xf>
    <xf numFmtId="0" fontId="4" fillId="2" borderId="1" xfId="8" applyFont="1" applyFill="1" applyBorder="1"/>
    <xf numFmtId="178" fontId="4" fillId="2" borderId="1" xfId="9" applyNumberFormat="1" applyFont="1" applyFill="1" applyBorder="1"/>
    <xf numFmtId="164" fontId="4" fillId="3" borderId="1" xfId="9" applyFont="1" applyFill="1" applyBorder="1"/>
    <xf numFmtId="0" fontId="4" fillId="0" borderId="0" xfId="8" applyFont="1" applyAlignment="1">
      <alignment horizontal="center"/>
    </xf>
    <xf numFmtId="0" fontId="4" fillId="2" borderId="0" xfId="8" applyFont="1" applyFill="1" applyBorder="1" applyAlignment="1">
      <alignment horizontal="right"/>
    </xf>
    <xf numFmtId="43" fontId="4" fillId="2" borderId="0" xfId="8" applyNumberFormat="1" applyFont="1" applyFill="1" applyBorder="1"/>
    <xf numFmtId="0" fontId="18" fillId="2" borderId="0" xfId="8" applyFont="1" applyFill="1" applyBorder="1"/>
    <xf numFmtId="179" fontId="4" fillId="2" borderId="0" xfId="9" applyNumberFormat="1" applyFont="1" applyFill="1" applyBorder="1"/>
    <xf numFmtId="43" fontId="50" fillId="2" borderId="0" xfId="8" applyNumberFormat="1" applyFont="1" applyFill="1" applyBorder="1" applyAlignment="1">
      <alignment horizontal="center"/>
    </xf>
    <xf numFmtId="164" fontId="4" fillId="2" borderId="1" xfId="9" applyFont="1" applyFill="1" applyBorder="1"/>
    <xf numFmtId="175" fontId="4" fillId="2" borderId="1" xfId="8" applyNumberFormat="1" applyFont="1" applyFill="1" applyBorder="1"/>
    <xf numFmtId="0" fontId="1" fillId="2" borderId="5" xfId="8" applyFill="1" applyBorder="1"/>
    <xf numFmtId="0" fontId="4" fillId="2" borderId="1" xfId="8" applyFont="1" applyFill="1" applyBorder="1" applyAlignment="1">
      <alignment horizontal="left"/>
    </xf>
    <xf numFmtId="0" fontId="1" fillId="2" borderId="6" xfId="8" applyFill="1" applyBorder="1"/>
    <xf numFmtId="43" fontId="3" fillId="2" borderId="0" xfId="8" applyNumberFormat="1" applyFont="1" applyFill="1" applyBorder="1"/>
    <xf numFmtId="0" fontId="1" fillId="2" borderId="54" xfId="8" applyFill="1" applyBorder="1"/>
    <xf numFmtId="0" fontId="1" fillId="2" borderId="55" xfId="8" applyFill="1" applyBorder="1"/>
    <xf numFmtId="0" fontId="1" fillId="2" borderId="56" xfId="8" applyFill="1" applyBorder="1"/>
    <xf numFmtId="165" fontId="4" fillId="2" borderId="50" xfId="10" applyNumberFormat="1" applyFont="1" applyFill="1" applyBorder="1" applyAlignment="1">
      <alignment horizontal="right"/>
    </xf>
    <xf numFmtId="165" fontId="4" fillId="2" borderId="0" xfId="10" applyNumberFormat="1" applyFont="1" applyFill="1" applyBorder="1" applyAlignment="1">
      <alignment horizontal="left" indent="2"/>
    </xf>
    <xf numFmtId="0" fontId="4" fillId="2" borderId="0" xfId="10" applyNumberFormat="1" applyFont="1" applyFill="1" applyBorder="1" applyAlignment="1">
      <alignment horizontal="center"/>
    </xf>
    <xf numFmtId="0" fontId="4" fillId="2" borderId="0" xfId="10" applyNumberFormat="1" applyFont="1" applyFill="1" applyBorder="1" applyAlignment="1">
      <alignment horizontal="left"/>
    </xf>
    <xf numFmtId="165" fontId="12" fillId="4" borderId="16" xfId="10" applyNumberFormat="1" applyFont="1" applyFill="1" applyBorder="1" applyAlignment="1">
      <alignment horizontal="right"/>
    </xf>
    <xf numFmtId="0" fontId="18" fillId="2" borderId="0" xfId="0" applyFont="1" applyFill="1"/>
    <xf numFmtId="0" fontId="53" fillId="2" borderId="0" xfId="0" applyFont="1" applyFill="1"/>
    <xf numFmtId="43" fontId="18" fillId="4" borderId="16" xfId="1" applyFont="1" applyFill="1" applyBorder="1" applyAlignment="1">
      <alignment horizontal="right"/>
    </xf>
    <xf numFmtId="0" fontId="54" fillId="2" borderId="26" xfId="10" applyNumberFormat="1" applyFont="1" applyFill="1" applyBorder="1" applyAlignment="1">
      <alignment horizontal="center"/>
    </xf>
    <xf numFmtId="168" fontId="55" fillId="2" borderId="0" xfId="10" applyNumberFormat="1" applyFont="1" applyFill="1" applyBorder="1" applyAlignment="1">
      <alignment horizontal="left" indent="1"/>
    </xf>
    <xf numFmtId="0" fontId="12" fillId="5" borderId="0" xfId="0" applyFont="1" applyFill="1" applyAlignment="1">
      <alignment horizontal="center"/>
    </xf>
    <xf numFmtId="0" fontId="14" fillId="2" borderId="68" xfId="0" applyFont="1" applyFill="1" applyBorder="1" applyAlignment="1">
      <alignment vertical="center" wrapText="1"/>
    </xf>
    <xf numFmtId="0" fontId="12" fillId="5" borderId="68" xfId="0" applyFont="1" applyFill="1" applyBorder="1"/>
    <xf numFmtId="0" fontId="57" fillId="5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/>
    </xf>
    <xf numFmtId="0" fontId="49" fillId="5" borderId="0" xfId="0" applyFont="1" applyFill="1" applyAlignment="1">
      <alignment horizontal="center"/>
    </xf>
    <xf numFmtId="0" fontId="49" fillId="2" borderId="0" xfId="0" applyFont="1" applyFill="1" applyBorder="1" applyAlignment="1">
      <alignment vertical="center" wrapText="1"/>
    </xf>
    <xf numFmtId="0" fontId="58" fillId="2" borderId="0" xfId="0" applyFont="1" applyFill="1" applyBorder="1" applyAlignment="1">
      <alignment vertical="center" wrapText="1"/>
    </xf>
    <xf numFmtId="180" fontId="38" fillId="2" borderId="0" xfId="2" applyNumberFormat="1" applyFont="1" applyFill="1" applyBorder="1" applyAlignment="1">
      <alignment horizontal="center" vertical="center" wrapText="1"/>
    </xf>
    <xf numFmtId="180" fontId="38" fillId="5" borderId="0" xfId="2" applyNumberFormat="1" applyFont="1" applyFill="1" applyAlignment="1">
      <alignment horizontal="center"/>
    </xf>
    <xf numFmtId="0" fontId="49" fillId="5" borderId="0" xfId="0" applyFont="1" applyFill="1"/>
    <xf numFmtId="0" fontId="49" fillId="5" borderId="0" xfId="0" applyFont="1" applyFill="1" applyBorder="1"/>
    <xf numFmtId="180" fontId="38" fillId="5" borderId="0" xfId="2" applyNumberFormat="1" applyFont="1" applyFill="1" applyBorder="1" applyAlignment="1">
      <alignment horizontal="center"/>
    </xf>
    <xf numFmtId="0" fontId="38" fillId="5" borderId="0" xfId="0" applyFont="1" applyFill="1" applyAlignment="1">
      <alignment horizontal="center"/>
    </xf>
    <xf numFmtId="181" fontId="38" fillId="5" borderId="0" xfId="1" applyNumberFormat="1" applyFont="1" applyFill="1" applyAlignment="1">
      <alignment horizontal="center"/>
    </xf>
    <xf numFmtId="9" fontId="38" fillId="5" borderId="0" xfId="2" applyFont="1" applyFill="1" applyAlignment="1">
      <alignment horizontal="center"/>
    </xf>
    <xf numFmtId="0" fontId="61" fillId="5" borderId="7" xfId="0" applyFont="1" applyFill="1" applyBorder="1"/>
    <xf numFmtId="0" fontId="49" fillId="5" borderId="7" xfId="0" applyFont="1" applyFill="1" applyBorder="1"/>
    <xf numFmtId="10" fontId="61" fillId="5" borderId="7" xfId="0" applyNumberFormat="1" applyFont="1" applyFill="1" applyBorder="1" applyAlignment="1">
      <alignment horizontal="center"/>
    </xf>
    <xf numFmtId="180" fontId="61" fillId="5" borderId="7" xfId="2" applyNumberFormat="1" applyFont="1" applyFill="1" applyBorder="1" applyAlignment="1">
      <alignment horizontal="center"/>
    </xf>
    <xf numFmtId="0" fontId="14" fillId="2" borderId="68" xfId="0" applyFont="1" applyFill="1" applyBorder="1" applyAlignment="1">
      <alignment horizontal="center" vertical="center" wrapText="1"/>
    </xf>
    <xf numFmtId="0" fontId="12" fillId="5" borderId="68" xfId="0" applyFont="1" applyFill="1" applyBorder="1" applyAlignment="1">
      <alignment horizontal="center"/>
    </xf>
    <xf numFmtId="0" fontId="26" fillId="2" borderId="68" xfId="0" applyFont="1" applyFill="1" applyBorder="1" applyAlignment="1">
      <alignment vertical="center" wrapText="1"/>
    </xf>
    <xf numFmtId="0" fontId="62" fillId="2" borderId="0" xfId="0" applyFont="1" applyFill="1" applyBorder="1" applyAlignment="1">
      <alignment vertical="center" wrapText="1"/>
    </xf>
    <xf numFmtId="180" fontId="62" fillId="5" borderId="0" xfId="2" applyNumberFormat="1" applyFont="1" applyFill="1" applyAlignment="1">
      <alignment horizontal="center" vertical="center"/>
    </xf>
    <xf numFmtId="180" fontId="63" fillId="7" borderId="0" xfId="0" applyNumberFormat="1" applyFont="1" applyFill="1" applyAlignment="1">
      <alignment horizontal="center" vertical="center"/>
    </xf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8" fontId="4" fillId="2" borderId="26" xfId="10" applyNumberFormat="1" applyFont="1" applyFill="1" applyBorder="1" applyAlignment="1">
      <alignment horizontal="right"/>
    </xf>
    <xf numFmtId="165" fontId="4" fillId="2" borderId="25" xfId="10" applyNumberFormat="1" applyFont="1" applyFill="1" applyBorder="1" applyAlignment="1">
      <alignment horizontal="right"/>
    </xf>
    <xf numFmtId="165" fontId="4" fillId="2" borderId="38" xfId="10" applyNumberFormat="1" applyFont="1" applyFill="1" applyBorder="1" applyAlignment="1">
      <alignment horizontal="right"/>
    </xf>
    <xf numFmtId="168" fontId="12" fillId="2" borderId="25" xfId="0" applyNumberFormat="1" applyFont="1" applyFill="1" applyBorder="1"/>
    <xf numFmtId="165" fontId="15" fillId="2" borderId="7" xfId="0" applyNumberFormat="1" applyFont="1" applyFill="1" applyBorder="1"/>
    <xf numFmtId="165" fontId="12" fillId="2" borderId="0" xfId="0" applyNumberFormat="1" applyFont="1" applyFill="1" applyBorder="1"/>
    <xf numFmtId="168" fontId="12" fillId="2" borderId="0" xfId="0" applyNumberFormat="1" applyFont="1" applyFill="1" applyBorder="1"/>
    <xf numFmtId="43" fontId="33" fillId="2" borderId="0" xfId="0" applyNumberFormat="1" applyFont="1" applyFill="1"/>
    <xf numFmtId="9" fontId="12" fillId="2" borderId="16" xfId="2" applyFont="1" applyFill="1" applyBorder="1" applyAlignment="1">
      <alignment horizontal="right"/>
    </xf>
    <xf numFmtId="0" fontId="4" fillId="2" borderId="1" xfId="8" applyFont="1" applyFill="1" applyBorder="1" applyAlignment="1">
      <alignment horizontal="left"/>
    </xf>
    <xf numFmtId="0" fontId="30" fillId="2" borderId="13" xfId="10" applyNumberFormat="1" applyFont="1" applyFill="1" applyBorder="1" applyAlignment="1">
      <alignment horizontal="center"/>
    </xf>
    <xf numFmtId="9" fontId="0" fillId="2" borderId="23" xfId="2" applyFont="1" applyFill="1" applyBorder="1" applyAlignment="1">
      <alignment horizontal="right"/>
    </xf>
    <xf numFmtId="168" fontId="10" fillId="2" borderId="0" xfId="10" applyNumberFormat="1" applyFont="1" applyFill="1" applyBorder="1" applyAlignment="1">
      <alignment horizontal="left" indent="1"/>
    </xf>
    <xf numFmtId="168" fontId="0" fillId="2" borderId="15" xfId="10" applyNumberFormat="1" applyFont="1" applyFill="1" applyBorder="1" applyAlignment="1">
      <alignment horizontal="left" indent="1"/>
    </xf>
    <xf numFmtId="0" fontId="34" fillId="2" borderId="0" xfId="0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left"/>
    </xf>
    <xf numFmtId="168" fontId="4" fillId="8" borderId="16" xfId="10" applyNumberFormat="1" applyFont="1" applyFill="1" applyBorder="1" applyAlignment="1">
      <alignment horizontal="right"/>
    </xf>
    <xf numFmtId="165" fontId="4" fillId="8" borderId="16" xfId="1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indent="1"/>
    </xf>
    <xf numFmtId="165" fontId="12" fillId="2" borderId="25" xfId="10" applyNumberFormat="1" applyFont="1" applyFill="1" applyBorder="1" applyAlignment="1">
      <alignment horizontal="right"/>
    </xf>
    <xf numFmtId="165" fontId="12" fillId="8" borderId="25" xfId="0" applyNumberFormat="1" applyFont="1" applyFill="1" applyBorder="1"/>
    <xf numFmtId="0" fontId="64" fillId="2" borderId="0" xfId="3" applyFont="1" applyFill="1" applyBorder="1" applyAlignment="1">
      <alignment horizontal="center"/>
    </xf>
    <xf numFmtId="165" fontId="12" fillId="2" borderId="0" xfId="10" applyNumberFormat="1" applyFont="1" applyFill="1" applyBorder="1" applyAlignment="1">
      <alignment horizontal="right"/>
    </xf>
    <xf numFmtId="43" fontId="4" fillId="2" borderId="26" xfId="10" applyNumberFormat="1" applyFont="1" applyFill="1" applyBorder="1" applyAlignment="1">
      <alignment horizontal="right"/>
    </xf>
    <xf numFmtId="0" fontId="31" fillId="2" borderId="2" xfId="8" applyFont="1" applyFill="1" applyBorder="1"/>
    <xf numFmtId="0" fontId="66" fillId="2" borderId="3" xfId="8" applyFont="1" applyFill="1" applyBorder="1" applyAlignment="1">
      <alignment vertical="center" wrapText="1"/>
    </xf>
    <xf numFmtId="0" fontId="67" fillId="2" borderId="3" xfId="8" applyFont="1" applyFill="1" applyBorder="1" applyAlignment="1">
      <alignment horizontal="center"/>
    </xf>
    <xf numFmtId="0" fontId="68" fillId="2" borderId="3" xfId="8" applyFont="1" applyFill="1" applyBorder="1"/>
    <xf numFmtId="173" fontId="68" fillId="2" borderId="3" xfId="1" applyNumberFormat="1" applyFont="1" applyFill="1" applyBorder="1"/>
    <xf numFmtId="0" fontId="31" fillId="2" borderId="3" xfId="8" applyFont="1" applyFill="1" applyBorder="1"/>
    <xf numFmtId="0" fontId="31" fillId="2" borderId="4" xfId="8" applyFont="1" applyFill="1" applyBorder="1"/>
    <xf numFmtId="0" fontId="31" fillId="2" borderId="0" xfId="8" applyFont="1" applyFill="1"/>
    <xf numFmtId="0" fontId="33" fillId="2" borderId="0" xfId="8" applyFont="1" applyFill="1"/>
    <xf numFmtId="0" fontId="31" fillId="2" borderId="5" xfId="8" applyFont="1" applyFill="1" applyBorder="1"/>
    <xf numFmtId="0" fontId="66" fillId="2" borderId="0" xfId="8" applyFont="1" applyFill="1" applyBorder="1" applyAlignment="1">
      <alignment vertical="center" wrapText="1"/>
    </xf>
    <xf numFmtId="0" fontId="33" fillId="2" borderId="0" xfId="8" applyFont="1" applyFill="1" applyAlignment="1">
      <alignment horizontal="center"/>
    </xf>
    <xf numFmtId="173" fontId="33" fillId="2" borderId="0" xfId="1" applyNumberFormat="1" applyFont="1" applyFill="1"/>
    <xf numFmtId="0" fontId="33" fillId="2" borderId="0" xfId="8" applyFont="1" applyFill="1" applyAlignment="1">
      <alignment horizontal="right"/>
    </xf>
    <xf numFmtId="169" fontId="69" fillId="2" borderId="0" xfId="1" applyNumberFormat="1" applyFont="1" applyFill="1" applyBorder="1"/>
    <xf numFmtId="182" fontId="31" fillId="2" borderId="0" xfId="8" applyNumberFormat="1" applyFont="1" applyFill="1"/>
    <xf numFmtId="0" fontId="31" fillId="2" borderId="6" xfId="8" applyFont="1" applyFill="1" applyBorder="1"/>
    <xf numFmtId="165" fontId="70" fillId="2" borderId="0" xfId="10" applyNumberFormat="1" applyFont="1" applyFill="1" applyBorder="1" applyAlignment="1">
      <alignment horizontal="left" indent="1"/>
    </xf>
    <xf numFmtId="0" fontId="71" fillId="2" borderId="0" xfId="8" applyFont="1" applyFill="1"/>
    <xf numFmtId="0" fontId="32" fillId="2" borderId="0" xfId="8" applyFont="1" applyFill="1"/>
    <xf numFmtId="0" fontId="71" fillId="2" borderId="0" xfId="8" applyFont="1" applyFill="1" applyAlignment="1">
      <alignment horizontal="center"/>
    </xf>
    <xf numFmtId="0" fontId="36" fillId="2" borderId="0" xfId="8" applyFont="1" applyFill="1"/>
    <xf numFmtId="173" fontId="36" fillId="2" borderId="0" xfId="1" applyNumberFormat="1" applyFont="1" applyFill="1"/>
    <xf numFmtId="0" fontId="31" fillId="2" borderId="5" xfId="8" applyFont="1" applyFill="1" applyBorder="1" applyAlignment="1">
      <alignment wrapText="1"/>
    </xf>
    <xf numFmtId="0" fontId="4" fillId="2" borderId="0" xfId="8" applyFont="1" applyFill="1" applyBorder="1" applyAlignment="1">
      <alignment horizontal="center" wrapText="1"/>
    </xf>
    <xf numFmtId="0" fontId="4" fillId="2" borderId="9" xfId="8" applyFont="1" applyFill="1" applyBorder="1" applyAlignment="1">
      <alignment horizontal="center" wrapText="1"/>
    </xf>
    <xf numFmtId="173" fontId="4" fillId="2" borderId="0" xfId="1" applyNumberFormat="1" applyFont="1" applyFill="1" applyBorder="1" applyAlignment="1">
      <alignment horizontal="center" wrapText="1"/>
    </xf>
    <xf numFmtId="0" fontId="31" fillId="2" borderId="0" xfId="8" applyFont="1" applyFill="1" applyBorder="1" applyAlignment="1">
      <alignment wrapText="1"/>
    </xf>
    <xf numFmtId="0" fontId="31" fillId="2" borderId="0" xfId="8" applyFont="1" applyFill="1" applyAlignment="1">
      <alignment wrapText="1"/>
    </xf>
    <xf numFmtId="0" fontId="33" fillId="2" borderId="0" xfId="8" applyFont="1" applyFill="1" applyAlignment="1">
      <alignment wrapText="1"/>
    </xf>
    <xf numFmtId="181" fontId="4" fillId="2" borderId="1" xfId="8" applyNumberFormat="1" applyFont="1" applyFill="1" applyBorder="1"/>
    <xf numFmtId="0" fontId="4" fillId="2" borderId="1" xfId="8" applyFont="1" applyFill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173" fontId="4" fillId="2" borderId="1" xfId="1" applyNumberFormat="1" applyFont="1" applyFill="1" applyBorder="1" applyAlignment="1">
      <alignment horizontal="center"/>
    </xf>
    <xf numFmtId="178" fontId="8" fillId="2" borderId="1" xfId="9" applyNumberFormat="1" applyFont="1" applyFill="1" applyBorder="1"/>
    <xf numFmtId="168" fontId="4" fillId="2" borderId="1" xfId="9" applyNumberFormat="1" applyFont="1" applyFill="1" applyBorder="1"/>
    <xf numFmtId="168" fontId="4" fillId="8" borderId="1" xfId="1" applyNumberFormat="1" applyFont="1" applyFill="1" applyBorder="1"/>
    <xf numFmtId="168" fontId="4" fillId="3" borderId="1" xfId="1" applyNumberFormat="1" applyFont="1" applyFill="1" applyBorder="1"/>
    <xf numFmtId="0" fontId="31" fillId="2" borderId="0" xfId="8" applyFont="1" applyFill="1" applyBorder="1"/>
    <xf numFmtId="0" fontId="31" fillId="2" borderId="0" xfId="8" applyFont="1" applyFill="1" applyAlignment="1">
      <alignment horizontal="center"/>
    </xf>
    <xf numFmtId="165" fontId="12" fillId="2" borderId="1" xfId="0" applyNumberFormat="1" applyFont="1" applyFill="1" applyBorder="1"/>
    <xf numFmtId="173" fontId="31" fillId="2" borderId="0" xfId="1" applyNumberFormat="1" applyFont="1" applyFill="1"/>
    <xf numFmtId="168" fontId="4" fillId="8" borderId="1" xfId="1" applyNumberFormat="1" applyFont="1" applyFill="1" applyBorder="1" applyAlignment="1">
      <alignment horizontal="center"/>
    </xf>
    <xf numFmtId="0" fontId="72" fillId="2" borderId="0" xfId="8" applyFont="1" applyFill="1" applyAlignment="1">
      <alignment horizontal="left"/>
    </xf>
    <xf numFmtId="0" fontId="4" fillId="2" borderId="69" xfId="8" applyFont="1" applyFill="1" applyBorder="1"/>
    <xf numFmtId="0" fontId="4" fillId="2" borderId="69" xfId="8" applyFont="1" applyFill="1" applyBorder="1" applyAlignment="1">
      <alignment horizontal="center"/>
    </xf>
    <xf numFmtId="168" fontId="4" fillId="2" borderId="69" xfId="1" applyNumberFormat="1" applyFont="1" applyFill="1" applyBorder="1" applyAlignment="1">
      <alignment horizontal="left"/>
    </xf>
    <xf numFmtId="168" fontId="4" fillId="8" borderId="69" xfId="1" applyNumberFormat="1" applyFont="1" applyFill="1" applyBorder="1" applyAlignment="1">
      <alignment horizontal="center"/>
    </xf>
    <xf numFmtId="175" fontId="69" fillId="2" borderId="0" xfId="1" applyNumberFormat="1" applyFont="1" applyFill="1" applyBorder="1"/>
    <xf numFmtId="0" fontId="4" fillId="2" borderId="72" xfId="8" applyFont="1" applyFill="1" applyBorder="1" applyAlignment="1"/>
    <xf numFmtId="0" fontId="4" fillId="2" borderId="7" xfId="8" applyFont="1" applyFill="1" applyBorder="1" applyAlignment="1"/>
    <xf numFmtId="173" fontId="4" fillId="2" borderId="7" xfId="1" applyNumberFormat="1" applyFont="1" applyFill="1" applyBorder="1" applyAlignment="1"/>
    <xf numFmtId="0" fontId="4" fillId="2" borderId="73" xfId="8" applyFont="1" applyFill="1" applyBorder="1" applyAlignment="1"/>
    <xf numFmtId="168" fontId="4" fillId="2" borderId="71" xfId="8" applyNumberFormat="1" applyFont="1" applyFill="1" applyBorder="1" applyAlignment="1"/>
    <xf numFmtId="168" fontId="8" fillId="2" borderId="71" xfId="8" applyNumberFormat="1" applyFont="1" applyFill="1" applyBorder="1" applyAlignment="1"/>
    <xf numFmtId="0" fontId="4" fillId="2" borderId="0" xfId="8" applyFont="1" applyFill="1" applyBorder="1" applyAlignment="1"/>
    <xf numFmtId="173" fontId="4" fillId="2" borderId="0" xfId="1" applyNumberFormat="1" applyFont="1" applyFill="1" applyBorder="1" applyAlignment="1"/>
    <xf numFmtId="168" fontId="4" fillId="2" borderId="0" xfId="8" applyNumberFormat="1" applyFont="1" applyFill="1" applyBorder="1" applyAlignment="1"/>
    <xf numFmtId="168" fontId="8" fillId="2" borderId="0" xfId="8" applyNumberFormat="1" applyFont="1" applyFill="1" applyBorder="1" applyAlignment="1"/>
    <xf numFmtId="165" fontId="8" fillId="2" borderId="74" xfId="10" applyNumberFormat="1" applyFont="1" applyFill="1" applyBorder="1" applyAlignment="1">
      <alignment horizontal="left"/>
    </xf>
    <xf numFmtId="165" fontId="12" fillId="8" borderId="16" xfId="10" applyNumberFormat="1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9" fontId="4" fillId="2" borderId="0" xfId="2" applyFont="1" applyFill="1" applyBorder="1" applyAlignment="1">
      <alignment horizontal="right"/>
    </xf>
    <xf numFmtId="0" fontId="30" fillId="2" borderId="27" xfId="10" applyNumberFormat="1" applyFont="1" applyFill="1" applyBorder="1" applyAlignment="1">
      <alignment horizontal="center"/>
    </xf>
    <xf numFmtId="0" fontId="73" fillId="2" borderId="0" xfId="0" applyFont="1" applyFill="1"/>
    <xf numFmtId="9" fontId="4" fillId="2" borderId="26" xfId="2" applyFont="1" applyFill="1" applyBorder="1" applyAlignment="1">
      <alignment horizontal="left"/>
    </xf>
    <xf numFmtId="165" fontId="4" fillId="6" borderId="16" xfId="10" applyNumberFormat="1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left"/>
    </xf>
    <xf numFmtId="165" fontId="4" fillId="2" borderId="15" xfId="10" applyNumberFormat="1" applyFont="1" applyFill="1" applyBorder="1" applyAlignment="1">
      <alignment horizontal="right"/>
    </xf>
    <xf numFmtId="0" fontId="4" fillId="2" borderId="15" xfId="2" applyNumberFormat="1" applyFont="1" applyFill="1" applyBorder="1" applyAlignment="1">
      <alignment horizontal="right"/>
    </xf>
    <xf numFmtId="165" fontId="12" fillId="2" borderId="75" xfId="0" applyNumberFormat="1" applyFont="1" applyFill="1" applyBorder="1"/>
    <xf numFmtId="165" fontId="12" fillId="2" borderId="50" xfId="10" applyNumberFormat="1" applyFont="1" applyFill="1" applyBorder="1" applyAlignment="1">
      <alignment horizontal="right"/>
    </xf>
    <xf numFmtId="10" fontId="12" fillId="2" borderId="0" xfId="2" applyNumberFormat="1" applyFont="1" applyFill="1"/>
    <xf numFmtId="43" fontId="4" fillId="2" borderId="50" xfId="10" applyNumberFormat="1" applyFont="1" applyFill="1" applyBorder="1" applyAlignment="1">
      <alignment horizontal="right"/>
    </xf>
    <xf numFmtId="0" fontId="4" fillId="2" borderId="68" xfId="0" applyFont="1" applyFill="1" applyBorder="1"/>
    <xf numFmtId="0" fontId="24" fillId="4" borderId="0" xfId="0" applyFont="1" applyFill="1" applyBorder="1" applyAlignment="1">
      <alignment horizontal="left" indent="1"/>
    </xf>
    <xf numFmtId="165" fontId="4" fillId="6" borderId="50" xfId="10" applyNumberFormat="1" applyFont="1" applyFill="1" applyBorder="1" applyAlignment="1">
      <alignment horizontal="right"/>
    </xf>
    <xf numFmtId="165" fontId="24" fillId="2" borderId="33" xfId="10" applyNumberFormat="1" applyFont="1" applyFill="1" applyBorder="1" applyAlignment="1">
      <alignment horizontal="left"/>
    </xf>
    <xf numFmtId="10" fontId="38" fillId="5" borderId="0" xfId="2" applyNumberFormat="1" applyFont="1" applyFill="1" applyAlignment="1">
      <alignment horizontal="center"/>
    </xf>
    <xf numFmtId="6" fontId="12" fillId="5" borderId="0" xfId="0" applyNumberFormat="1" applyFont="1" applyFill="1" applyAlignment="1">
      <alignment horizontal="left"/>
    </xf>
    <xf numFmtId="0" fontId="73" fillId="2" borderId="0" xfId="0" applyFont="1" applyFill="1" applyAlignment="1">
      <alignment horizontal="right" vertical="center" wrapText="1"/>
    </xf>
    <xf numFmtId="0" fontId="73" fillId="2" borderId="55" xfId="0" applyFont="1" applyFill="1" applyBorder="1"/>
    <xf numFmtId="168" fontId="4" fillId="3" borderId="16" xfId="1" applyNumberFormat="1" applyFont="1" applyFill="1" applyBorder="1" applyAlignment="1">
      <alignment horizontal="right"/>
    </xf>
    <xf numFmtId="17" fontId="6" fillId="8" borderId="0" xfId="3" applyNumberFormat="1" applyFont="1" applyFill="1" applyBorder="1" applyAlignment="1">
      <alignment horizontal="center"/>
    </xf>
    <xf numFmtId="0" fontId="6" fillId="8" borderId="0" xfId="3" applyFont="1" applyFill="1" applyBorder="1" applyAlignment="1">
      <alignment horizontal="center"/>
    </xf>
    <xf numFmtId="165" fontId="4" fillId="8" borderId="36" xfId="10" applyNumberFormat="1" applyFont="1" applyFill="1" applyBorder="1" applyAlignment="1">
      <alignment horizontal="right"/>
    </xf>
    <xf numFmtId="165" fontId="12" fillId="8" borderId="36" xfId="10" applyNumberFormat="1" applyFont="1" applyFill="1" applyBorder="1" applyAlignment="1">
      <alignment horizontal="right"/>
    </xf>
    <xf numFmtId="165" fontId="12" fillId="8" borderId="38" xfId="0" applyNumberFormat="1" applyFont="1" applyFill="1" applyBorder="1"/>
    <xf numFmtId="0" fontId="73" fillId="8" borderId="55" xfId="0" applyFont="1" applyFill="1" applyBorder="1"/>
    <xf numFmtId="165" fontId="73" fillId="8" borderId="55" xfId="0" applyNumberFormat="1" applyFont="1" applyFill="1" applyBorder="1"/>
    <xf numFmtId="168" fontId="0" fillId="2" borderId="15" xfId="10" applyNumberFormat="1" applyFont="1" applyFill="1" applyBorder="1" applyAlignment="1">
      <alignment horizontal="left" indent="1"/>
    </xf>
    <xf numFmtId="175" fontId="4" fillId="2" borderId="6" xfId="8" applyNumberFormat="1" applyFont="1" applyFill="1" applyBorder="1" applyAlignment="1">
      <alignment horizontal="center" vertical="center"/>
    </xf>
    <xf numFmtId="0" fontId="4" fillId="2" borderId="51" xfId="8" applyFont="1" applyFill="1" applyBorder="1" applyAlignment="1">
      <alignment horizontal="left"/>
    </xf>
    <xf numFmtId="0" fontId="4" fillId="2" borderId="52" xfId="8" applyFont="1" applyFill="1" applyBorder="1" applyAlignment="1">
      <alignment horizontal="left"/>
    </xf>
    <xf numFmtId="0" fontId="4" fillId="2" borderId="53" xfId="8" applyFont="1" applyFill="1" applyBorder="1" applyAlignment="1">
      <alignment horizontal="left"/>
    </xf>
    <xf numFmtId="0" fontId="4" fillId="2" borderId="6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0" fillId="4" borderId="0" xfId="0" applyFont="1" applyFill="1"/>
    <xf numFmtId="175" fontId="4" fillId="2" borderId="61" xfId="8" applyNumberFormat="1" applyFont="1" applyFill="1" applyBorder="1"/>
    <xf numFmtId="164" fontId="4" fillId="2" borderId="61" xfId="9" applyFont="1" applyFill="1" applyBorder="1"/>
    <xf numFmtId="164" fontId="4" fillId="2" borderId="80" xfId="9" applyFont="1" applyFill="1" applyBorder="1"/>
    <xf numFmtId="0" fontId="4" fillId="2" borderId="58" xfId="8" applyFont="1" applyFill="1" applyBorder="1" applyAlignment="1">
      <alignment horizontal="left"/>
    </xf>
    <xf numFmtId="0" fontId="4" fillId="2" borderId="9" xfId="8" applyFont="1" applyFill="1" applyBorder="1" applyAlignment="1">
      <alignment horizontal="left"/>
    </xf>
    <xf numFmtId="0" fontId="4" fillId="2" borderId="59" xfId="8" applyFont="1" applyFill="1" applyBorder="1" applyAlignment="1">
      <alignment horizontal="left"/>
    </xf>
    <xf numFmtId="0" fontId="4" fillId="2" borderId="0" xfId="8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left" vertical="top" indent="1"/>
    </xf>
    <xf numFmtId="0" fontId="42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6" fillId="8" borderId="6" xfId="3" applyFont="1" applyFill="1" applyBorder="1" applyAlignment="1">
      <alignment horizontal="center"/>
    </xf>
    <xf numFmtId="0" fontId="40" fillId="4" borderId="0" xfId="0" applyFont="1" applyFill="1"/>
    <xf numFmtId="165" fontId="12" fillId="4" borderId="36" xfId="10" applyNumberFormat="1" applyFont="1" applyFill="1" applyBorder="1" applyAlignment="1">
      <alignment horizontal="right"/>
    </xf>
    <xf numFmtId="49" fontId="38" fillId="2" borderId="0" xfId="0" applyNumberFormat="1" applyFont="1" applyFill="1" applyAlignment="1">
      <alignment horizontal="left" indent="1"/>
    </xf>
    <xf numFmtId="0" fontId="40" fillId="2" borderId="0" xfId="0" applyFont="1" applyFill="1"/>
    <xf numFmtId="168" fontId="12" fillId="8" borderId="16" xfId="10" applyNumberFormat="1" applyFont="1" applyFill="1" applyBorder="1" applyAlignment="1">
      <alignment horizontal="right"/>
    </xf>
    <xf numFmtId="168" fontId="12" fillId="2" borderId="26" xfId="10" applyNumberFormat="1" applyFont="1" applyFill="1" applyBorder="1" applyAlignment="1">
      <alignment horizontal="right"/>
    </xf>
    <xf numFmtId="0" fontId="40" fillId="2" borderId="0" xfId="0" quotePrefix="1" applyFont="1" applyFill="1"/>
    <xf numFmtId="165" fontId="12" fillId="8" borderId="25" xfId="10" applyNumberFormat="1" applyFont="1" applyFill="1" applyBorder="1" applyAlignment="1">
      <alignment horizontal="right"/>
    </xf>
    <xf numFmtId="165" fontId="12" fillId="8" borderId="38" xfId="10" applyNumberFormat="1" applyFont="1" applyFill="1" applyBorder="1" applyAlignment="1">
      <alignment horizontal="right"/>
    </xf>
    <xf numFmtId="165" fontId="12" fillId="2" borderId="81" xfId="10" applyNumberFormat="1" applyFont="1" applyFill="1" applyBorder="1" applyAlignment="1">
      <alignment horizontal="right"/>
    </xf>
    <xf numFmtId="165" fontId="15" fillId="8" borderId="7" xfId="0" applyNumberFormat="1" applyFont="1" applyFill="1" applyBorder="1"/>
    <xf numFmtId="168" fontId="76" fillId="2" borderId="0" xfId="1" applyNumberFormat="1" applyFont="1" applyFill="1" applyBorder="1" applyAlignment="1">
      <alignment horizontal="center"/>
    </xf>
    <xf numFmtId="0" fontId="3" fillId="4" borderId="0" xfId="0" applyFont="1" applyFill="1"/>
    <xf numFmtId="165" fontId="4" fillId="4" borderId="36" xfId="10" applyNumberFormat="1" applyFont="1" applyFill="1" applyBorder="1" applyAlignment="1">
      <alignment horizontal="right"/>
    </xf>
    <xf numFmtId="165" fontId="4" fillId="4" borderId="15" xfId="10" applyNumberFormat="1" applyFont="1" applyFill="1" applyBorder="1" applyAlignment="1">
      <alignment horizontal="right"/>
    </xf>
    <xf numFmtId="168" fontId="4" fillId="2" borderId="50" xfId="10" applyNumberFormat="1" applyFont="1" applyFill="1" applyBorder="1" applyAlignment="1">
      <alignment horizontal="right"/>
    </xf>
    <xf numFmtId="165" fontId="4" fillId="8" borderId="25" xfId="10" applyNumberFormat="1" applyFont="1" applyFill="1" applyBorder="1" applyAlignment="1">
      <alignment horizontal="right"/>
    </xf>
    <xf numFmtId="165" fontId="4" fillId="8" borderId="38" xfId="10" applyNumberFormat="1" applyFont="1" applyFill="1" applyBorder="1" applyAlignment="1">
      <alignment horizontal="right"/>
    </xf>
    <xf numFmtId="43" fontId="12" fillId="2" borderId="25" xfId="10" applyNumberFormat="1" applyFont="1" applyFill="1" applyBorder="1" applyAlignment="1">
      <alignment horizontal="right"/>
    </xf>
    <xf numFmtId="165" fontId="12" fillId="8" borderId="0" xfId="0" applyNumberFormat="1" applyFont="1" applyFill="1" applyBorder="1"/>
    <xf numFmtId="0" fontId="0" fillId="4" borderId="0" xfId="0" quotePrefix="1" applyFont="1" applyFill="1"/>
    <xf numFmtId="165" fontId="12" fillId="8" borderId="19" xfId="0" applyNumberFormat="1" applyFont="1" applyFill="1" applyBorder="1"/>
    <xf numFmtId="165" fontId="12" fillId="2" borderId="19" xfId="0" applyNumberFormat="1" applyFont="1" applyFill="1" applyBorder="1"/>
    <xf numFmtId="168" fontId="4" fillId="4" borderId="0" xfId="1" applyNumberFormat="1" applyFont="1" applyFill="1"/>
    <xf numFmtId="17" fontId="6" fillId="2" borderId="5" xfId="3" applyNumberFormat="1" applyFont="1" applyFill="1" applyBorder="1" applyAlignment="1">
      <alignment horizontal="center"/>
    </xf>
    <xf numFmtId="0" fontId="73" fillId="2" borderId="0" xfId="0" applyFont="1" applyFill="1" applyBorder="1"/>
    <xf numFmtId="0" fontId="48" fillId="2" borderId="0" xfId="0" applyFont="1" applyFill="1"/>
    <xf numFmtId="0" fontId="4" fillId="4" borderId="1" xfId="3" applyNumberFormat="1" applyFont="1" applyFill="1" applyBorder="1" applyAlignment="1">
      <alignment horizontal="center" wrapText="1"/>
    </xf>
    <xf numFmtId="165" fontId="8" fillId="2" borderId="24" xfId="10" applyNumberFormat="1" applyFont="1" applyFill="1" applyBorder="1" applyAlignment="1">
      <alignment horizontal="left"/>
    </xf>
    <xf numFmtId="165" fontId="9" fillId="2" borderId="24" xfId="10" applyNumberFormat="1" applyFont="1" applyFill="1" applyBorder="1" applyAlignment="1">
      <alignment horizontal="left"/>
    </xf>
    <xf numFmtId="165" fontId="4" fillId="4" borderId="24" xfId="10" applyNumberFormat="1" applyFont="1" applyFill="1" applyBorder="1" applyAlignment="1">
      <alignment horizontal="left"/>
    </xf>
    <xf numFmtId="165" fontId="4" fillId="3" borderId="24" xfId="10" applyNumberFormat="1" applyFont="1" applyFill="1" applyBorder="1" applyAlignment="1">
      <alignment horizontal="left"/>
    </xf>
    <xf numFmtId="168" fontId="12" fillId="2" borderId="68" xfId="1" applyNumberFormat="1" applyFont="1" applyFill="1" applyBorder="1" applyAlignment="1">
      <alignment horizontal="center" vertical="center"/>
    </xf>
    <xf numFmtId="0" fontId="12" fillId="2" borderId="68" xfId="0" applyFont="1" applyFill="1" applyBorder="1"/>
    <xf numFmtId="180" fontId="4" fillId="4" borderId="24" xfId="2" applyNumberFormat="1" applyFont="1" applyFill="1" applyBorder="1" applyAlignment="1">
      <alignment horizontal="left"/>
    </xf>
    <xf numFmtId="43" fontId="4" fillId="4" borderId="24" xfId="1" applyFont="1" applyFill="1" applyBorder="1" applyAlignment="1">
      <alignment horizontal="left"/>
    </xf>
    <xf numFmtId="0" fontId="8" fillId="2" borderId="53" xfId="25" applyFont="1" applyFill="1" applyBorder="1" applyAlignment="1">
      <alignment horizontal="center" vertical="center"/>
    </xf>
    <xf numFmtId="0" fontId="8" fillId="2" borderId="1" xfId="25" applyFont="1" applyFill="1" applyBorder="1" applyAlignment="1">
      <alignment horizontal="center" vertical="center" textRotation="180" wrapText="1"/>
    </xf>
    <xf numFmtId="0" fontId="8" fillId="2" borderId="1" xfId="25" applyFont="1" applyFill="1" applyBorder="1" applyAlignment="1">
      <alignment horizontal="center" vertical="center" textRotation="180"/>
    </xf>
    <xf numFmtId="0" fontId="4" fillId="2" borderId="1" xfId="25" applyFont="1" applyFill="1" applyBorder="1" applyAlignment="1">
      <alignment horizontal="left" textRotation="180"/>
    </xf>
    <xf numFmtId="41" fontId="4" fillId="8" borderId="1" xfId="10" applyNumberFormat="1" applyFont="1" applyFill="1" applyBorder="1" applyAlignment="1">
      <alignment horizontal="center"/>
    </xf>
    <xf numFmtId="184" fontId="4" fillId="3" borderId="1" xfId="11" applyNumberFormat="1" applyFont="1" applyFill="1" applyBorder="1" applyAlignment="1">
      <alignment horizontal="center"/>
    </xf>
    <xf numFmtId="180" fontId="4" fillId="3" borderId="1" xfId="2" applyNumberFormat="1" applyFont="1" applyFill="1" applyBorder="1" applyAlignment="1">
      <alignment horizontal="center"/>
    </xf>
    <xf numFmtId="178" fontId="4" fillId="8" borderId="1" xfId="11" applyNumberFormat="1" applyFont="1" applyFill="1" applyBorder="1" applyAlignment="1">
      <alignment horizontal="right"/>
    </xf>
    <xf numFmtId="1" fontId="4" fillId="3" borderId="1" xfId="11" applyNumberFormat="1" applyFont="1" applyFill="1" applyBorder="1" applyAlignment="1">
      <alignment horizontal="center"/>
    </xf>
    <xf numFmtId="0" fontId="4" fillId="8" borderId="1" xfId="0" applyFont="1" applyFill="1" applyBorder="1"/>
    <xf numFmtId="0" fontId="4" fillId="3" borderId="1" xfId="0" applyFont="1" applyFill="1" applyBorder="1"/>
    <xf numFmtId="10" fontId="0" fillId="2" borderId="0" xfId="0" applyNumberFormat="1" applyFill="1" applyBorder="1"/>
    <xf numFmtId="0" fontId="51" fillId="2" borderId="0" xfId="0" applyFont="1" applyFill="1"/>
    <xf numFmtId="0" fontId="51" fillId="2" borderId="0" xfId="0" applyFont="1" applyFill="1" applyBorder="1" applyAlignment="1">
      <alignment horizontal="center"/>
    </xf>
    <xf numFmtId="0" fontId="51" fillId="0" borderId="0" xfId="0" applyFont="1"/>
    <xf numFmtId="0" fontId="3" fillId="0" borderId="0" xfId="0" applyFont="1"/>
    <xf numFmtId="9" fontId="3" fillId="2" borderId="0" xfId="2" applyFont="1" applyFill="1" applyBorder="1"/>
    <xf numFmtId="168" fontId="0" fillId="2" borderId="0" xfId="1" applyNumberFormat="1" applyFont="1" applyFill="1"/>
    <xf numFmtId="0" fontId="39" fillId="2" borderId="0" xfId="0" applyFont="1" applyFill="1" applyBorder="1" applyAlignment="1">
      <alignment horizontal="left" vertical="center"/>
    </xf>
    <xf numFmtId="165" fontId="4" fillId="8" borderId="26" xfId="10" applyNumberFormat="1" applyFont="1" applyFill="1" applyBorder="1" applyAlignment="1">
      <alignment horizontal="right"/>
    </xf>
    <xf numFmtId="168" fontId="4" fillId="8" borderId="26" xfId="10" applyNumberFormat="1" applyFont="1" applyFill="1" applyBorder="1" applyAlignment="1">
      <alignment horizontal="right"/>
    </xf>
    <xf numFmtId="43" fontId="4" fillId="8" borderId="26" xfId="10" applyNumberFormat="1" applyFont="1" applyFill="1" applyBorder="1" applyAlignment="1">
      <alignment horizontal="right"/>
    </xf>
    <xf numFmtId="0" fontId="15" fillId="2" borderId="19" xfId="10" applyNumberFormat="1" applyFont="1" applyFill="1" applyBorder="1" applyAlignment="1">
      <alignment horizontal="center"/>
    </xf>
    <xf numFmtId="165" fontId="28" fillId="2" borderId="16" xfId="10" applyNumberFormat="1" applyFont="1" applyFill="1" applyBorder="1" applyAlignment="1">
      <alignment horizontal="right"/>
    </xf>
    <xf numFmtId="9" fontId="12" fillId="2" borderId="0" xfId="2" applyFont="1" applyFill="1"/>
    <xf numFmtId="174" fontId="12" fillId="2" borderId="16" xfId="1" applyNumberFormat="1" applyFont="1" applyFill="1" applyBorder="1" applyAlignment="1">
      <alignment horizontal="right"/>
    </xf>
    <xf numFmtId="180" fontId="12" fillId="2" borderId="16" xfId="2" applyNumberFormat="1" applyFont="1" applyFill="1" applyBorder="1" applyAlignment="1">
      <alignment horizontal="right"/>
    </xf>
    <xf numFmtId="43" fontId="12" fillId="2" borderId="16" xfId="1" applyFont="1" applyFill="1" applyBorder="1" applyAlignment="1">
      <alignment horizontal="left"/>
    </xf>
    <xf numFmtId="177" fontId="12" fillId="2" borderId="16" xfId="10" applyNumberFormat="1" applyFont="1" applyFill="1" applyBorder="1" applyAlignment="1">
      <alignment horizontal="left"/>
    </xf>
    <xf numFmtId="10" fontId="12" fillId="2" borderId="16" xfId="2" applyNumberFormat="1" applyFont="1" applyFill="1" applyBorder="1" applyAlignment="1">
      <alignment horizontal="right"/>
    </xf>
    <xf numFmtId="165" fontId="12" fillId="2" borderId="16" xfId="10" applyNumberFormat="1" applyFont="1" applyFill="1" applyBorder="1" applyAlignment="1">
      <alignment horizontal="left"/>
    </xf>
    <xf numFmtId="168" fontId="22" fillId="2" borderId="0" xfId="1" applyNumberFormat="1" applyFont="1" applyFill="1" applyAlignment="1">
      <alignment horizontal="center" vertical="center" wrapText="1"/>
    </xf>
    <xf numFmtId="168" fontId="13" fillId="2" borderId="0" xfId="1" applyNumberFormat="1" applyFont="1" applyFill="1"/>
    <xf numFmtId="168" fontId="4" fillId="4" borderId="0" xfId="1" applyNumberFormat="1" applyFont="1" applyFill="1" applyBorder="1"/>
    <xf numFmtId="17" fontId="6" fillId="2" borderId="6" xfId="3" applyNumberFormat="1" applyFont="1" applyFill="1" applyBorder="1" applyAlignment="1">
      <alignment horizontal="center"/>
    </xf>
    <xf numFmtId="43" fontId="13" fillId="2" borderId="83" xfId="0" applyNumberFormat="1" applyFont="1" applyFill="1" applyBorder="1" applyAlignment="1">
      <alignment horizontal="center"/>
    </xf>
    <xf numFmtId="168" fontId="4" fillId="2" borderId="6" xfId="1" applyNumberFormat="1" applyFont="1" applyFill="1" applyBorder="1"/>
    <xf numFmtId="165" fontId="4" fillId="2" borderId="6" xfId="10" applyNumberFormat="1" applyFont="1" applyFill="1" applyBorder="1" applyAlignment="1">
      <alignment horizontal="right"/>
    </xf>
    <xf numFmtId="0" fontId="40" fillId="2" borderId="26" xfId="10" applyNumberFormat="1" applyFont="1" applyFill="1" applyBorder="1" applyAlignment="1">
      <alignment horizontal="left" indent="1"/>
    </xf>
    <xf numFmtId="165" fontId="12" fillId="2" borderId="26" xfId="10" applyNumberFormat="1" applyFont="1" applyFill="1" applyBorder="1" applyAlignment="1">
      <alignment horizontal="left"/>
    </xf>
    <xf numFmtId="0" fontId="12" fillId="2" borderId="12" xfId="0" quotePrefix="1" applyFont="1" applyFill="1" applyBorder="1" applyAlignment="1">
      <alignment horizontal="left" vertical="center" wrapText="1"/>
    </xf>
    <xf numFmtId="168" fontId="12" fillId="2" borderId="12" xfId="1" quotePrefix="1" applyNumberFormat="1" applyFont="1" applyFill="1" applyBorder="1" applyAlignment="1">
      <alignment horizontal="left" vertical="center" wrapText="1"/>
    </xf>
    <xf numFmtId="0" fontId="12" fillId="2" borderId="12" xfId="0" quotePrefix="1" applyFont="1" applyFill="1" applyBorder="1" applyAlignment="1">
      <alignment horizontal="center" vertical="center" wrapText="1"/>
    </xf>
    <xf numFmtId="0" fontId="12" fillId="2" borderId="67" xfId="0" quotePrefix="1" applyFont="1" applyFill="1" applyBorder="1" applyAlignment="1">
      <alignment horizontal="left" vertical="center" wrapText="1"/>
    </xf>
    <xf numFmtId="168" fontId="12" fillId="2" borderId="67" xfId="1" quotePrefix="1" applyNumberFormat="1" applyFont="1" applyFill="1" applyBorder="1" applyAlignment="1">
      <alignment horizontal="left" vertical="center" wrapText="1"/>
    </xf>
    <xf numFmtId="0" fontId="12" fillId="2" borderId="67" xfId="0" quotePrefix="1" applyFont="1" applyFill="1" applyBorder="1" applyAlignment="1">
      <alignment horizontal="center" vertical="center" wrapText="1"/>
    </xf>
    <xf numFmtId="0" fontId="3" fillId="0" borderId="55" xfId="0" applyFont="1" applyBorder="1"/>
    <xf numFmtId="0" fontId="3" fillId="0" borderId="0" xfId="0" applyFont="1" applyBorder="1"/>
    <xf numFmtId="0" fontId="51" fillId="0" borderId="0" xfId="0" applyFont="1" applyBorder="1" applyAlignment="1">
      <alignment wrapText="1"/>
    </xf>
    <xf numFmtId="18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/>
    <xf numFmtId="181" fontId="3" fillId="0" borderId="0" xfId="0" applyNumberFormat="1" applyFont="1" applyBorder="1"/>
    <xf numFmtId="1" fontId="3" fillId="0" borderId="55" xfId="0" applyNumberFormat="1" applyFont="1" applyBorder="1"/>
    <xf numFmtId="181" fontId="3" fillId="0" borderId="55" xfId="0" applyNumberFormat="1" applyFont="1" applyBorder="1" applyAlignment="1">
      <alignment horizontal="right"/>
    </xf>
    <xf numFmtId="181" fontId="3" fillId="0" borderId="55" xfId="0" applyNumberFormat="1" applyFont="1" applyBorder="1"/>
    <xf numFmtId="1" fontId="3" fillId="0" borderId="3" xfId="0" applyNumberFormat="1" applyFont="1" applyBorder="1"/>
    <xf numFmtId="9" fontId="3" fillId="0" borderId="3" xfId="0" applyNumberFormat="1" applyFont="1" applyBorder="1"/>
    <xf numFmtId="9" fontId="3" fillId="0" borderId="3" xfId="0" applyNumberFormat="1" applyFont="1" applyFill="1" applyBorder="1"/>
    <xf numFmtId="181" fontId="3" fillId="0" borderId="3" xfId="0" applyNumberFormat="1" applyFont="1" applyBorder="1"/>
    <xf numFmtId="185" fontId="3" fillId="0" borderId="0" xfId="0" applyNumberFormat="1" applyFont="1" applyBorder="1"/>
    <xf numFmtId="9" fontId="3" fillId="0" borderId="0" xfId="0" applyNumberFormat="1" applyFont="1" applyBorder="1"/>
    <xf numFmtId="0" fontId="3" fillId="0" borderId="0" xfId="0" applyFont="1" applyFill="1" applyBorder="1"/>
    <xf numFmtId="0" fontId="51" fillId="0" borderId="0" xfId="0" applyFont="1" applyFill="1" applyBorder="1"/>
    <xf numFmtId="2" fontId="3" fillId="0" borderId="0" xfId="0" applyNumberFormat="1" applyFont="1" applyBorder="1"/>
    <xf numFmtId="186" fontId="3" fillId="0" borderId="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Fill="1" applyBorder="1"/>
    <xf numFmtId="9" fontId="3" fillId="0" borderId="55" xfId="0" applyNumberFormat="1" applyFont="1" applyBorder="1"/>
    <xf numFmtId="186" fontId="3" fillId="0" borderId="55" xfId="0" applyNumberFormat="1" applyFont="1" applyBorder="1"/>
    <xf numFmtId="0" fontId="3" fillId="0" borderId="55" xfId="0" applyNumberFormat="1" applyFont="1" applyBorder="1"/>
    <xf numFmtId="185" fontId="3" fillId="0" borderId="55" xfId="0" applyNumberFormat="1" applyFont="1" applyBorder="1"/>
    <xf numFmtId="2" fontId="3" fillId="0" borderId="55" xfId="0" applyNumberFormat="1" applyFont="1" applyBorder="1"/>
    <xf numFmtId="0" fontId="82" fillId="0" borderId="0" xfId="48" applyFont="1" applyFill="1" applyBorder="1"/>
    <xf numFmtId="0" fontId="83" fillId="0" borderId="0" xfId="48" applyFont="1" applyFill="1" applyBorder="1" applyAlignment="1">
      <alignment horizontal="left"/>
    </xf>
    <xf numFmtId="0" fontId="13" fillId="0" borderId="70" xfId="48" applyFont="1" applyFill="1" applyBorder="1"/>
    <xf numFmtId="1" fontId="13" fillId="0" borderId="70" xfId="48" applyNumberFormat="1" applyFont="1" applyFill="1" applyBorder="1" applyAlignment="1">
      <alignment horizontal="right"/>
    </xf>
    <xf numFmtId="0" fontId="13" fillId="0" borderId="70" xfId="48" applyFont="1" applyFill="1" applyBorder="1" applyAlignment="1">
      <alignment horizontal="right"/>
    </xf>
    <xf numFmtId="2" fontId="3" fillId="0" borderId="70" xfId="0" applyNumberFormat="1" applyFont="1" applyBorder="1"/>
    <xf numFmtId="0" fontId="13" fillId="0" borderId="70" xfId="48" applyFont="1" applyFill="1" applyBorder="1" applyAlignment="1">
      <alignment horizontal="left"/>
    </xf>
    <xf numFmtId="181" fontId="13" fillId="0" borderId="70" xfId="48" applyNumberFormat="1" applyFont="1" applyFill="1" applyBorder="1" applyAlignment="1">
      <alignment horizontal="right"/>
    </xf>
    <xf numFmtId="9" fontId="13" fillId="0" borderId="70" xfId="48" applyNumberFormat="1" applyFont="1" applyFill="1" applyBorder="1" applyAlignment="1">
      <alignment horizontal="right"/>
    </xf>
    <xf numFmtId="3" fontId="13" fillId="0" borderId="78" xfId="48" applyNumberFormat="1" applyFont="1" applyFill="1" applyBorder="1" applyAlignment="1">
      <alignment horizontal="right"/>
    </xf>
    <xf numFmtId="0" fontId="13" fillId="0" borderId="78" xfId="48" applyFont="1" applyFill="1" applyBorder="1" applyAlignment="1">
      <alignment horizontal="left"/>
    </xf>
    <xf numFmtId="2" fontId="13" fillId="0" borderId="70" xfId="48" applyNumberFormat="1" applyFont="1" applyFill="1" applyBorder="1" applyAlignment="1">
      <alignment horizontal="right"/>
    </xf>
    <xf numFmtId="181" fontId="13" fillId="0" borderId="79" xfId="48" applyNumberFormat="1" applyFont="1" applyFill="1" applyBorder="1" applyAlignment="1">
      <alignment horizontal="right"/>
    </xf>
    <xf numFmtId="181" fontId="84" fillId="0" borderId="0" xfId="48" applyNumberFormat="1" applyFont="1" applyFill="1" applyBorder="1" applyAlignment="1">
      <alignment horizontal="right"/>
    </xf>
    <xf numFmtId="0" fontId="13" fillId="0" borderId="77" xfId="48" applyFont="1" applyFill="1" applyBorder="1" applyAlignment="1">
      <alignment horizontal="left"/>
    </xf>
    <xf numFmtId="0" fontId="13" fillId="0" borderId="78" xfId="48" applyFont="1" applyFill="1" applyBorder="1"/>
    <xf numFmtId="165" fontId="12" fillId="0" borderId="16" xfId="10" applyNumberFormat="1" applyFont="1" applyFill="1" applyBorder="1" applyAlignment="1">
      <alignment horizontal="right"/>
    </xf>
    <xf numFmtId="43" fontId="12" fillId="2" borderId="25" xfId="0" applyNumberFormat="1" applyFont="1" applyFill="1" applyBorder="1"/>
    <xf numFmtId="43" fontId="0" fillId="2" borderId="0" xfId="0" applyNumberFormat="1" applyFill="1"/>
    <xf numFmtId="2" fontId="0" fillId="2" borderId="0" xfId="0" applyNumberFormat="1" applyFill="1"/>
    <xf numFmtId="187" fontId="4" fillId="4" borderId="24" xfId="10" applyNumberFormat="1" applyFont="1" applyFill="1" applyBorder="1" applyAlignment="1">
      <alignment horizontal="left"/>
    </xf>
    <xf numFmtId="180" fontId="12" fillId="2" borderId="23" xfId="2" applyNumberFormat="1" applyFont="1" applyFill="1" applyBorder="1" applyAlignment="1">
      <alignment horizontal="right"/>
    </xf>
    <xf numFmtId="0" fontId="4" fillId="4" borderId="26" xfId="0" applyFont="1" applyFill="1" applyBorder="1"/>
    <xf numFmtId="188" fontId="4" fillId="4" borderId="23" xfId="1" applyNumberFormat="1" applyFont="1" applyFill="1" applyBorder="1" applyAlignment="1">
      <alignment horizontal="center"/>
    </xf>
    <xf numFmtId="43" fontId="4" fillId="2" borderId="16" xfId="1" applyFont="1" applyFill="1" applyBorder="1" applyAlignment="1">
      <alignment horizontal="right"/>
    </xf>
    <xf numFmtId="165" fontId="4" fillId="4" borderId="15" xfId="10" applyNumberFormat="1" applyFont="1" applyFill="1" applyBorder="1" applyAlignment="1">
      <alignment horizontal="left"/>
    </xf>
    <xf numFmtId="43" fontId="4" fillId="2" borderId="0" xfId="1" applyFont="1" applyFill="1" applyBorder="1" applyAlignment="1">
      <alignment horizontal="right"/>
    </xf>
    <xf numFmtId="165" fontId="4" fillId="0" borderId="0" xfId="10" applyNumberFormat="1" applyFont="1" applyFill="1" applyBorder="1" applyAlignment="1">
      <alignment horizontal="left"/>
    </xf>
    <xf numFmtId="43" fontId="4" fillId="2" borderId="0" xfId="1" applyFont="1" applyFill="1" applyBorder="1" applyAlignment="1">
      <alignment horizontal="center"/>
    </xf>
    <xf numFmtId="165" fontId="4" fillId="0" borderId="0" xfId="10" applyNumberFormat="1" applyFont="1" applyFill="1" applyBorder="1" applyAlignment="1">
      <alignment horizontal="right"/>
    </xf>
    <xf numFmtId="188" fontId="4" fillId="4" borderId="23" xfId="2" applyNumberFormat="1" applyFont="1" applyFill="1" applyBorder="1" applyAlignment="1">
      <alignment horizontal="center"/>
    </xf>
    <xf numFmtId="188" fontId="4" fillId="4" borderId="15" xfId="1" applyNumberFormat="1" applyFont="1" applyFill="1" applyBorder="1" applyAlignment="1">
      <alignment horizontal="center"/>
    </xf>
    <xf numFmtId="165" fontId="4" fillId="0" borderId="16" xfId="10" applyNumberFormat="1" applyFont="1" applyFill="1" applyBorder="1" applyAlignment="1">
      <alignment horizontal="left"/>
    </xf>
    <xf numFmtId="44" fontId="4" fillId="0" borderId="23" xfId="45" applyNumberFormat="1" applyFont="1" applyFill="1" applyBorder="1" applyAlignment="1">
      <alignment horizontal="center"/>
    </xf>
    <xf numFmtId="189" fontId="4" fillId="4" borderId="23" xfId="45" applyNumberFormat="1" applyFont="1" applyFill="1" applyBorder="1" applyAlignment="1">
      <alignment horizontal="center"/>
    </xf>
    <xf numFmtId="165" fontId="4" fillId="0" borderId="50" xfId="10" applyNumberFormat="1" applyFont="1" applyFill="1" applyBorder="1" applyAlignment="1">
      <alignment horizontal="right"/>
    </xf>
    <xf numFmtId="165" fontId="4" fillId="0" borderId="16" xfId="10" applyNumberFormat="1" applyFont="1" applyFill="1" applyBorder="1" applyAlignment="1">
      <alignment horizontal="right"/>
    </xf>
    <xf numFmtId="37" fontId="4" fillId="4" borderId="23" xfId="1" applyNumberFormat="1" applyFont="1" applyFill="1" applyBorder="1" applyAlignment="1">
      <alignment horizontal="center"/>
    </xf>
    <xf numFmtId="189" fontId="4" fillId="4" borderId="23" xfId="1" applyNumberFormat="1" applyFont="1" applyFill="1" applyBorder="1" applyAlignment="1">
      <alignment horizontal="center"/>
    </xf>
    <xf numFmtId="168" fontId="4" fillId="2" borderId="16" xfId="10" applyNumberFormat="1" applyFont="1" applyFill="1" applyBorder="1" applyAlignment="1">
      <alignment horizontal="right"/>
    </xf>
    <xf numFmtId="177" fontId="4" fillId="0" borderId="16" xfId="10" applyNumberFormat="1" applyFont="1" applyFill="1" applyBorder="1" applyAlignment="1">
      <alignment horizontal="right"/>
    </xf>
    <xf numFmtId="177" fontId="4" fillId="0" borderId="50" xfId="10" applyNumberFormat="1" applyFont="1" applyFill="1" applyBorder="1" applyAlignment="1">
      <alignment horizontal="right"/>
    </xf>
    <xf numFmtId="190" fontId="4" fillId="4" borderId="23" xfId="45" applyNumberFormat="1" applyFont="1" applyFill="1" applyBorder="1" applyAlignment="1">
      <alignment horizontal="center"/>
    </xf>
    <xf numFmtId="168" fontId="12" fillId="2" borderId="25" xfId="10" applyNumberFormat="1" applyFont="1" applyFill="1" applyBorder="1" applyAlignment="1">
      <alignment horizontal="right"/>
    </xf>
    <xf numFmtId="168" fontId="73" fillId="2" borderId="55" xfId="0" applyNumberFormat="1" applyFont="1" applyFill="1" applyBorder="1"/>
    <xf numFmtId="168" fontId="73" fillId="2" borderId="0" xfId="0" applyNumberFormat="1" applyFont="1" applyFill="1" applyBorder="1"/>
    <xf numFmtId="168" fontId="4" fillId="2" borderId="36" xfId="10" applyNumberFormat="1" applyFont="1" applyFill="1" applyBorder="1" applyAlignment="1">
      <alignment horizontal="right"/>
    </xf>
    <xf numFmtId="188" fontId="15" fillId="2" borderId="0" xfId="9" applyNumberFormat="1" applyFont="1" applyFill="1" applyBorder="1"/>
    <xf numFmtId="188" fontId="4" fillId="2" borderId="1" xfId="8" applyNumberFormat="1" applyFont="1" applyFill="1" applyBorder="1"/>
    <xf numFmtId="188" fontId="4" fillId="2" borderId="80" xfId="8" applyNumberFormat="1" applyFont="1" applyFill="1" applyBorder="1"/>
    <xf numFmtId="43" fontId="12" fillId="2" borderId="15" xfId="1" applyFont="1" applyFill="1" applyBorder="1" applyAlignment="1">
      <alignment horizontal="right"/>
    </xf>
    <xf numFmtId="17" fontId="6" fillId="8" borderId="6" xfId="3" applyNumberFormat="1" applyFont="1" applyFill="1" applyBorder="1" applyAlignment="1">
      <alignment horizontal="center"/>
    </xf>
    <xf numFmtId="177" fontId="4" fillId="2" borderId="16" xfId="10" applyNumberFormat="1" applyFont="1" applyFill="1" applyBorder="1" applyAlignment="1">
      <alignment horizontal="left"/>
    </xf>
    <xf numFmtId="168" fontId="33" fillId="2" borderId="0" xfId="10" applyNumberFormat="1" applyFont="1" applyFill="1" applyBorder="1" applyAlignment="1">
      <alignment horizontal="left" indent="1"/>
    </xf>
    <xf numFmtId="168" fontId="65" fillId="2" borderId="0" xfId="10" applyNumberFormat="1" applyFont="1" applyFill="1" applyBorder="1" applyAlignment="1">
      <alignment horizontal="left" indent="1"/>
    </xf>
    <xf numFmtId="168" fontId="33" fillId="2" borderId="17" xfId="10" applyNumberFormat="1" applyFont="1" applyFill="1" applyBorder="1" applyAlignment="1">
      <alignment horizontal="left" indent="1"/>
    </xf>
    <xf numFmtId="168" fontId="33" fillId="2" borderId="86" xfId="10" applyNumberFormat="1" applyFont="1" applyFill="1" applyBorder="1" applyAlignment="1">
      <alignment horizontal="left" indent="1"/>
    </xf>
    <xf numFmtId="0" fontId="4" fillId="2" borderId="86" xfId="0" applyFont="1" applyFill="1" applyBorder="1"/>
    <xf numFmtId="0" fontId="12" fillId="2" borderId="86" xfId="0" applyFont="1" applyFill="1" applyBorder="1"/>
    <xf numFmtId="43" fontId="13" fillId="2" borderId="53" xfId="0" applyNumberFormat="1" applyFont="1" applyFill="1" applyBorder="1" applyAlignment="1">
      <alignment horizontal="center"/>
    </xf>
    <xf numFmtId="177" fontId="4" fillId="0" borderId="26" xfId="10" applyNumberFormat="1" applyFont="1" applyFill="1" applyBorder="1" applyAlignment="1">
      <alignment horizontal="right"/>
    </xf>
    <xf numFmtId="0" fontId="5" fillId="2" borderId="6" xfId="3" applyFont="1" applyFill="1" applyBorder="1" applyAlignment="1">
      <alignment horizontal="center"/>
    </xf>
    <xf numFmtId="177" fontId="4" fillId="0" borderId="36" xfId="10" applyNumberFormat="1" applyFont="1" applyFill="1" applyBorder="1" applyAlignment="1">
      <alignment horizontal="right"/>
    </xf>
    <xf numFmtId="168" fontId="33" fillId="2" borderId="6" xfId="10" applyNumberFormat="1" applyFont="1" applyFill="1" applyBorder="1" applyAlignment="1">
      <alignment horizontal="left" indent="1"/>
    </xf>
    <xf numFmtId="165" fontId="4" fillId="0" borderId="36" xfId="10" applyNumberFormat="1" applyFont="1" applyFill="1" applyBorder="1" applyAlignment="1">
      <alignment horizontal="right"/>
    </xf>
    <xf numFmtId="0" fontId="4" fillId="2" borderId="87" xfId="0" applyFont="1" applyFill="1" applyBorder="1"/>
    <xf numFmtId="165" fontId="4" fillId="2" borderId="88" xfId="10" applyNumberFormat="1" applyFont="1" applyFill="1" applyBorder="1" applyAlignment="1">
      <alignment horizontal="right"/>
    </xf>
    <xf numFmtId="177" fontId="4" fillId="0" borderId="88" xfId="10" applyNumberFormat="1" applyFont="1" applyFill="1" applyBorder="1" applyAlignment="1">
      <alignment horizontal="right"/>
    </xf>
    <xf numFmtId="43" fontId="13" fillId="2" borderId="61" xfId="0" applyNumberFormat="1" applyFont="1" applyFill="1" applyBorder="1" applyAlignment="1">
      <alignment horizontal="center"/>
    </xf>
    <xf numFmtId="43" fontId="13" fillId="2" borderId="89" xfId="0" applyNumberFormat="1" applyFont="1" applyFill="1" applyBorder="1" applyAlignment="1">
      <alignment horizontal="center"/>
    </xf>
    <xf numFmtId="43" fontId="13" fillId="2" borderId="59" xfId="0" applyNumberFormat="1" applyFont="1" applyFill="1" applyBorder="1" applyAlignment="1">
      <alignment horizontal="center"/>
    </xf>
    <xf numFmtId="0" fontId="3" fillId="2" borderId="55" xfId="0" applyFont="1" applyFill="1" applyBorder="1"/>
    <xf numFmtId="17" fontId="6" fillId="8" borderId="55" xfId="3" applyNumberFormat="1" applyFont="1" applyFill="1" applyBorder="1" applyAlignment="1">
      <alignment horizontal="center"/>
    </xf>
    <xf numFmtId="17" fontId="6" fillId="8" borderId="56" xfId="3" applyNumberFormat="1" applyFont="1" applyFill="1" applyBorder="1" applyAlignment="1">
      <alignment horizontal="center"/>
    </xf>
    <xf numFmtId="17" fontId="6" fillId="2" borderId="55" xfId="3" applyNumberFormat="1" applyFont="1" applyFill="1" applyBorder="1" applyAlignment="1">
      <alignment horizontal="center"/>
    </xf>
    <xf numFmtId="17" fontId="6" fillId="2" borderId="56" xfId="3" applyNumberFormat="1" applyFont="1" applyFill="1" applyBorder="1" applyAlignment="1">
      <alignment horizontal="center"/>
    </xf>
    <xf numFmtId="43" fontId="13" fillId="8" borderId="83" xfId="0" applyNumberFormat="1" applyFont="1" applyFill="1" applyBorder="1" applyAlignment="1">
      <alignment horizontal="center"/>
    </xf>
    <xf numFmtId="0" fontId="4" fillId="8" borderId="0" xfId="0" applyFont="1" applyFill="1" applyBorder="1"/>
    <xf numFmtId="168" fontId="4" fillId="8" borderId="0" xfId="1" applyNumberFormat="1" applyFont="1" applyFill="1" applyBorder="1"/>
    <xf numFmtId="0" fontId="4" fillId="8" borderId="6" xfId="0" applyFont="1" applyFill="1" applyBorder="1"/>
    <xf numFmtId="165" fontId="4" fillId="8" borderId="14" xfId="10" applyNumberFormat="1" applyFont="1" applyFill="1" applyBorder="1" applyAlignment="1">
      <alignment horizontal="right"/>
    </xf>
    <xf numFmtId="168" fontId="4" fillId="8" borderId="6" xfId="1" applyNumberFormat="1" applyFont="1" applyFill="1" applyBorder="1"/>
    <xf numFmtId="0" fontId="34" fillId="2" borderId="6" xfId="0" applyFont="1" applyFill="1" applyBorder="1" applyAlignment="1">
      <alignment vertical="center" wrapText="1"/>
    </xf>
    <xf numFmtId="168" fontId="33" fillId="2" borderId="92" xfId="10" applyNumberFormat="1" applyFont="1" applyFill="1" applyBorder="1" applyAlignment="1">
      <alignment horizontal="left" indent="1"/>
    </xf>
    <xf numFmtId="0" fontId="4" fillId="0" borderId="0" xfId="0" applyFont="1" applyFill="1"/>
    <xf numFmtId="165" fontId="12" fillId="0" borderId="26" xfId="10" applyNumberFormat="1" applyFont="1" applyFill="1" applyBorder="1" applyAlignment="1">
      <alignment horizontal="right"/>
    </xf>
    <xf numFmtId="165" fontId="12" fillId="0" borderId="36" xfId="10" applyNumberFormat="1" applyFont="1" applyFill="1" applyBorder="1" applyAlignment="1">
      <alignment horizontal="right"/>
    </xf>
    <xf numFmtId="165" fontId="8" fillId="2" borderId="93" xfId="10" applyNumberFormat="1" applyFont="1" applyFill="1" applyBorder="1" applyAlignment="1">
      <alignment horizontal="left"/>
    </xf>
    <xf numFmtId="0" fontId="4" fillId="2" borderId="91" xfId="0" applyFont="1" applyFill="1" applyBorder="1"/>
    <xf numFmtId="43" fontId="13" fillId="2" borderId="6" xfId="0" applyNumberFormat="1" applyFont="1" applyFill="1" applyBorder="1" applyAlignment="1">
      <alignment horizontal="center"/>
    </xf>
    <xf numFmtId="165" fontId="4" fillId="0" borderId="26" xfId="10" applyNumberFormat="1" applyFont="1" applyFill="1" applyBorder="1" applyAlignment="1">
      <alignment horizontal="right"/>
    </xf>
    <xf numFmtId="0" fontId="73" fillId="8" borderId="56" xfId="0" applyFont="1" applyFill="1" applyBorder="1"/>
    <xf numFmtId="0" fontId="73" fillId="8" borderId="0" xfId="0" applyFont="1" applyFill="1" applyBorder="1"/>
    <xf numFmtId="165" fontId="73" fillId="8" borderId="0" xfId="0" applyNumberFormat="1" applyFont="1" applyFill="1" applyBorder="1"/>
    <xf numFmtId="0" fontId="73" fillId="8" borderId="6" xfId="0" applyFont="1" applyFill="1" applyBorder="1"/>
    <xf numFmtId="0" fontId="6" fillId="2" borderId="6" xfId="3" applyFont="1" applyFill="1" applyBorder="1" applyAlignment="1">
      <alignment horizontal="center"/>
    </xf>
    <xf numFmtId="165" fontId="12" fillId="2" borderId="88" xfId="10" applyNumberFormat="1" applyFont="1" applyFill="1" applyBorder="1" applyAlignment="1">
      <alignment horizontal="right"/>
    </xf>
    <xf numFmtId="0" fontId="73" fillId="2" borderId="56" xfId="0" applyFont="1" applyFill="1" applyBorder="1"/>
    <xf numFmtId="0" fontId="73" fillId="2" borderId="6" xfId="0" applyFont="1" applyFill="1" applyBorder="1"/>
    <xf numFmtId="168" fontId="12" fillId="2" borderId="38" xfId="10" applyNumberFormat="1" applyFont="1" applyFill="1" applyBorder="1" applyAlignment="1">
      <alignment horizontal="right"/>
    </xf>
    <xf numFmtId="168" fontId="12" fillId="2" borderId="38" xfId="0" applyNumberFormat="1" applyFont="1" applyFill="1" applyBorder="1"/>
    <xf numFmtId="168" fontId="73" fillId="2" borderId="56" xfId="0" applyNumberFormat="1" applyFont="1" applyFill="1" applyBorder="1"/>
    <xf numFmtId="168" fontId="73" fillId="2" borderId="6" xfId="0" applyNumberFormat="1" applyFont="1" applyFill="1" applyBorder="1"/>
    <xf numFmtId="168" fontId="4" fillId="2" borderId="6" xfId="0" applyNumberFormat="1" applyFont="1" applyFill="1" applyBorder="1"/>
    <xf numFmtId="168" fontId="4" fillId="2" borderId="55" xfId="0" applyNumberFormat="1" applyFont="1" applyFill="1" applyBorder="1"/>
    <xf numFmtId="168" fontId="4" fillId="2" borderId="56" xfId="0" applyNumberFormat="1" applyFont="1" applyFill="1" applyBorder="1"/>
    <xf numFmtId="17" fontId="6" fillId="8" borderId="5" xfId="3" applyNumberFormat="1" applyFont="1" applyFill="1" applyBorder="1" applyAlignment="1">
      <alignment horizontal="center"/>
    </xf>
    <xf numFmtId="165" fontId="4" fillId="8" borderId="50" xfId="10" applyNumberFormat="1" applyFont="1" applyFill="1" applyBorder="1" applyAlignment="1">
      <alignment horizontal="right"/>
    </xf>
    <xf numFmtId="165" fontId="4" fillId="2" borderId="90" xfId="10" applyNumberFormat="1" applyFont="1" applyFill="1" applyBorder="1" applyAlignment="1">
      <alignment horizontal="right"/>
    </xf>
    <xf numFmtId="0" fontId="9" fillId="2" borderId="96" xfId="0" applyFont="1" applyFill="1" applyBorder="1"/>
    <xf numFmtId="0" fontId="4" fillId="9" borderId="95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42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164" fontId="4" fillId="2" borderId="0" xfId="11" applyFont="1" applyFill="1" applyBorder="1" applyAlignment="1">
      <alignment horizontal="center"/>
    </xf>
    <xf numFmtId="180" fontId="4" fillId="4" borderId="16" xfId="2" applyNumberFormat="1" applyFont="1" applyFill="1" applyBorder="1" applyAlignment="1">
      <alignment horizontal="center"/>
    </xf>
    <xf numFmtId="0" fontId="4" fillId="4" borderId="23" xfId="2" applyNumberFormat="1" applyFont="1" applyFill="1" applyBorder="1" applyAlignment="1">
      <alignment horizontal="center"/>
    </xf>
    <xf numFmtId="191" fontId="4" fillId="4" borderId="23" xfId="45" applyNumberFormat="1" applyFont="1" applyFill="1" applyBorder="1" applyAlignment="1">
      <alignment horizontal="center"/>
    </xf>
    <xf numFmtId="168" fontId="12" fillId="2" borderId="0" xfId="10" applyNumberFormat="1" applyFont="1" applyFill="1" applyBorder="1" applyAlignment="1">
      <alignment horizontal="right"/>
    </xf>
    <xf numFmtId="168" fontId="15" fillId="2" borderId="7" xfId="0" applyNumberFormat="1" applyFont="1" applyFill="1" applyBorder="1"/>
    <xf numFmtId="43" fontId="12" fillId="2" borderId="26" xfId="10" applyNumberFormat="1" applyFont="1" applyFill="1" applyBorder="1" applyAlignment="1">
      <alignment horizontal="right"/>
    </xf>
    <xf numFmtId="165" fontId="12" fillId="2" borderId="38" xfId="10" applyNumberFormat="1" applyFont="1" applyFill="1" applyBorder="1" applyAlignment="1">
      <alignment horizontal="right"/>
    </xf>
    <xf numFmtId="49" fontId="40" fillId="8" borderId="0" xfId="0" applyNumberFormat="1" applyFont="1" applyFill="1" applyAlignment="1">
      <alignment horizontal="left" indent="1"/>
    </xf>
    <xf numFmtId="17" fontId="6" fillId="8" borderId="17" xfId="3" applyNumberFormat="1" applyFont="1" applyFill="1" applyBorder="1" applyAlignment="1">
      <alignment horizontal="center"/>
    </xf>
    <xf numFmtId="0" fontId="4" fillId="2" borderId="97" xfId="0" applyFont="1" applyFill="1" applyBorder="1"/>
    <xf numFmtId="17" fontId="6" fillId="8" borderId="98" xfId="3" applyNumberFormat="1" applyFont="1" applyFill="1" applyBorder="1" applyAlignment="1">
      <alignment horizontal="center"/>
    </xf>
    <xf numFmtId="165" fontId="15" fillId="8" borderId="99" xfId="0" applyNumberFormat="1" applyFont="1" applyFill="1" applyBorder="1"/>
    <xf numFmtId="165" fontId="12" fillId="8" borderId="6" xfId="0" applyNumberFormat="1" applyFont="1" applyFill="1" applyBorder="1"/>
    <xf numFmtId="168" fontId="12" fillId="2" borderId="90" xfId="10" applyNumberFormat="1" applyFont="1" applyFill="1" applyBorder="1" applyAlignment="1">
      <alignment horizontal="right"/>
    </xf>
    <xf numFmtId="168" fontId="12" fillId="2" borderId="6" xfId="10" applyNumberFormat="1" applyFont="1" applyFill="1" applyBorder="1" applyAlignment="1">
      <alignment horizontal="right"/>
    </xf>
    <xf numFmtId="165" fontId="15" fillId="2" borderId="99" xfId="0" applyNumberFormat="1" applyFont="1" applyFill="1" applyBorder="1"/>
    <xf numFmtId="168" fontId="76" fillId="2" borderId="6" xfId="1" applyNumberFormat="1" applyFont="1" applyFill="1" applyBorder="1" applyAlignment="1">
      <alignment horizontal="center"/>
    </xf>
    <xf numFmtId="168" fontId="4" fillId="2" borderId="90" xfId="10" applyNumberFormat="1" applyFont="1" applyFill="1" applyBorder="1" applyAlignment="1">
      <alignment horizontal="right"/>
    </xf>
    <xf numFmtId="165" fontId="12" fillId="2" borderId="6" xfId="0" applyNumberFormat="1" applyFont="1" applyFill="1" applyBorder="1"/>
    <xf numFmtId="165" fontId="12" fillId="2" borderId="90" xfId="10" applyNumberFormat="1" applyFont="1" applyFill="1" applyBorder="1" applyAlignment="1">
      <alignment horizontal="right"/>
    </xf>
    <xf numFmtId="43" fontId="12" fillId="2" borderId="38" xfId="10" applyNumberFormat="1" applyFont="1" applyFill="1" applyBorder="1" applyAlignment="1">
      <alignment horizontal="right"/>
    </xf>
    <xf numFmtId="168" fontId="4" fillId="2" borderId="25" xfId="10" applyNumberFormat="1" applyFont="1" applyFill="1" applyBorder="1" applyAlignment="1">
      <alignment horizontal="right"/>
    </xf>
    <xf numFmtId="165" fontId="12" fillId="2" borderId="100" xfId="10" applyNumberFormat="1" applyFont="1" applyFill="1" applyBorder="1" applyAlignment="1">
      <alignment horizontal="right"/>
    </xf>
    <xf numFmtId="165" fontId="4" fillId="8" borderId="35" xfId="10" applyNumberFormat="1" applyFont="1" applyFill="1" applyBorder="1" applyAlignment="1">
      <alignment horizontal="right"/>
    </xf>
    <xf numFmtId="165" fontId="8" fillId="2" borderId="17" xfId="10" applyNumberFormat="1" applyFont="1" applyFill="1" applyBorder="1" applyAlignment="1">
      <alignment horizontal="left"/>
    </xf>
    <xf numFmtId="165" fontId="4" fillId="4" borderId="17" xfId="10" applyNumberFormat="1" applyFont="1" applyFill="1" applyBorder="1" applyAlignment="1">
      <alignment horizontal="left"/>
    </xf>
    <xf numFmtId="180" fontId="4" fillId="4" borderId="17" xfId="2" applyNumberFormat="1" applyFont="1" applyFill="1" applyBorder="1" applyAlignment="1">
      <alignment horizontal="left"/>
    </xf>
    <xf numFmtId="187" fontId="4" fillId="4" borderId="17" xfId="10" applyNumberFormat="1" applyFont="1" applyFill="1" applyBorder="1" applyAlignment="1">
      <alignment horizontal="left"/>
    </xf>
    <xf numFmtId="43" fontId="4" fillId="4" borderId="17" xfId="1" applyFont="1" applyFill="1" applyBorder="1" applyAlignment="1">
      <alignment horizontal="left"/>
    </xf>
    <xf numFmtId="165" fontId="8" fillId="2" borderId="20" xfId="10" applyNumberFormat="1" applyFont="1" applyFill="1" applyBorder="1" applyAlignment="1">
      <alignment horizontal="left"/>
    </xf>
    <xf numFmtId="0" fontId="0" fillId="0" borderId="0" xfId="0" applyBorder="1"/>
    <xf numFmtId="165" fontId="4" fillId="8" borderId="0" xfId="10" applyNumberFormat="1" applyFont="1" applyFill="1" applyBorder="1" applyAlignment="1">
      <alignment horizontal="right"/>
    </xf>
    <xf numFmtId="165" fontId="4" fillId="8" borderId="90" xfId="1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wrapText="1"/>
    </xf>
    <xf numFmtId="9" fontId="3" fillId="0" borderId="0" xfId="0" applyNumberFormat="1" applyFont="1" applyFill="1" applyBorder="1"/>
    <xf numFmtId="1" fontId="3" fillId="0" borderId="0" xfId="0" applyNumberFormat="1" applyFont="1" applyBorder="1" applyAlignment="1">
      <alignment horizontal="left" indent="1"/>
    </xf>
    <xf numFmtId="1" fontId="3" fillId="0" borderId="0" xfId="0" applyNumberFormat="1" applyFont="1" applyFill="1" applyBorder="1"/>
    <xf numFmtId="165" fontId="4" fillId="4" borderId="102" xfId="10" applyNumberFormat="1" applyFont="1" applyFill="1" applyBorder="1" applyAlignment="1">
      <alignment horizontal="left"/>
    </xf>
    <xf numFmtId="165" fontId="4" fillId="4" borderId="103" xfId="10" applyNumberFormat="1" applyFont="1" applyFill="1" applyBorder="1" applyAlignment="1">
      <alignment horizontal="left"/>
    </xf>
    <xf numFmtId="180" fontId="4" fillId="4" borderId="103" xfId="2" applyNumberFormat="1" applyFont="1" applyFill="1" applyBorder="1" applyAlignment="1">
      <alignment horizontal="left"/>
    </xf>
    <xf numFmtId="187" fontId="4" fillId="4" borderId="103" xfId="10" applyNumberFormat="1" applyFont="1" applyFill="1" applyBorder="1" applyAlignment="1">
      <alignment horizontal="left"/>
    </xf>
    <xf numFmtId="165" fontId="8" fillId="2" borderId="103" xfId="10" applyNumberFormat="1" applyFont="1" applyFill="1" applyBorder="1" applyAlignment="1">
      <alignment horizontal="left"/>
    </xf>
    <xf numFmtId="43" fontId="4" fillId="4" borderId="103" xfId="1" applyFont="1" applyFill="1" applyBorder="1" applyAlignment="1">
      <alignment horizontal="left"/>
    </xf>
    <xf numFmtId="43" fontId="4" fillId="4" borderId="104" xfId="1" applyFont="1" applyFill="1" applyBorder="1" applyAlignment="1">
      <alignment horizontal="left"/>
    </xf>
    <xf numFmtId="0" fontId="87" fillId="2" borderId="3" xfId="8" applyFont="1" applyFill="1" applyBorder="1"/>
    <xf numFmtId="0" fontId="1" fillId="2" borderId="0" xfId="8" applyFill="1"/>
    <xf numFmtId="0" fontId="50" fillId="2" borderId="0" xfId="8" applyFont="1" applyFill="1" applyBorder="1" applyAlignment="1">
      <alignment horizontal="center" wrapText="1"/>
    </xf>
    <xf numFmtId="0" fontId="50" fillId="2" borderId="0" xfId="8" applyFont="1" applyFill="1" applyBorder="1"/>
    <xf numFmtId="9" fontId="4" fillId="2" borderId="51" xfId="2" applyFont="1" applyFill="1" applyBorder="1" applyAlignment="1"/>
    <xf numFmtId="43" fontId="4" fillId="2" borderId="53" xfId="1" applyFont="1" applyFill="1" applyBorder="1" applyAlignment="1">
      <alignment horizontal="center"/>
    </xf>
    <xf numFmtId="43" fontId="4" fillId="2" borderId="53" xfId="0" applyNumberFormat="1" applyFont="1" applyFill="1" applyBorder="1" applyAlignment="1"/>
    <xf numFmtId="9" fontId="4" fillId="2" borderId="51" xfId="2" applyFont="1" applyFill="1" applyBorder="1" applyAlignment="1">
      <alignment horizontal="center"/>
    </xf>
    <xf numFmtId="9" fontId="4" fillId="2" borderId="1" xfId="2" applyFont="1" applyFill="1" applyBorder="1"/>
    <xf numFmtId="0" fontId="50" fillId="2" borderId="0" xfId="8" applyFont="1" applyFill="1"/>
    <xf numFmtId="178" fontId="4" fillId="2" borderId="1" xfId="8" applyNumberFormat="1" applyFont="1" applyFill="1" applyBorder="1"/>
    <xf numFmtId="0" fontId="4" fillId="2" borderId="7" xfId="8" applyFont="1" applyFill="1" applyBorder="1"/>
    <xf numFmtId="0" fontId="4" fillId="2" borderId="7" xfId="8" applyFont="1" applyFill="1" applyBorder="1" applyAlignment="1">
      <alignment horizontal="right"/>
    </xf>
    <xf numFmtId="178" fontId="4" fillId="2" borderId="7" xfId="8" applyNumberFormat="1" applyFont="1" applyFill="1" applyBorder="1"/>
    <xf numFmtId="179" fontId="15" fillId="2" borderId="0" xfId="9" applyNumberFormat="1" applyFont="1" applyFill="1" applyBorder="1"/>
    <xf numFmtId="175" fontId="18" fillId="2" borderId="0" xfId="8" applyNumberFormat="1" applyFont="1" applyFill="1" applyBorder="1"/>
    <xf numFmtId="0" fontId="4" fillId="2" borderId="5" xfId="8" applyFont="1" applyFill="1" applyBorder="1" applyAlignment="1">
      <alignment horizontal="right"/>
    </xf>
    <xf numFmtId="178" fontId="4" fillId="2" borderId="0" xfId="8" applyNumberFormat="1" applyFont="1" applyFill="1" applyBorder="1" applyAlignment="1">
      <alignment horizontal="right"/>
    </xf>
    <xf numFmtId="185" fontId="50" fillId="2" borderId="0" xfId="8" applyNumberFormat="1" applyFont="1" applyFill="1" applyBorder="1" applyAlignment="1">
      <alignment horizontal="right"/>
    </xf>
    <xf numFmtId="185" fontId="4" fillId="2" borderId="0" xfId="8" applyNumberFormat="1" applyFont="1" applyFill="1" applyBorder="1" applyAlignment="1">
      <alignment horizontal="right"/>
    </xf>
    <xf numFmtId="0" fontId="1" fillId="2" borderId="0" xfId="8" applyFill="1" applyBorder="1"/>
    <xf numFmtId="0" fontId="87" fillId="2" borderId="0" xfId="8" applyFont="1" applyFill="1" applyBorder="1"/>
    <xf numFmtId="0" fontId="4" fillId="2" borderId="0" xfId="8" applyFont="1" applyFill="1"/>
    <xf numFmtId="0" fontId="15" fillId="2" borderId="0" xfId="8" applyFont="1" applyFill="1" applyBorder="1" applyAlignment="1">
      <alignment horizontal="left" wrapText="1"/>
    </xf>
    <xf numFmtId="0" fontId="4" fillId="2" borderId="0" xfId="8" applyFont="1" applyFill="1" applyAlignment="1">
      <alignment horizontal="center"/>
    </xf>
    <xf numFmtId="0" fontId="4" fillId="2" borderId="0" xfId="8" applyFont="1" applyFill="1" applyAlignment="1">
      <alignment horizontal="center" wrapText="1"/>
    </xf>
    <xf numFmtId="192" fontId="4" fillId="2" borderId="1" xfId="1" applyNumberFormat="1" applyFont="1" applyFill="1" applyBorder="1"/>
    <xf numFmtId="43" fontId="1" fillId="2" borderId="1" xfId="8" applyNumberFormat="1" applyFill="1" applyBorder="1"/>
    <xf numFmtId="0" fontId="1" fillId="2" borderId="1" xfId="8" applyFill="1" applyBorder="1"/>
    <xf numFmtId="0" fontId="3" fillId="2" borderId="0" xfId="8" applyFont="1" applyFill="1"/>
    <xf numFmtId="0" fontId="51" fillId="0" borderId="96" xfId="0" applyFont="1" applyFill="1" applyBorder="1" applyAlignment="1">
      <alignment wrapText="1"/>
    </xf>
    <xf numFmtId="181" fontId="3" fillId="0" borderId="111" xfId="0" applyNumberFormat="1" applyFont="1" applyFill="1" applyBorder="1"/>
    <xf numFmtId="1" fontId="3" fillId="0" borderId="112" xfId="0" applyNumberFormat="1" applyFont="1" applyFill="1" applyBorder="1"/>
    <xf numFmtId="1" fontId="51" fillId="0" borderId="112" xfId="0" applyNumberFormat="1" applyFont="1" applyFill="1" applyBorder="1"/>
    <xf numFmtId="1" fontId="51" fillId="0" borderId="111" xfId="0" applyNumberFormat="1" applyFont="1" applyFill="1" applyBorder="1"/>
    <xf numFmtId="181" fontId="51" fillId="0" borderId="113" xfId="0" applyNumberFormat="1" applyFont="1" applyFill="1" applyBorder="1"/>
    <xf numFmtId="181" fontId="51" fillId="0" borderId="112" xfId="0" applyNumberFormat="1" applyFont="1" applyFill="1" applyBorder="1" applyAlignment="1">
      <alignment horizontal="right"/>
    </xf>
    <xf numFmtId="0" fontId="51" fillId="0" borderId="111" xfId="0" applyFont="1" applyFill="1" applyBorder="1" applyAlignment="1">
      <alignment wrapText="1"/>
    </xf>
    <xf numFmtId="0" fontId="3" fillId="0" borderId="111" xfId="0" applyFont="1" applyFill="1" applyBorder="1" applyAlignment="1">
      <alignment wrapText="1"/>
    </xf>
    <xf numFmtId="181" fontId="51" fillId="0" borderId="111" xfId="0" applyNumberFormat="1" applyFont="1" applyFill="1" applyBorder="1"/>
    <xf numFmtId="0" fontId="0" fillId="0" borderId="0" xfId="0"/>
    <xf numFmtId="0" fontId="4" fillId="2" borderId="0" xfId="0" applyFont="1" applyFill="1" applyBorder="1"/>
    <xf numFmtId="0" fontId="3" fillId="2" borderId="0" xfId="0" applyFont="1" applyFill="1"/>
    <xf numFmtId="43" fontId="13" fillId="2" borderId="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1"/>
    </xf>
    <xf numFmtId="168" fontId="4" fillId="2" borderId="0" xfId="1" applyNumberFormat="1" applyFont="1" applyFill="1" applyBorder="1"/>
    <xf numFmtId="17" fontId="6" fillId="2" borderId="0" xfId="3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vertical="center" wrapText="1"/>
    </xf>
    <xf numFmtId="17" fontId="6" fillId="8" borderId="0" xfId="3" applyNumberFormat="1" applyFont="1" applyFill="1" applyBorder="1" applyAlignment="1">
      <alignment horizontal="center"/>
    </xf>
    <xf numFmtId="43" fontId="13" fillId="8" borderId="1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/>
    <xf numFmtId="43" fontId="13" fillId="2" borderId="66" xfId="0" applyNumberFormat="1" applyFont="1" applyFill="1" applyBorder="1" applyAlignment="1">
      <alignment horizontal="center"/>
    </xf>
    <xf numFmtId="168" fontId="4" fillId="2" borderId="5" xfId="1" applyNumberFormat="1" applyFont="1" applyFill="1" applyBorder="1"/>
    <xf numFmtId="17" fontId="6" fillId="2" borderId="6" xfId="3" applyNumberFormat="1" applyFont="1" applyFill="1" applyBorder="1" applyAlignment="1">
      <alignment horizontal="center"/>
    </xf>
    <xf numFmtId="43" fontId="13" fillId="2" borderId="83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68" fontId="4" fillId="2" borderId="6" xfId="1" applyNumberFormat="1" applyFont="1" applyFill="1" applyBorder="1"/>
    <xf numFmtId="43" fontId="4" fillId="2" borderId="5" xfId="10" applyNumberFormat="1" applyFont="1" applyFill="1" applyBorder="1" applyAlignment="1">
      <alignment horizontal="right"/>
    </xf>
    <xf numFmtId="0" fontId="49" fillId="0" borderId="0" xfId="0" applyFont="1" applyFill="1"/>
    <xf numFmtId="165" fontId="4" fillId="2" borderId="17" xfId="10" applyNumberFormat="1" applyFont="1" applyFill="1" applyBorder="1" applyAlignment="1">
      <alignment horizontal="right"/>
    </xf>
    <xf numFmtId="165" fontId="4" fillId="8" borderId="6" xfId="10" applyNumberFormat="1" applyFont="1" applyFill="1" applyBorder="1" applyAlignment="1">
      <alignment horizontal="right"/>
    </xf>
    <xf numFmtId="178" fontId="1" fillId="2" borderId="0" xfId="8" applyNumberFormat="1" applyFill="1"/>
    <xf numFmtId="193" fontId="1" fillId="2" borderId="0" xfId="8" applyNumberFormat="1" applyFill="1"/>
    <xf numFmtId="175" fontId="2" fillId="0" borderId="0" xfId="0" applyNumberFormat="1" applyFont="1"/>
    <xf numFmtId="49" fontId="0" fillId="0" borderId="0" xfId="0" applyNumberFormat="1" applyAlignment="1">
      <alignment horizontal="center"/>
    </xf>
    <xf numFmtId="0" fontId="27" fillId="2" borderId="0" xfId="0" applyFont="1" applyFill="1" applyBorder="1"/>
    <xf numFmtId="165" fontId="4" fillId="2" borderId="0" xfId="10" applyNumberFormat="1" applyFont="1" applyFill="1" applyBorder="1" applyAlignment="1">
      <alignment horizontal="left" indent="1"/>
    </xf>
    <xf numFmtId="165" fontId="4" fillId="4" borderId="0" xfId="10" applyNumberFormat="1" applyFont="1" applyFill="1" applyBorder="1" applyAlignment="1">
      <alignment horizontal="left"/>
    </xf>
    <xf numFmtId="43" fontId="4" fillId="4" borderId="117" xfId="1" applyFont="1" applyFill="1" applyBorder="1" applyAlignment="1">
      <alignment horizontal="left"/>
    </xf>
    <xf numFmtId="165" fontId="4" fillId="4" borderId="118" xfId="10" applyNumberFormat="1" applyFont="1" applyFill="1" applyBorder="1" applyAlignment="1">
      <alignment horizontal="left"/>
    </xf>
    <xf numFmtId="180" fontId="4" fillId="4" borderId="118" xfId="2" applyNumberFormat="1" applyFont="1" applyFill="1" applyBorder="1" applyAlignment="1">
      <alignment horizontal="left"/>
    </xf>
    <xf numFmtId="187" fontId="4" fillId="4" borderId="118" xfId="10" applyNumberFormat="1" applyFont="1" applyFill="1" applyBorder="1" applyAlignment="1">
      <alignment horizontal="left"/>
    </xf>
    <xf numFmtId="165" fontId="8" fillId="2" borderId="118" xfId="10" applyNumberFormat="1" applyFont="1" applyFill="1" applyBorder="1" applyAlignment="1">
      <alignment horizontal="left"/>
    </xf>
    <xf numFmtId="43" fontId="4" fillId="4" borderId="118" xfId="1" applyFont="1" applyFill="1" applyBorder="1" applyAlignment="1">
      <alignment horizontal="left"/>
    </xf>
    <xf numFmtId="43" fontId="4" fillId="4" borderId="119" xfId="1" applyFont="1" applyFill="1" applyBorder="1" applyAlignment="1">
      <alignment horizontal="left"/>
    </xf>
    <xf numFmtId="165" fontId="4" fillId="4" borderId="120" xfId="1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 indent="1"/>
    </xf>
    <xf numFmtId="168" fontId="3" fillId="2" borderId="55" xfId="1" applyNumberFormat="1" applyFont="1" applyFill="1" applyBorder="1"/>
    <xf numFmtId="168" fontId="3" fillId="2" borderId="56" xfId="1" applyNumberFormat="1" applyFont="1" applyFill="1" applyBorder="1"/>
    <xf numFmtId="0" fontId="4" fillId="2" borderId="55" xfId="0" applyFont="1" applyFill="1" applyBorder="1" applyAlignment="1">
      <alignment horizontal="left" indent="1"/>
    </xf>
    <xf numFmtId="168" fontId="3" fillId="8" borderId="55" xfId="1" applyNumberFormat="1" applyFont="1" applyFill="1" applyBorder="1"/>
    <xf numFmtId="168" fontId="3" fillId="8" borderId="56" xfId="1" applyNumberFormat="1" applyFont="1" applyFill="1" applyBorder="1"/>
    <xf numFmtId="168" fontId="6" fillId="2" borderId="0" xfId="3" applyNumberFormat="1" applyFont="1" applyFill="1" applyBorder="1" applyAlignment="1">
      <alignment horizontal="center"/>
    </xf>
    <xf numFmtId="165" fontId="6" fillId="2" borderId="0" xfId="3" applyNumberFormat="1" applyFont="1" applyFill="1" applyBorder="1" applyAlignment="1">
      <alignment horizontal="center"/>
    </xf>
    <xf numFmtId="194" fontId="4" fillId="4" borderId="103" xfId="10" applyNumberFormat="1" applyFont="1" applyFill="1" applyBorder="1" applyAlignment="1">
      <alignment horizontal="left"/>
    </xf>
    <xf numFmtId="194" fontId="7" fillId="8" borderId="6" xfId="3" applyNumberFormat="1" applyFont="1" applyFill="1" applyBorder="1" applyAlignment="1">
      <alignment horizontal="center"/>
    </xf>
    <xf numFmtId="43" fontId="7" fillId="2" borderId="6" xfId="3" applyNumberFormat="1" applyFont="1" applyFill="1" applyBorder="1" applyAlignment="1">
      <alignment horizontal="center"/>
    </xf>
    <xf numFmtId="168" fontId="12" fillId="8" borderId="90" xfId="10" applyNumberFormat="1" applyFont="1" applyFill="1" applyBorder="1" applyAlignment="1">
      <alignment horizontal="right"/>
    </xf>
    <xf numFmtId="43" fontId="7" fillId="2" borderId="0" xfId="3" applyNumberFormat="1" applyFont="1" applyFill="1" applyBorder="1" applyAlignment="1">
      <alignment horizontal="center"/>
    </xf>
    <xf numFmtId="165" fontId="7" fillId="8" borderId="0" xfId="3" applyNumberFormat="1" applyFont="1" applyFill="1" applyBorder="1" applyAlignment="1">
      <alignment horizontal="center"/>
    </xf>
    <xf numFmtId="0" fontId="4" fillId="0" borderId="1" xfId="8" applyFont="1" applyFill="1" applyBorder="1"/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9" fillId="2" borderId="0" xfId="0" applyFont="1" applyFill="1"/>
    <xf numFmtId="0" fontId="6" fillId="2" borderId="0" xfId="3" applyFont="1" applyFill="1" applyBorder="1" applyAlignment="1">
      <alignment horizontal="center"/>
    </xf>
    <xf numFmtId="0" fontId="46" fillId="2" borderId="0" xfId="0" applyFont="1" applyFill="1"/>
    <xf numFmtId="17" fontId="6" fillId="2" borderId="0" xfId="3" applyNumberFormat="1" applyFont="1" applyFill="1" applyBorder="1" applyAlignment="1">
      <alignment horizontal="center"/>
    </xf>
    <xf numFmtId="0" fontId="4" fillId="2" borderId="5" xfId="8" applyFont="1" applyFill="1" applyBorder="1"/>
    <xf numFmtId="0" fontId="4" fillId="2" borderId="0" xfId="8" applyFont="1" applyFill="1" applyBorder="1"/>
    <xf numFmtId="0" fontId="88" fillId="2" borderId="0" xfId="0" applyFont="1" applyFill="1"/>
    <xf numFmtId="0" fontId="9" fillId="2" borderId="0" xfId="0" applyFont="1" applyFill="1" applyAlignment="1">
      <alignment horizontal="right"/>
    </xf>
    <xf numFmtId="195" fontId="4" fillId="2" borderId="1" xfId="9" applyNumberFormat="1" applyFont="1" applyFill="1" applyBorder="1"/>
    <xf numFmtId="180" fontId="4" fillId="4" borderId="103" xfId="10" applyNumberFormat="1" applyFont="1" applyFill="1" applyBorder="1" applyAlignment="1">
      <alignment horizontal="right"/>
    </xf>
    <xf numFmtId="180" fontId="4" fillId="4" borderId="17" xfId="10" applyNumberFormat="1" applyFont="1" applyFill="1" applyBorder="1" applyAlignment="1">
      <alignment horizontal="right"/>
    </xf>
    <xf numFmtId="180" fontId="4" fillId="4" borderId="24" xfId="10" applyNumberFormat="1" applyFont="1" applyFill="1" applyBorder="1" applyAlignment="1">
      <alignment horizontal="right"/>
    </xf>
    <xf numFmtId="41" fontId="4" fillId="2" borderId="0" xfId="10" applyNumberFormat="1" applyFont="1" applyFill="1" applyBorder="1" applyAlignment="1">
      <alignment horizontal="center"/>
    </xf>
    <xf numFmtId="184" fontId="4" fillId="2" borderId="0" xfId="11" applyNumberFormat="1" applyFont="1" applyFill="1" applyBorder="1" applyAlignment="1">
      <alignment horizontal="center"/>
    </xf>
    <xf numFmtId="180" fontId="4" fillId="2" borderId="0" xfId="2" applyNumberFormat="1" applyFont="1" applyFill="1" applyBorder="1" applyAlignment="1">
      <alignment horizontal="center"/>
    </xf>
    <xf numFmtId="178" fontId="4" fillId="8" borderId="1" xfId="10" applyNumberFormat="1" applyFont="1" applyFill="1" applyBorder="1" applyAlignment="1">
      <alignment horizontal="right"/>
    </xf>
    <xf numFmtId="173" fontId="4" fillId="2" borderId="1" xfId="1" applyNumberFormat="1" applyFont="1" applyFill="1" applyBorder="1"/>
    <xf numFmtId="0" fontId="7" fillId="2" borderId="6" xfId="3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8" fontId="2" fillId="2" borderId="35" xfId="10" applyNumberFormat="1" applyFont="1" applyFill="1" applyBorder="1" applyAlignment="1">
      <alignment horizontal="left"/>
    </xf>
    <xf numFmtId="165" fontId="4" fillId="2" borderId="90" xfId="10" applyNumberFormat="1" applyFont="1" applyFill="1" applyBorder="1" applyAlignment="1">
      <alignment horizontal="center"/>
    </xf>
    <xf numFmtId="168" fontId="1" fillId="2" borderId="39" xfId="10" applyNumberFormat="1" applyFont="1" applyFill="1" applyBorder="1" applyAlignment="1">
      <alignment horizontal="left"/>
    </xf>
    <xf numFmtId="168" fontId="1" fillId="2" borderId="17" xfId="10" applyNumberFormat="1" applyFont="1" applyFill="1" applyBorder="1" applyAlignment="1">
      <alignment horizontal="left"/>
    </xf>
    <xf numFmtId="165" fontId="4" fillId="2" borderId="121" xfId="10" applyNumberFormat="1" applyFont="1" applyFill="1" applyBorder="1" applyAlignment="1">
      <alignment horizontal="left"/>
    </xf>
    <xf numFmtId="0" fontId="0" fillId="2" borderId="6" xfId="0" applyFill="1" applyBorder="1"/>
    <xf numFmtId="0" fontId="31" fillId="2" borderId="0" xfId="0" applyFont="1" applyFill="1" applyBorder="1"/>
    <xf numFmtId="168" fontId="0" fillId="2" borderId="0" xfId="0" applyNumberFormat="1" applyFont="1" applyFill="1" applyBorder="1"/>
    <xf numFmtId="0" fontId="0" fillId="2" borderId="6" xfId="0" applyFont="1" applyFill="1" applyBorder="1"/>
    <xf numFmtId="0" fontId="0" fillId="2" borderId="5" xfId="0" applyFill="1" applyBorder="1"/>
    <xf numFmtId="0" fontId="0" fillId="2" borderId="5" xfId="0" applyFont="1" applyFill="1" applyBorder="1"/>
    <xf numFmtId="165" fontId="4" fillId="2" borderId="5" xfId="10" applyNumberFormat="1" applyFont="1" applyFill="1" applyBorder="1" applyAlignment="1">
      <alignment horizontal="left"/>
    </xf>
    <xf numFmtId="0" fontId="3" fillId="0" borderId="0" xfId="0" applyFont="1" applyFill="1"/>
    <xf numFmtId="1" fontId="3" fillId="2" borderId="0" xfId="0" applyNumberFormat="1" applyFont="1" applyFill="1"/>
    <xf numFmtId="0" fontId="4" fillId="0" borderId="95" xfId="0" applyFont="1" applyFill="1" applyBorder="1"/>
    <xf numFmtId="0" fontId="8" fillId="8" borderId="57" xfId="25" applyFont="1" applyFill="1" applyBorder="1" applyAlignment="1">
      <alignment horizontal="center" vertical="center"/>
    </xf>
    <xf numFmtId="41" fontId="4" fillId="8" borderId="61" xfId="10" applyNumberFormat="1" applyFont="1" applyFill="1" applyBorder="1" applyAlignment="1">
      <alignment horizontal="center"/>
    </xf>
    <xf numFmtId="2" fontId="0" fillId="2" borderId="61" xfId="0" applyNumberFormat="1" applyFill="1" applyBorder="1"/>
    <xf numFmtId="0" fontId="4" fillId="2" borderId="53" xfId="25" applyFont="1" applyFill="1" applyBorder="1" applyAlignment="1">
      <alignment horizontal="center" vertical="center" wrapText="1"/>
    </xf>
    <xf numFmtId="0" fontId="8" fillId="2" borderId="1" xfId="25" applyFont="1" applyFill="1" applyBorder="1" applyAlignment="1">
      <alignment horizontal="center" vertical="center"/>
    </xf>
    <xf numFmtId="0" fontId="4" fillId="2" borderId="1" xfId="25" applyFont="1" applyFill="1" applyBorder="1" applyAlignment="1">
      <alignment horizontal="center" vertical="center" wrapText="1"/>
    </xf>
    <xf numFmtId="0" fontId="8" fillId="2" borderId="57" xfId="25" applyFont="1" applyFill="1" applyBorder="1" applyAlignment="1">
      <alignment horizontal="center" vertical="center" textRotation="180" wrapText="1"/>
    </xf>
    <xf numFmtId="0" fontId="8" fillId="2" borderId="57" xfId="25" applyFont="1" applyFill="1" applyBorder="1" applyAlignment="1">
      <alignment horizontal="center" vertical="center" textRotation="180"/>
    </xf>
    <xf numFmtId="184" fontId="4" fillId="3" borderId="61" xfId="11" applyNumberFormat="1" applyFont="1" applyFill="1" applyBorder="1" applyAlignment="1">
      <alignment horizontal="center"/>
    </xf>
    <xf numFmtId="180" fontId="4" fillId="3" borderId="61" xfId="2" applyNumberFormat="1" applyFont="1" applyFill="1" applyBorder="1" applyAlignment="1">
      <alignment horizontal="center"/>
    </xf>
    <xf numFmtId="41" fontId="4" fillId="8" borderId="122" xfId="10" applyNumberFormat="1" applyFont="1" applyFill="1" applyBorder="1" applyAlignment="1">
      <alignment horizontal="center"/>
    </xf>
    <xf numFmtId="184" fontId="4" fillId="3" borderId="123" xfId="11" applyNumberFormat="1" applyFont="1" applyFill="1" applyBorder="1" applyAlignment="1">
      <alignment horizontal="center"/>
    </xf>
    <xf numFmtId="180" fontId="4" fillId="3" borderId="124" xfId="2" applyNumberFormat="1" applyFont="1" applyFill="1" applyBorder="1" applyAlignment="1">
      <alignment horizontal="center"/>
    </xf>
    <xf numFmtId="41" fontId="4" fillId="8" borderId="125" xfId="10" applyNumberFormat="1" applyFont="1" applyFill="1" applyBorder="1" applyAlignment="1">
      <alignment horizontal="center"/>
    </xf>
    <xf numFmtId="180" fontId="4" fillId="3" borderId="126" xfId="2" applyNumberFormat="1" applyFont="1" applyFill="1" applyBorder="1" applyAlignment="1">
      <alignment horizontal="center"/>
    </xf>
    <xf numFmtId="41" fontId="4" fillId="8" borderId="127" xfId="10" applyNumberFormat="1" applyFont="1" applyFill="1" applyBorder="1" applyAlignment="1">
      <alignment horizontal="center"/>
    </xf>
    <xf numFmtId="184" fontId="4" fillId="3" borderId="69" xfId="11" applyNumberFormat="1" applyFont="1" applyFill="1" applyBorder="1" applyAlignment="1">
      <alignment horizontal="center"/>
    </xf>
    <xf numFmtId="180" fontId="4" fillId="3" borderId="128" xfId="2" applyNumberFormat="1" applyFont="1" applyFill="1" applyBorder="1" applyAlignment="1">
      <alignment horizontal="center"/>
    </xf>
    <xf numFmtId="177" fontId="4" fillId="4" borderId="16" xfId="10" applyNumberFormat="1" applyFont="1" applyFill="1" applyBorder="1" applyAlignment="1">
      <alignment horizontal="right"/>
    </xf>
    <xf numFmtId="177" fontId="4" fillId="4" borderId="36" xfId="10" applyNumberFormat="1" applyFont="1" applyFill="1" applyBorder="1" applyAlignment="1">
      <alignment horizontal="right"/>
    </xf>
    <xf numFmtId="171" fontId="4" fillId="8" borderId="0" xfId="1" applyNumberFormat="1" applyFont="1" applyFill="1" applyBorder="1"/>
    <xf numFmtId="177" fontId="4" fillId="2" borderId="16" xfId="10" applyNumberFormat="1" applyFont="1" applyFill="1" applyBorder="1" applyAlignment="1">
      <alignment horizontal="right"/>
    </xf>
    <xf numFmtId="185" fontId="40" fillId="4" borderId="0" xfId="0" applyNumberFormat="1" applyFont="1" applyFill="1"/>
    <xf numFmtId="0" fontId="0" fillId="0" borderId="0" xfId="0"/>
    <xf numFmtId="49" fontId="2" fillId="0" borderId="114" xfId="0" applyNumberFormat="1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49" fontId="0" fillId="0" borderId="114" xfId="0" applyNumberFormat="1" applyBorder="1" applyAlignment="1">
      <alignment horizontal="center"/>
    </xf>
    <xf numFmtId="0" fontId="0" fillId="0" borderId="114" xfId="0" applyBorder="1"/>
    <xf numFmtId="0" fontId="0" fillId="0" borderId="0" xfId="0" applyBorder="1"/>
    <xf numFmtId="49" fontId="0" fillId="0" borderId="1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14" xfId="0" applyFont="1" applyBorder="1"/>
    <xf numFmtId="0" fontId="0" fillId="0" borderId="0" xfId="0" applyFont="1" applyAlignment="1">
      <alignment horizontal="left"/>
    </xf>
    <xf numFmtId="175" fontId="2" fillId="0" borderId="115" xfId="0" applyNumberFormat="1" applyFont="1" applyBorder="1"/>
    <xf numFmtId="175" fontId="2" fillId="0" borderId="114" xfId="0" applyNumberFormat="1" applyFont="1" applyBorder="1"/>
    <xf numFmtId="175" fontId="2" fillId="10" borderId="114" xfId="0" applyNumberFormat="1" applyFont="1" applyFill="1" applyBorder="1"/>
    <xf numFmtId="10" fontId="2" fillId="0" borderId="114" xfId="0" applyNumberFormat="1" applyFont="1" applyBorder="1"/>
    <xf numFmtId="175" fontId="2" fillId="0" borderId="114" xfId="0" applyNumberFormat="1" applyFont="1" applyFill="1" applyBorder="1"/>
    <xf numFmtId="177" fontId="4" fillId="4" borderId="103" xfId="10" applyNumberFormat="1" applyFont="1" applyFill="1" applyBorder="1" applyAlignment="1">
      <alignment horizontal="left"/>
    </xf>
    <xf numFmtId="177" fontId="4" fillId="4" borderId="17" xfId="10" applyNumberFormat="1" applyFont="1" applyFill="1" applyBorder="1" applyAlignment="1">
      <alignment horizontal="left"/>
    </xf>
    <xf numFmtId="177" fontId="4" fillId="4" borderId="118" xfId="10" applyNumberFormat="1" applyFont="1" applyFill="1" applyBorder="1" applyAlignment="1">
      <alignment horizontal="left"/>
    </xf>
    <xf numFmtId="177" fontId="4" fillId="4" borderId="16" xfId="10" applyNumberFormat="1" applyFont="1" applyFill="1" applyBorder="1" applyAlignment="1">
      <alignment horizontal="left"/>
    </xf>
    <xf numFmtId="165" fontId="4" fillId="4" borderId="129" xfId="10" applyNumberFormat="1" applyFont="1" applyFill="1" applyBorder="1" applyAlignment="1">
      <alignment horizontal="left"/>
    </xf>
    <xf numFmtId="43" fontId="4" fillId="4" borderId="17" xfId="10" applyNumberFormat="1" applyFont="1" applyFill="1" applyBorder="1" applyAlignment="1">
      <alignment horizontal="left"/>
    </xf>
    <xf numFmtId="43" fontId="4" fillId="4" borderId="24" xfId="10" applyNumberFormat="1" applyFont="1" applyFill="1" applyBorder="1" applyAlignment="1">
      <alignment horizontal="left"/>
    </xf>
    <xf numFmtId="177" fontId="4" fillId="4" borderId="24" xfId="10" applyNumberFormat="1" applyFont="1" applyFill="1" applyBorder="1" applyAlignment="1">
      <alignment horizontal="left"/>
    </xf>
    <xf numFmtId="165" fontId="4" fillId="4" borderId="130" xfId="10" applyNumberFormat="1" applyFont="1" applyFill="1" applyBorder="1" applyAlignment="1">
      <alignment horizontal="left"/>
    </xf>
    <xf numFmtId="49" fontId="4" fillId="2" borderId="61" xfId="10" applyNumberFormat="1" applyFont="1" applyFill="1" applyBorder="1" applyAlignment="1">
      <alignment horizontal="right"/>
    </xf>
    <xf numFmtId="49" fontId="4" fillId="2" borderId="1" xfId="10" applyNumberFormat="1" applyFont="1" applyFill="1" applyBorder="1" applyAlignment="1">
      <alignment horizontal="right"/>
    </xf>
    <xf numFmtId="175" fontId="0" fillId="0" borderId="0" xfId="0" applyNumberFormat="1"/>
    <xf numFmtId="175" fontId="0" fillId="0" borderId="114" xfId="0" applyNumberFormat="1" applyBorder="1"/>
    <xf numFmtId="0" fontId="90" fillId="0" borderId="0" xfId="0" applyFont="1"/>
    <xf numFmtId="0" fontId="0" fillId="0" borderId="0" xfId="0" applyFont="1"/>
    <xf numFmtId="10" fontId="0" fillId="0" borderId="114" xfId="0" applyNumberFormat="1" applyBorder="1"/>
    <xf numFmtId="0" fontId="2" fillId="0" borderId="0" xfId="0" applyFont="1"/>
    <xf numFmtId="175" fontId="0" fillId="0" borderId="0" xfId="0" applyNumberFormat="1" applyBorder="1"/>
    <xf numFmtId="175" fontId="9" fillId="0" borderId="115" xfId="0" applyNumberFormat="1" applyFont="1" applyBorder="1"/>
    <xf numFmtId="49" fontId="0" fillId="0" borderId="5" xfId="0" applyNumberFormat="1" applyBorder="1" applyAlignment="1">
      <alignment horizontal="center"/>
    </xf>
    <xf numFmtId="175" fontId="0" fillId="0" borderId="6" xfId="0" applyNumberFormat="1" applyBorder="1"/>
    <xf numFmtId="0" fontId="90" fillId="0" borderId="0" xfId="0" applyFont="1" applyBorder="1"/>
    <xf numFmtId="0" fontId="0" fillId="0" borderId="0" xfId="0" applyFont="1" applyBorder="1"/>
    <xf numFmtId="0" fontId="2" fillId="0" borderId="0" xfId="0" applyFont="1" applyBorder="1"/>
    <xf numFmtId="0" fontId="0" fillId="0" borderId="55" xfId="0" applyBorder="1"/>
    <xf numFmtId="175" fontId="0" fillId="0" borderId="56" xfId="0" applyNumberFormat="1" applyBorder="1"/>
    <xf numFmtId="49" fontId="0" fillId="0" borderId="131" xfId="0" applyNumberFormat="1" applyBorder="1" applyAlignment="1">
      <alignment horizontal="center"/>
    </xf>
    <xf numFmtId="0" fontId="2" fillId="0" borderId="132" xfId="0" applyFont="1" applyBorder="1" applyAlignment="1">
      <alignment horizontal="right"/>
    </xf>
    <xf numFmtId="0" fontId="0" fillId="0" borderId="132" xfId="0" applyBorder="1"/>
    <xf numFmtId="175" fontId="0" fillId="0" borderId="132" xfId="0" applyNumberFormat="1" applyBorder="1"/>
    <xf numFmtId="175" fontId="9" fillId="0" borderId="133" xfId="0" applyNumberFormat="1" applyFont="1" applyBorder="1"/>
    <xf numFmtId="49" fontId="0" fillId="0" borderId="78" xfId="0" applyNumberFormat="1" applyBorder="1" applyAlignment="1">
      <alignment horizontal="center"/>
    </xf>
    <xf numFmtId="0" fontId="0" fillId="0" borderId="78" xfId="0" applyBorder="1"/>
    <xf numFmtId="175" fontId="0" fillId="0" borderId="78" xfId="0" applyNumberFormat="1" applyBorder="1"/>
    <xf numFmtId="49" fontId="2" fillId="0" borderId="7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175" fontId="2" fillId="0" borderId="134" xfId="0" applyNumberFormat="1" applyFont="1" applyFill="1" applyBorder="1" applyAlignment="1">
      <alignment horizontal="center"/>
    </xf>
    <xf numFmtId="175" fontId="2" fillId="0" borderId="70" xfId="0" applyNumberFormat="1" applyFont="1" applyBorder="1" applyAlignment="1">
      <alignment horizontal="center"/>
    </xf>
    <xf numFmtId="175" fontId="2" fillId="0" borderId="134" xfId="0" applyNumberFormat="1" applyFont="1" applyBorder="1" applyAlignment="1">
      <alignment horizontal="center"/>
    </xf>
    <xf numFmtId="175" fontId="2" fillId="0" borderId="70" xfId="0" applyNumberFormat="1" applyFont="1" applyFill="1" applyBorder="1" applyAlignment="1">
      <alignment horizontal="center"/>
    </xf>
    <xf numFmtId="49" fontId="0" fillId="0" borderId="135" xfId="0" applyNumberFormat="1" applyBorder="1" applyAlignment="1">
      <alignment horizontal="center"/>
    </xf>
    <xf numFmtId="0" fontId="2" fillId="0" borderId="136" xfId="0" applyFont="1" applyBorder="1" applyAlignment="1">
      <alignment horizontal="right"/>
    </xf>
    <xf numFmtId="0" fontId="2" fillId="0" borderId="136" xfId="0" applyFont="1" applyBorder="1"/>
    <xf numFmtId="175" fontId="2" fillId="0" borderId="136" xfId="0" applyNumberFormat="1" applyFont="1" applyBorder="1"/>
    <xf numFmtId="0" fontId="2" fillId="0" borderId="0" xfId="0" applyFont="1" applyFill="1"/>
    <xf numFmtId="0" fontId="0" fillId="0" borderId="114" xfId="0" applyFill="1" applyBorder="1"/>
    <xf numFmtId="0" fontId="0" fillId="0" borderId="0" xfId="0" applyFill="1"/>
    <xf numFmtId="175" fontId="0" fillId="0" borderId="0" xfId="0" applyNumberFormat="1" applyFill="1"/>
    <xf numFmtId="175" fontId="0" fillId="0" borderId="114" xfId="0" applyNumberFormat="1" applyFill="1" applyBorder="1"/>
    <xf numFmtId="0" fontId="48" fillId="0" borderId="114" xfId="0" applyFont="1" applyBorder="1" applyAlignment="1">
      <alignment horizontal="center"/>
    </xf>
    <xf numFmtId="0" fontId="25" fillId="0" borderId="0" xfId="0" applyFont="1"/>
    <xf numFmtId="0" fontId="25" fillId="0" borderId="114" xfId="0" applyFont="1" applyBorder="1" applyAlignment="1">
      <alignment horizontal="center"/>
    </xf>
    <xf numFmtId="0" fontId="25" fillId="0" borderId="114" xfId="0" applyFont="1" applyBorder="1"/>
    <xf numFmtId="175" fontId="25" fillId="0" borderId="0" xfId="0" applyNumberFormat="1" applyFont="1"/>
    <xf numFmtId="175" fontId="25" fillId="0" borderId="114" xfId="0" applyNumberFormat="1" applyFont="1" applyBorder="1"/>
    <xf numFmtId="49" fontId="25" fillId="0" borderId="114" xfId="0" applyNumberFormat="1" applyFont="1" applyBorder="1" applyAlignment="1">
      <alignment horizontal="center"/>
    </xf>
    <xf numFmtId="0" fontId="91" fillId="0" borderId="0" xfId="0" applyFont="1"/>
    <xf numFmtId="0" fontId="48" fillId="0" borderId="0" xfId="0" applyFont="1"/>
    <xf numFmtId="0" fontId="25" fillId="0" borderId="0" xfId="0" applyFont="1" applyAlignment="1">
      <alignment wrapText="1"/>
    </xf>
    <xf numFmtId="0" fontId="25" fillId="0" borderId="114" xfId="0" applyFont="1" applyFill="1" applyBorder="1"/>
    <xf numFmtId="175" fontId="25" fillId="0" borderId="0" xfId="0" applyNumberFormat="1" applyFont="1" applyFill="1"/>
    <xf numFmtId="175" fontId="25" fillId="0" borderId="114" xfId="0" applyNumberFormat="1" applyFont="1" applyFill="1" applyBorder="1"/>
    <xf numFmtId="175" fontId="48" fillId="0" borderId="0" xfId="0" applyNumberFormat="1" applyFont="1" applyFill="1"/>
    <xf numFmtId="0" fontId="48" fillId="0" borderId="0" xfId="0" applyFont="1" applyAlignment="1">
      <alignment wrapText="1"/>
    </xf>
    <xf numFmtId="49" fontId="48" fillId="0" borderId="114" xfId="0" applyNumberFormat="1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137" xfId="0" applyFont="1" applyBorder="1"/>
    <xf numFmtId="0" fontId="48" fillId="0" borderId="136" xfId="0" applyFont="1" applyBorder="1" applyAlignment="1">
      <alignment horizontal="right" indent="2"/>
    </xf>
    <xf numFmtId="175" fontId="25" fillId="0" borderId="136" xfId="0" applyNumberFormat="1" applyFont="1" applyFill="1" applyBorder="1"/>
    <xf numFmtId="0" fontId="0" fillId="0" borderId="136" xfId="0" applyBorder="1"/>
    <xf numFmtId="175" fontId="0" fillId="0" borderId="136" xfId="0" applyNumberFormat="1" applyBorder="1"/>
    <xf numFmtId="0" fontId="0" fillId="0" borderId="0" xfId="0" applyBorder="1" applyAlignment="1">
      <alignment horizontal="center"/>
    </xf>
    <xf numFmtId="0" fontId="48" fillId="0" borderId="0" xfId="0" applyFont="1" applyBorder="1"/>
    <xf numFmtId="0" fontId="25" fillId="0" borderId="0" xfId="0" applyFont="1" applyBorder="1"/>
    <xf numFmtId="175" fontId="25" fillId="0" borderId="0" xfId="0" applyNumberFormat="1" applyFont="1" applyFill="1" applyBorder="1"/>
    <xf numFmtId="0" fontId="25" fillId="0" borderId="0" xfId="0" applyFont="1" applyBorder="1" applyAlignment="1">
      <alignment horizontal="center"/>
    </xf>
    <xf numFmtId="175" fontId="25" fillId="0" borderId="0" xfId="0" applyNumberFormat="1" applyFont="1" applyBorder="1"/>
    <xf numFmtId="0" fontId="25" fillId="0" borderId="136" xfId="0" applyFont="1" applyBorder="1"/>
    <xf numFmtId="1" fontId="25" fillId="0" borderId="0" xfId="0" applyNumberFormat="1" applyFont="1" applyBorder="1"/>
    <xf numFmtId="189" fontId="25" fillId="0" borderId="0" xfId="0" applyNumberFormat="1" applyFont="1" applyBorder="1" applyAlignment="1">
      <alignment horizontal="right"/>
    </xf>
    <xf numFmtId="1" fontId="25" fillId="0" borderId="114" xfId="0" applyNumberFormat="1" applyFont="1" applyBorder="1"/>
    <xf numFmtId="49" fontId="48" fillId="0" borderId="70" xfId="0" applyNumberFormat="1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70" xfId="0" applyFont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175" fontId="48" fillId="0" borderId="70" xfId="0" applyNumberFormat="1" applyFont="1" applyFill="1" applyBorder="1" applyAlignment="1">
      <alignment horizontal="center"/>
    </xf>
    <xf numFmtId="175" fontId="48" fillId="0" borderId="134" xfId="0" applyNumberFormat="1" applyFont="1" applyBorder="1" applyAlignment="1">
      <alignment horizontal="center"/>
    </xf>
    <xf numFmtId="175" fontId="25" fillId="0" borderId="6" xfId="0" applyNumberFormat="1" applyFont="1" applyBorder="1"/>
    <xf numFmtId="0" fontId="91" fillId="0" borderId="0" xfId="0" applyFont="1" applyBorder="1"/>
    <xf numFmtId="175" fontId="25" fillId="0" borderId="6" xfId="0" applyNumberFormat="1" applyFont="1" applyFill="1" applyBorder="1"/>
    <xf numFmtId="0" fontId="0" fillId="0" borderId="135" xfId="0" applyBorder="1" applyAlignment="1">
      <alignment horizontal="center"/>
    </xf>
    <xf numFmtId="0" fontId="0" fillId="0" borderId="137" xfId="0" applyBorder="1" applyAlignment="1">
      <alignment horizontal="center"/>
    </xf>
    <xf numFmtId="1" fontId="25" fillId="0" borderId="114" xfId="0" applyNumberFormat="1" applyFont="1" applyFill="1" applyBorder="1"/>
    <xf numFmtId="175" fontId="25" fillId="0" borderId="78" xfId="0" applyNumberFormat="1" applyFont="1" applyBorder="1"/>
    <xf numFmtId="0" fontId="25" fillId="0" borderId="0" xfId="0" applyFont="1" applyBorder="1" applyAlignment="1"/>
    <xf numFmtId="1" fontId="25" fillId="0" borderId="0" xfId="0" applyNumberFormat="1" applyFont="1" applyBorder="1" applyAlignment="1"/>
    <xf numFmtId="175" fontId="25" fillId="0" borderId="56" xfId="0" applyNumberFormat="1" applyFont="1" applyBorder="1"/>
    <xf numFmtId="9" fontId="0" fillId="0" borderId="114" xfId="0" applyNumberFormat="1" applyBorder="1"/>
    <xf numFmtId="180" fontId="0" fillId="0" borderId="114" xfId="0" applyNumberFormat="1" applyBorder="1"/>
    <xf numFmtId="1" fontId="0" fillId="0" borderId="114" xfId="0" applyNumberFormat="1" applyBorder="1"/>
    <xf numFmtId="49" fontId="0" fillId="0" borderId="137" xfId="0" applyNumberFormat="1" applyBorder="1" applyAlignment="1">
      <alignment horizontal="center"/>
    </xf>
    <xf numFmtId="0" fontId="42" fillId="2" borderId="0" xfId="0" applyFont="1" applyFill="1" applyBorder="1" applyAlignment="1">
      <alignment horizontal="center" vertical="center"/>
    </xf>
    <xf numFmtId="165" fontId="4" fillId="4" borderId="138" xfId="10" applyNumberFormat="1" applyFont="1" applyFill="1" applyBorder="1" applyAlignment="1">
      <alignment horizontal="left"/>
    </xf>
    <xf numFmtId="165" fontId="4" fillId="4" borderId="139" xfId="10" applyNumberFormat="1" applyFont="1" applyFill="1" applyBorder="1" applyAlignment="1">
      <alignment horizontal="left"/>
    </xf>
    <xf numFmtId="180" fontId="4" fillId="4" borderId="139" xfId="10" applyNumberFormat="1" applyFont="1" applyFill="1" applyBorder="1" applyAlignment="1">
      <alignment horizontal="right"/>
    </xf>
    <xf numFmtId="187" fontId="4" fillId="4" borderId="139" xfId="10" applyNumberFormat="1" applyFont="1" applyFill="1" applyBorder="1" applyAlignment="1">
      <alignment horizontal="left"/>
    </xf>
    <xf numFmtId="165" fontId="8" fillId="2" borderId="139" xfId="10" applyNumberFormat="1" applyFont="1" applyFill="1" applyBorder="1" applyAlignment="1">
      <alignment horizontal="left"/>
    </xf>
    <xf numFmtId="177" fontId="4" fillId="4" borderId="139" xfId="10" applyNumberFormat="1" applyFont="1" applyFill="1" applyBorder="1" applyAlignment="1">
      <alignment horizontal="left"/>
    </xf>
    <xf numFmtId="43" fontId="4" fillId="4" borderId="139" xfId="1" applyFont="1" applyFill="1" applyBorder="1" applyAlignment="1">
      <alignment horizontal="left"/>
    </xf>
    <xf numFmtId="43" fontId="4" fillId="4" borderId="140" xfId="1" applyFont="1" applyFill="1" applyBorder="1" applyAlignment="1">
      <alignment horizontal="left"/>
    </xf>
    <xf numFmtId="49" fontId="4" fillId="0" borderId="122" xfId="10" applyNumberFormat="1" applyFont="1" applyFill="1" applyBorder="1" applyAlignment="1">
      <alignment horizontal="right"/>
    </xf>
    <xf numFmtId="41" fontId="4" fillId="0" borderId="123" xfId="10" applyNumberFormat="1" applyFont="1" applyFill="1" applyBorder="1" applyAlignment="1">
      <alignment horizontal="center"/>
    </xf>
    <xf numFmtId="2" fontId="0" fillId="0" borderId="124" xfId="0" applyNumberFormat="1" applyFill="1" applyBorder="1"/>
    <xf numFmtId="49" fontId="4" fillId="0" borderId="125" xfId="10" applyNumberFormat="1" applyFont="1" applyFill="1" applyBorder="1" applyAlignment="1">
      <alignment horizontal="right"/>
    </xf>
    <xf numFmtId="41" fontId="4" fillId="0" borderId="1" xfId="10" applyNumberFormat="1" applyFont="1" applyFill="1" applyBorder="1" applyAlignment="1">
      <alignment horizontal="center"/>
    </xf>
    <xf numFmtId="2" fontId="0" fillId="0" borderId="126" xfId="0" applyNumberFormat="1" applyFill="1" applyBorder="1"/>
    <xf numFmtId="49" fontId="4" fillId="2" borderId="141" xfId="10" applyNumberFormat="1" applyFont="1" applyFill="1" applyBorder="1" applyAlignment="1">
      <alignment horizontal="right"/>
    </xf>
    <xf numFmtId="41" fontId="4" fillId="0" borderId="69" xfId="10" applyNumberFormat="1" applyFont="1" applyFill="1" applyBorder="1" applyAlignment="1">
      <alignment horizontal="center"/>
    </xf>
    <xf numFmtId="2" fontId="0" fillId="2" borderId="142" xfId="0" applyNumberFormat="1" applyFill="1" applyBorder="1"/>
    <xf numFmtId="180" fontId="4" fillId="4" borderId="139" xfId="2" applyNumberFormat="1" applyFont="1" applyFill="1" applyBorder="1" applyAlignment="1">
      <alignment horizontal="left"/>
    </xf>
    <xf numFmtId="43" fontId="4" fillId="4" borderId="17" xfId="1" applyNumberFormat="1" applyFont="1" applyFill="1" applyBorder="1" applyAlignment="1">
      <alignment horizontal="left"/>
    </xf>
    <xf numFmtId="165" fontId="4" fillId="4" borderId="20" xfId="10" applyNumberFormat="1" applyFont="1" applyFill="1" applyBorder="1" applyAlignment="1">
      <alignment horizontal="left"/>
    </xf>
    <xf numFmtId="0" fontId="4" fillId="2" borderId="138" xfId="0" applyFont="1" applyFill="1" applyBorder="1"/>
    <xf numFmtId="165" fontId="4" fillId="4" borderId="101" xfId="10" applyNumberFormat="1" applyFont="1" applyFill="1" applyBorder="1" applyAlignment="1">
      <alignment horizontal="left"/>
    </xf>
    <xf numFmtId="165" fontId="4" fillId="4" borderId="146" xfId="10" applyNumberFormat="1" applyFont="1" applyFill="1" applyBorder="1" applyAlignment="1">
      <alignment horizontal="left"/>
    </xf>
    <xf numFmtId="43" fontId="4" fillId="4" borderId="147" xfId="1" applyFont="1" applyFill="1" applyBorder="1" applyAlignment="1">
      <alignment horizontal="left"/>
    </xf>
    <xf numFmtId="177" fontId="12" fillId="8" borderId="16" xfId="10" applyNumberFormat="1" applyFont="1" applyFill="1" applyBorder="1" applyAlignment="1">
      <alignment horizontal="right"/>
    </xf>
    <xf numFmtId="177" fontId="12" fillId="8" borderId="36" xfId="10" applyNumberFormat="1" applyFont="1" applyFill="1" applyBorder="1" applyAlignment="1">
      <alignment horizontal="right"/>
    </xf>
    <xf numFmtId="194" fontId="4" fillId="2" borderId="26" xfId="10" applyNumberFormat="1" applyFont="1" applyFill="1" applyBorder="1" applyAlignment="1">
      <alignment horizontal="right"/>
    </xf>
    <xf numFmtId="0" fontId="8" fillId="11" borderId="70" xfId="0" applyFont="1" applyFill="1" applyBorder="1"/>
    <xf numFmtId="0" fontId="51" fillId="11" borderId="70" xfId="0" applyFont="1" applyFill="1" applyBorder="1"/>
    <xf numFmtId="0" fontId="3" fillId="11" borderId="70" xfId="0" applyFont="1" applyFill="1" applyBorder="1"/>
    <xf numFmtId="181" fontId="3" fillId="11" borderId="70" xfId="0" applyNumberFormat="1" applyFont="1" applyFill="1" applyBorder="1"/>
    <xf numFmtId="1" fontId="3" fillId="11" borderId="70" xfId="0" applyNumberFormat="1" applyFont="1" applyFill="1" applyBorder="1"/>
    <xf numFmtId="0" fontId="8" fillId="12" borderId="70" xfId="0" applyFont="1" applyFill="1" applyBorder="1"/>
    <xf numFmtId="1" fontId="3" fillId="12" borderId="70" xfId="0" applyNumberFormat="1" applyFont="1" applyFill="1" applyBorder="1"/>
    <xf numFmtId="181" fontId="3" fillId="12" borderId="70" xfId="0" applyNumberFormat="1" applyFont="1" applyFill="1" applyBorder="1"/>
    <xf numFmtId="0" fontId="51" fillId="12" borderId="70" xfId="0" applyFont="1" applyFill="1" applyBorder="1"/>
    <xf numFmtId="1" fontId="51" fillId="12" borderId="70" xfId="0" applyNumberFormat="1" applyFont="1" applyFill="1" applyBorder="1"/>
    <xf numFmtId="177" fontId="4" fillId="4" borderId="129" xfId="10" applyNumberFormat="1" applyFont="1" applyFill="1" applyBorder="1" applyAlignment="1">
      <alignment horizontal="left"/>
    </xf>
    <xf numFmtId="165" fontId="4" fillId="4" borderId="148" xfId="10" applyNumberFormat="1" applyFont="1" applyFill="1" applyBorder="1" applyAlignment="1">
      <alignment horizontal="left"/>
    </xf>
    <xf numFmtId="177" fontId="4" fillId="4" borderId="23" xfId="10" applyNumberFormat="1" applyFont="1" applyFill="1" applyBorder="1" applyAlignment="1">
      <alignment horizontal="left"/>
    </xf>
    <xf numFmtId="165" fontId="4" fillId="4" borderId="105" xfId="10" applyNumberFormat="1" applyFont="1" applyFill="1" applyBorder="1" applyAlignment="1">
      <alignment horizontal="left"/>
    </xf>
    <xf numFmtId="165" fontId="4" fillId="4" borderId="144" xfId="10" applyNumberFormat="1" applyFont="1" applyFill="1" applyBorder="1" applyAlignment="1">
      <alignment horizontal="left"/>
    </xf>
    <xf numFmtId="165" fontId="4" fillId="4" borderId="145" xfId="10" applyNumberFormat="1" applyFont="1" applyFill="1" applyBorder="1" applyAlignment="1">
      <alignment horizontal="left"/>
    </xf>
    <xf numFmtId="181" fontId="3" fillId="2" borderId="0" xfId="0" applyNumberFormat="1" applyFont="1" applyFill="1" applyBorder="1"/>
    <xf numFmtId="185" fontId="3" fillId="2" borderId="0" xfId="0" applyNumberFormat="1" applyFont="1" applyFill="1" applyBorder="1"/>
    <xf numFmtId="2" fontId="3" fillId="2" borderId="0" xfId="0" applyNumberFormat="1" applyFont="1" applyFill="1" applyBorder="1"/>
    <xf numFmtId="1" fontId="51" fillId="2" borderId="0" xfId="0" applyNumberFormat="1" applyFont="1" applyFill="1" applyBorder="1"/>
    <xf numFmtId="1" fontId="3" fillId="2" borderId="0" xfId="0" applyNumberFormat="1" applyFont="1" applyFill="1" applyBorder="1"/>
    <xf numFmtId="1" fontId="51" fillId="11" borderId="70" xfId="0" applyNumberFormat="1" applyFont="1" applyFill="1" applyBorder="1"/>
    <xf numFmtId="181" fontId="51" fillId="11" borderId="70" xfId="0" applyNumberFormat="1" applyFont="1" applyFill="1" applyBorder="1"/>
    <xf numFmtId="0" fontId="3" fillId="0" borderId="70" xfId="0" applyFont="1" applyBorder="1"/>
    <xf numFmtId="0" fontId="8" fillId="13" borderId="70" xfId="0" applyFont="1" applyFill="1" applyBorder="1"/>
    <xf numFmtId="0" fontId="3" fillId="0" borderId="70" xfId="0" applyFont="1" applyFill="1" applyBorder="1"/>
    <xf numFmtId="49" fontId="3" fillId="0" borderId="70" xfId="0" applyNumberFormat="1" applyFont="1" applyBorder="1" applyAlignment="1">
      <alignment horizontal="center"/>
    </xf>
    <xf numFmtId="0" fontId="15" fillId="11" borderId="149" xfId="48" applyFont="1" applyFill="1" applyBorder="1"/>
    <xf numFmtId="0" fontId="13" fillId="11" borderId="150" xfId="48" applyFont="1" applyFill="1" applyBorder="1" applyAlignment="1">
      <alignment horizontal="right"/>
    </xf>
    <xf numFmtId="0" fontId="13" fillId="11" borderId="151" xfId="48" applyFont="1" applyFill="1" applyBorder="1" applyAlignment="1">
      <alignment horizontal="center"/>
    </xf>
    <xf numFmtId="3" fontId="13" fillId="0" borderId="70" xfId="48" applyNumberFormat="1" applyFont="1" applyFill="1" applyBorder="1" applyAlignment="1">
      <alignment horizontal="right"/>
    </xf>
    <xf numFmtId="181" fontId="13" fillId="14" borderId="79" xfId="48" applyNumberFormat="1" applyFont="1" applyFill="1" applyBorder="1" applyAlignment="1">
      <alignment horizontal="right"/>
    </xf>
    <xf numFmtId="2" fontId="13" fillId="12" borderId="70" xfId="48" applyNumberFormat="1" applyFont="1" applyFill="1" applyBorder="1" applyAlignment="1">
      <alignment horizontal="right"/>
    </xf>
    <xf numFmtId="180" fontId="13" fillId="0" borderId="70" xfId="48" applyNumberFormat="1" applyFont="1" applyFill="1" applyBorder="1" applyAlignment="1">
      <alignment horizontal="right"/>
    </xf>
    <xf numFmtId="0" fontId="3" fillId="0" borderId="70" xfId="0" applyFont="1" applyBorder="1" applyAlignment="1">
      <alignment wrapText="1"/>
    </xf>
    <xf numFmtId="0" fontId="25" fillId="0" borderId="6" xfId="0" applyFont="1" applyBorder="1"/>
    <xf numFmtId="0" fontId="25" fillId="0" borderId="6" xfId="0" applyFont="1" applyFill="1" applyBorder="1"/>
    <xf numFmtId="1" fontId="25" fillId="0" borderId="6" xfId="0" applyNumberFormat="1" applyFont="1" applyBorder="1"/>
    <xf numFmtId="165" fontId="12" fillId="0" borderId="90" xfId="10" applyNumberFormat="1" applyFont="1" applyFill="1" applyBorder="1" applyAlignment="1">
      <alignment horizontal="right"/>
    </xf>
    <xf numFmtId="165" fontId="4" fillId="8" borderId="28" xfId="10" applyNumberFormat="1" applyFont="1" applyFill="1" applyBorder="1" applyAlignment="1">
      <alignment horizontal="right"/>
    </xf>
    <xf numFmtId="165" fontId="4" fillId="8" borderId="37" xfId="10" applyNumberFormat="1" applyFont="1" applyFill="1" applyBorder="1" applyAlignment="1">
      <alignment horizontal="right"/>
    </xf>
    <xf numFmtId="165" fontId="4" fillId="8" borderId="152" xfId="10" applyNumberFormat="1" applyFont="1" applyFill="1" applyBorder="1" applyAlignment="1">
      <alignment horizontal="right"/>
    </xf>
    <xf numFmtId="165" fontId="4" fillId="8" borderId="153" xfId="10" applyNumberFormat="1" applyFont="1" applyFill="1" applyBorder="1" applyAlignment="1">
      <alignment horizontal="right"/>
    </xf>
    <xf numFmtId="165" fontId="4" fillId="8" borderId="154" xfId="10" applyNumberFormat="1" applyFont="1" applyFill="1" applyBorder="1" applyAlignment="1">
      <alignment horizontal="right"/>
    </xf>
    <xf numFmtId="165" fontId="4" fillId="8" borderId="18" xfId="10" applyNumberFormat="1" applyFont="1" applyFill="1" applyBorder="1" applyAlignment="1">
      <alignment horizontal="right"/>
    </xf>
    <xf numFmtId="165" fontId="4" fillId="8" borderId="39" xfId="10" applyNumberFormat="1" applyFont="1" applyFill="1" applyBorder="1" applyAlignment="1">
      <alignment horizontal="right"/>
    </xf>
    <xf numFmtId="0" fontId="33" fillId="2" borderId="0" xfId="8" applyFont="1" applyFill="1" applyBorder="1"/>
    <xf numFmtId="168" fontId="15" fillId="2" borderId="99" xfId="0" applyNumberFormat="1" applyFont="1" applyFill="1" applyBorder="1"/>
    <xf numFmtId="194" fontId="4" fillId="2" borderId="90" xfId="10" applyNumberFormat="1" applyFont="1" applyFill="1" applyBorder="1" applyAlignment="1">
      <alignment horizontal="right"/>
    </xf>
    <xf numFmtId="165" fontId="8" fillId="2" borderId="155" xfId="10" applyNumberFormat="1" applyFont="1" applyFill="1" applyBorder="1" applyAlignment="1">
      <alignment horizontal="right"/>
    </xf>
    <xf numFmtId="165" fontId="8" fillId="2" borderId="156" xfId="10" applyNumberFormat="1" applyFont="1" applyFill="1" applyBorder="1" applyAlignment="1">
      <alignment horizontal="right"/>
    </xf>
    <xf numFmtId="165" fontId="4" fillId="2" borderId="157" xfId="10" applyNumberFormat="1" applyFont="1" applyFill="1" applyBorder="1" applyAlignment="1">
      <alignment horizontal="right"/>
    </xf>
    <xf numFmtId="165" fontId="4" fillId="2" borderId="158" xfId="10" applyNumberFormat="1" applyFont="1" applyFill="1" applyBorder="1" applyAlignment="1">
      <alignment horizontal="right"/>
    </xf>
    <xf numFmtId="165" fontId="4" fillId="2" borderId="159" xfId="10" applyNumberFormat="1" applyFont="1" applyFill="1" applyBorder="1" applyAlignment="1">
      <alignment horizontal="right"/>
    </xf>
    <xf numFmtId="165" fontId="4" fillId="2" borderId="160" xfId="10" applyNumberFormat="1" applyFont="1" applyFill="1" applyBorder="1" applyAlignment="1">
      <alignment horizontal="right"/>
    </xf>
    <xf numFmtId="165" fontId="8" fillId="2" borderId="91" xfId="10" applyNumberFormat="1" applyFont="1" applyFill="1" applyBorder="1" applyAlignment="1">
      <alignment horizontal="right"/>
    </xf>
    <xf numFmtId="0" fontId="9" fillId="2" borderId="96" xfId="0" applyFont="1" applyFill="1" applyBorder="1" applyAlignment="1">
      <alignment wrapText="1"/>
    </xf>
    <xf numFmtId="165" fontId="4" fillId="4" borderId="161" xfId="10" applyNumberFormat="1" applyFont="1" applyFill="1" applyBorder="1" applyAlignment="1">
      <alignment horizontal="left"/>
    </xf>
    <xf numFmtId="43" fontId="4" fillId="4" borderId="118" xfId="10" applyNumberFormat="1" applyFont="1" applyFill="1" applyBorder="1" applyAlignment="1">
      <alignment horizontal="left"/>
    </xf>
    <xf numFmtId="165" fontId="4" fillId="4" borderId="162" xfId="10" applyNumberFormat="1" applyFont="1" applyFill="1" applyBorder="1" applyAlignment="1">
      <alignment horizontal="left"/>
    </xf>
    <xf numFmtId="0" fontId="51" fillId="0" borderId="106" xfId="0" applyFont="1" applyBorder="1"/>
    <xf numFmtId="0" fontId="3" fillId="0" borderId="116" xfId="0" applyFont="1" applyBorder="1"/>
    <xf numFmtId="0" fontId="51" fillId="0" borderId="116" xfId="0" applyFont="1" applyBorder="1" applyAlignment="1">
      <alignment wrapText="1"/>
    </xf>
    <xf numFmtId="0" fontId="51" fillId="0" borderId="107" xfId="0" applyFont="1" applyBorder="1" applyAlignment="1">
      <alignment wrapText="1"/>
    </xf>
    <xf numFmtId="0" fontId="51" fillId="0" borderId="102" xfId="0" applyFont="1" applyBorder="1"/>
    <xf numFmtId="181" fontId="3" fillId="0" borderId="138" xfId="0" applyNumberFormat="1" applyFont="1" applyBorder="1" applyAlignment="1">
      <alignment wrapText="1"/>
    </xf>
    <xf numFmtId="181" fontId="3" fillId="0" borderId="138" xfId="0" applyNumberFormat="1" applyFont="1" applyBorder="1" applyAlignment="1">
      <alignment horizontal="right"/>
    </xf>
    <xf numFmtId="0" fontId="3" fillId="0" borderId="163" xfId="0" applyFont="1" applyBorder="1"/>
    <xf numFmtId="181" fontId="3" fillId="0" borderId="164" xfId="0" applyNumberFormat="1" applyFont="1" applyBorder="1" applyAlignment="1">
      <alignment horizontal="right"/>
    </xf>
    <xf numFmtId="0" fontId="51" fillId="0" borderId="165" xfId="0" applyFont="1" applyBorder="1"/>
    <xf numFmtId="0" fontId="80" fillId="0" borderId="102" xfId="0" applyFont="1" applyBorder="1"/>
    <xf numFmtId="0" fontId="51" fillId="0" borderId="102" xfId="0" applyFont="1" applyFill="1" applyBorder="1"/>
    <xf numFmtId="0" fontId="3" fillId="0" borderId="102" xfId="0" applyFont="1" applyBorder="1"/>
    <xf numFmtId="0" fontId="80" fillId="0" borderId="163" xfId="0" applyFont="1" applyBorder="1"/>
    <xf numFmtId="0" fontId="80" fillId="0" borderId="163" xfId="0" applyFont="1" applyFill="1" applyBorder="1"/>
    <xf numFmtId="181" fontId="3" fillId="0" borderId="138" xfId="0" applyNumberFormat="1" applyFont="1" applyBorder="1"/>
    <xf numFmtId="0" fontId="51" fillId="0" borderId="166" xfId="0" applyFont="1" applyBorder="1"/>
    <xf numFmtId="1" fontId="3" fillId="0" borderId="68" xfId="0" applyNumberFormat="1" applyFont="1" applyBorder="1"/>
    <xf numFmtId="185" fontId="3" fillId="0" borderId="68" xfId="0" applyNumberFormat="1" applyFont="1" applyBorder="1"/>
    <xf numFmtId="0" fontId="3" fillId="0" borderId="68" xfId="0" applyNumberFormat="1" applyFont="1" applyBorder="1"/>
    <xf numFmtId="0" fontId="3" fillId="0" borderId="68" xfId="0" applyFont="1" applyBorder="1"/>
    <xf numFmtId="181" fontId="3" fillId="0" borderId="68" xfId="0" applyNumberFormat="1" applyFont="1" applyBorder="1"/>
    <xf numFmtId="181" fontId="3" fillId="0" borderId="95" xfId="0" applyNumberFormat="1" applyFont="1" applyFill="1" applyBorder="1"/>
    <xf numFmtId="181" fontId="3" fillId="0" borderId="167" xfId="0" applyNumberFormat="1" applyFont="1" applyBorder="1"/>
    <xf numFmtId="0" fontId="0" fillId="0" borderId="56" xfId="0" applyBorder="1"/>
    <xf numFmtId="0" fontId="2" fillId="0" borderId="55" xfId="0" applyFont="1" applyBorder="1" applyAlignment="1">
      <alignment horizontal="center"/>
    </xf>
    <xf numFmtId="0" fontId="0" fillId="0" borderId="134" xfId="0" applyBorder="1"/>
    <xf numFmtId="0" fontId="0" fillId="0" borderId="8" xfId="0" applyBorder="1"/>
    <xf numFmtId="0" fontId="0" fillId="0" borderId="6" xfId="0" applyBorder="1"/>
    <xf numFmtId="0" fontId="0" fillId="15" borderId="0" xfId="0" applyFill="1" applyBorder="1"/>
    <xf numFmtId="0" fontId="0" fillId="16" borderId="55" xfId="0" applyFill="1" applyBorder="1"/>
    <xf numFmtId="0" fontId="0" fillId="16" borderId="56" xfId="0" applyFill="1" applyBorder="1"/>
    <xf numFmtId="0" fontId="0" fillId="13" borderId="55" xfId="0" applyFill="1" applyBorder="1"/>
    <xf numFmtId="0" fontId="0" fillId="0" borderId="4" xfId="0" applyBorder="1"/>
    <xf numFmtId="0" fontId="0" fillId="0" borderId="3" xfId="0" applyBorder="1"/>
    <xf numFmtId="0" fontId="0" fillId="13" borderId="56" xfId="0" applyFill="1" applyBorder="1"/>
    <xf numFmtId="0" fontId="0" fillId="17" borderId="0" xfId="0" applyFill="1" applyBorder="1"/>
    <xf numFmtId="0" fontId="0" fillId="14" borderId="0" xfId="0" applyFill="1" applyBorder="1"/>
    <xf numFmtId="0" fontId="0" fillId="15" borderId="6" xfId="0" applyFill="1" applyBorder="1"/>
    <xf numFmtId="0" fontId="0" fillId="17" borderId="6" xfId="0" applyFill="1" applyBorder="1"/>
    <xf numFmtId="0" fontId="0" fillId="14" borderId="6" xfId="0" applyFill="1" applyBorder="1"/>
    <xf numFmtId="0" fontId="0" fillId="16" borderId="0" xfId="0" applyFill="1"/>
    <xf numFmtId="0" fontId="2" fillId="0" borderId="0" xfId="0" applyFont="1" applyAlignment="1">
      <alignment horizontal="left"/>
    </xf>
    <xf numFmtId="0" fontId="48" fillId="0" borderId="70" xfId="0" applyFont="1" applyFill="1" applyBorder="1" applyAlignment="1">
      <alignment horizontal="center"/>
    </xf>
    <xf numFmtId="175" fontId="48" fillId="0" borderId="70" xfId="0" applyNumberFormat="1" applyFont="1" applyBorder="1" applyAlignment="1">
      <alignment horizontal="center"/>
    </xf>
    <xf numFmtId="189" fontId="4" fillId="2" borderId="0" xfId="9" applyNumberFormat="1" applyFont="1" applyFill="1" applyBorder="1"/>
    <xf numFmtId="0" fontId="2" fillId="0" borderId="134" xfId="0" applyFont="1" applyFill="1" applyBorder="1" applyAlignment="1">
      <alignment horizontal="center"/>
    </xf>
    <xf numFmtId="0" fontId="15" fillId="2" borderId="0" xfId="24" applyFont="1" applyFill="1" applyBorder="1"/>
    <xf numFmtId="0" fontId="15" fillId="2" borderId="0" xfId="24" applyFont="1" applyFill="1" applyBorder="1" applyAlignment="1">
      <alignment horizontal="center"/>
    </xf>
    <xf numFmtId="0" fontId="4" fillId="2" borderId="0" xfId="24" applyFont="1" applyFill="1" applyBorder="1"/>
    <xf numFmtId="180" fontId="8" fillId="2" borderId="0" xfId="47" applyNumberFormat="1" applyFont="1" applyFill="1" applyBorder="1"/>
    <xf numFmtId="167" fontId="8" fillId="2" borderId="0" xfId="46" applyFont="1" applyFill="1" applyBorder="1"/>
    <xf numFmtId="0" fontId="24" fillId="2" borderId="0" xfId="0" applyFont="1" applyFill="1"/>
    <xf numFmtId="2" fontId="4" fillId="2" borderId="16" xfId="10" applyNumberFormat="1" applyFont="1" applyFill="1" applyBorder="1" applyAlignment="1">
      <alignment horizontal="left"/>
    </xf>
    <xf numFmtId="165" fontId="1" fillId="2" borderId="168" xfId="10" applyNumberFormat="1" applyFont="1" applyFill="1" applyBorder="1" applyAlignment="1">
      <alignment horizontal="right"/>
    </xf>
    <xf numFmtId="165" fontId="1" fillId="2" borderId="26" xfId="10" applyNumberFormat="1" applyFont="1" applyFill="1" applyBorder="1" applyAlignment="1">
      <alignment horizontal="right"/>
    </xf>
    <xf numFmtId="43" fontId="1" fillId="2" borderId="16" xfId="1" applyFont="1" applyFill="1" applyBorder="1" applyAlignment="1">
      <alignment horizontal="right"/>
    </xf>
    <xf numFmtId="43" fontId="1" fillId="2" borderId="23" xfId="1" applyFont="1" applyFill="1" applyBorder="1" applyAlignment="1">
      <alignment horizontal="right"/>
    </xf>
    <xf numFmtId="43" fontId="1" fillId="2" borderId="168" xfId="1" applyFont="1" applyFill="1" applyBorder="1" applyAlignment="1">
      <alignment horizontal="right"/>
    </xf>
    <xf numFmtId="2" fontId="4" fillId="2" borderId="16" xfId="10" applyNumberFormat="1" applyFont="1" applyFill="1" applyBorder="1" applyAlignment="1">
      <alignment horizontal="center"/>
    </xf>
    <xf numFmtId="168" fontId="4" fillId="2" borderId="16" xfId="1" applyNumberFormat="1" applyFont="1" applyFill="1" applyBorder="1" applyAlignment="1">
      <alignment horizontal="center"/>
    </xf>
    <xf numFmtId="0" fontId="4" fillId="2" borderId="111" xfId="0" applyFont="1" applyFill="1" applyBorder="1"/>
    <xf numFmtId="0" fontId="61" fillId="2" borderId="0" xfId="0" applyFont="1" applyFill="1"/>
    <xf numFmtId="165" fontId="9" fillId="2" borderId="16" xfId="10" applyNumberFormat="1" applyFont="1" applyFill="1" applyBorder="1" applyAlignment="1">
      <alignment horizontal="left"/>
    </xf>
    <xf numFmtId="2" fontId="9" fillId="2" borderId="16" xfId="10" applyNumberFormat="1" applyFont="1" applyFill="1" applyBorder="1" applyAlignment="1">
      <alignment horizontal="center"/>
    </xf>
    <xf numFmtId="165" fontId="9" fillId="2" borderId="16" xfId="10" applyNumberFormat="1" applyFont="1" applyFill="1" applyBorder="1" applyAlignment="1">
      <alignment horizontal="right"/>
    </xf>
    <xf numFmtId="165" fontId="9" fillId="2" borderId="23" xfId="10" applyNumberFormat="1" applyFont="1" applyFill="1" applyBorder="1" applyAlignment="1">
      <alignment horizontal="right"/>
    </xf>
    <xf numFmtId="165" fontId="9" fillId="2" borderId="168" xfId="10" applyNumberFormat="1" applyFont="1" applyFill="1" applyBorder="1" applyAlignment="1">
      <alignment horizontal="right"/>
    </xf>
    <xf numFmtId="165" fontId="8" fillId="4" borderId="16" xfId="10" applyNumberFormat="1" applyFont="1" applyFill="1" applyBorder="1" applyAlignment="1">
      <alignment horizontal="left"/>
    </xf>
    <xf numFmtId="2" fontId="8" fillId="2" borderId="16" xfId="10" applyNumberFormat="1" applyFont="1" applyFill="1" applyBorder="1" applyAlignment="1">
      <alignment horizontal="center"/>
    </xf>
    <xf numFmtId="43" fontId="2" fillId="2" borderId="16" xfId="1" applyFont="1" applyFill="1" applyBorder="1" applyAlignment="1">
      <alignment horizontal="right"/>
    </xf>
    <xf numFmtId="43" fontId="2" fillId="2" borderId="23" xfId="1" applyFont="1" applyFill="1" applyBorder="1" applyAlignment="1">
      <alignment horizontal="right"/>
    </xf>
    <xf numFmtId="43" fontId="2" fillId="2" borderId="168" xfId="1" applyFont="1" applyFill="1" applyBorder="1" applyAlignment="1">
      <alignment horizontal="right"/>
    </xf>
    <xf numFmtId="165" fontId="8" fillId="4" borderId="158" xfId="10" applyNumberFormat="1" applyFont="1" applyFill="1" applyBorder="1" applyAlignment="1">
      <alignment horizontal="left"/>
    </xf>
    <xf numFmtId="2" fontId="8" fillId="2" borderId="158" xfId="10" applyNumberFormat="1" applyFont="1" applyFill="1" applyBorder="1" applyAlignment="1">
      <alignment horizontal="center"/>
    </xf>
    <xf numFmtId="43" fontId="2" fillId="2" borderId="158" xfId="1" applyFont="1" applyFill="1" applyBorder="1" applyAlignment="1">
      <alignment horizontal="right"/>
    </xf>
    <xf numFmtId="43" fontId="2" fillId="2" borderId="169" xfId="1" applyFont="1" applyFill="1" applyBorder="1" applyAlignment="1">
      <alignment horizontal="right"/>
    </xf>
    <xf numFmtId="43" fontId="2" fillId="2" borderId="170" xfId="1" applyFont="1" applyFill="1" applyBorder="1" applyAlignment="1">
      <alignment horizontal="right"/>
    </xf>
    <xf numFmtId="0" fontId="49" fillId="2" borderId="0" xfId="0" applyFont="1" applyFill="1"/>
    <xf numFmtId="165" fontId="88" fillId="2" borderId="0" xfId="10" applyNumberFormat="1" applyFont="1" applyFill="1" applyBorder="1" applyAlignment="1">
      <alignment horizontal="left"/>
    </xf>
    <xf numFmtId="2" fontId="88" fillId="2" borderId="0" xfId="10" applyNumberFormat="1" applyFont="1" applyFill="1" applyBorder="1" applyAlignment="1">
      <alignment horizontal="center"/>
    </xf>
    <xf numFmtId="43" fontId="88" fillId="2" borderId="0" xfId="1" applyFont="1" applyFill="1" applyBorder="1" applyAlignment="1">
      <alignment horizontal="right"/>
    </xf>
    <xf numFmtId="43" fontId="9" fillId="2" borderId="20" xfId="1" applyFont="1" applyFill="1" applyBorder="1" applyAlignment="1">
      <alignment horizontal="right"/>
    </xf>
    <xf numFmtId="196" fontId="9" fillId="2" borderId="20" xfId="1" applyNumberFormat="1" applyFont="1" applyFill="1" applyBorder="1" applyAlignment="1"/>
    <xf numFmtId="10" fontId="9" fillId="2" borderId="20" xfId="1" applyNumberFormat="1" applyFont="1" applyFill="1" applyBorder="1" applyAlignment="1"/>
    <xf numFmtId="169" fontId="9" fillId="2" borderId="20" xfId="1" applyNumberFormat="1" applyFont="1" applyFill="1" applyBorder="1" applyAlignment="1"/>
    <xf numFmtId="43" fontId="88" fillId="2" borderId="0" xfId="1" applyFont="1" applyFill="1" applyBorder="1" applyAlignment="1"/>
    <xf numFmtId="165" fontId="1" fillId="2" borderId="129" xfId="10" applyNumberFormat="1" applyFont="1" applyFill="1" applyBorder="1" applyAlignment="1">
      <alignment horizontal="right"/>
    </xf>
    <xf numFmtId="43" fontId="1" fillId="2" borderId="129" xfId="1" applyFont="1" applyFill="1" applyBorder="1" applyAlignment="1">
      <alignment horizontal="right"/>
    </xf>
    <xf numFmtId="165" fontId="9" fillId="2" borderId="129" xfId="10" applyNumberFormat="1" applyFont="1" applyFill="1" applyBorder="1" applyAlignment="1">
      <alignment horizontal="right"/>
    </xf>
    <xf numFmtId="43" fontId="2" fillId="2" borderId="129" xfId="1" applyFont="1" applyFill="1" applyBorder="1" applyAlignment="1">
      <alignment horizontal="right"/>
    </xf>
    <xf numFmtId="165" fontId="1" fillId="2" borderId="171" xfId="10" applyNumberFormat="1" applyFont="1" applyFill="1" applyBorder="1" applyAlignment="1">
      <alignment horizontal="right"/>
    </xf>
    <xf numFmtId="43" fontId="2" fillId="2" borderId="172" xfId="1" applyFont="1" applyFill="1" applyBorder="1" applyAlignment="1">
      <alignment horizontal="right"/>
    </xf>
    <xf numFmtId="165" fontId="1" fillId="2" borderId="173" xfId="10" applyNumberFormat="1" applyFont="1" applyFill="1" applyBorder="1" applyAlignment="1">
      <alignment horizontal="right"/>
    </xf>
    <xf numFmtId="165" fontId="4" fillId="8" borderId="16" xfId="10" applyNumberFormat="1" applyFont="1" applyFill="1" applyBorder="1" applyAlignment="1">
      <alignment horizontal="left"/>
    </xf>
    <xf numFmtId="0" fontId="12" fillId="2" borderId="5" xfId="0" applyFont="1" applyFill="1" applyBorder="1"/>
    <xf numFmtId="17" fontId="6" fillId="2" borderId="54" xfId="3" applyNumberFormat="1" applyFont="1" applyFill="1" applyBorder="1" applyAlignment="1">
      <alignment horizontal="center"/>
    </xf>
    <xf numFmtId="43" fontId="13" fillId="2" borderId="174" xfId="0" applyNumberFormat="1" applyFont="1" applyFill="1" applyBorder="1" applyAlignment="1">
      <alignment horizontal="center"/>
    </xf>
    <xf numFmtId="0" fontId="64" fillId="2" borderId="5" xfId="3" applyFont="1" applyFill="1" applyBorder="1" applyAlignment="1">
      <alignment horizontal="center"/>
    </xf>
    <xf numFmtId="165" fontId="12" fillId="2" borderId="5" xfId="10" applyNumberFormat="1" applyFont="1" applyFill="1" applyBorder="1" applyAlignment="1">
      <alignment horizontal="right"/>
    </xf>
    <xf numFmtId="168" fontId="65" fillId="2" borderId="5" xfId="10" applyNumberFormat="1" applyFont="1" applyFill="1" applyBorder="1" applyAlignment="1">
      <alignment horizontal="left" indent="1"/>
    </xf>
    <xf numFmtId="0" fontId="12" fillId="2" borderId="175" xfId="0" applyFont="1" applyFill="1" applyBorder="1"/>
    <xf numFmtId="168" fontId="33" fillId="2" borderId="176" xfId="10" applyNumberFormat="1" applyFont="1" applyFill="1" applyBorder="1" applyAlignment="1">
      <alignment horizontal="left" indent="1"/>
    </xf>
    <xf numFmtId="165" fontId="4" fillId="8" borderId="17" xfId="10" applyNumberFormat="1" applyFont="1" applyFill="1" applyBorder="1" applyAlignment="1">
      <alignment horizontal="right"/>
    </xf>
    <xf numFmtId="165" fontId="4" fillId="2" borderId="14" xfId="10" applyNumberFormat="1" applyFont="1" applyFill="1" applyBorder="1" applyAlignment="1">
      <alignment horizontal="right"/>
    </xf>
    <xf numFmtId="165" fontId="4" fillId="2" borderId="35" xfId="10" applyNumberFormat="1" applyFont="1" applyFill="1" applyBorder="1" applyAlignment="1">
      <alignment horizontal="right"/>
    </xf>
    <xf numFmtId="175" fontId="48" fillId="0" borderId="115" xfId="0" applyNumberFormat="1" applyFont="1" applyBorder="1"/>
    <xf numFmtId="168" fontId="24" fillId="2" borderId="13" xfId="10" applyNumberFormat="1" applyFont="1" applyFill="1" applyBorder="1" applyAlignment="1">
      <alignment horizontal="left" indent="1"/>
    </xf>
    <xf numFmtId="0" fontId="42" fillId="2" borderId="0" xfId="0" applyFont="1" applyFill="1" applyBorder="1" applyAlignment="1">
      <alignment horizontal="left" vertical="top" indent="1"/>
    </xf>
    <xf numFmtId="168" fontId="24" fillId="2" borderId="15" xfId="10" applyNumberFormat="1" applyFont="1" applyFill="1" applyBorder="1" applyAlignment="1">
      <alignment horizontal="left" wrapText="1" indent="1"/>
    </xf>
    <xf numFmtId="168" fontId="0" fillId="2" borderId="15" xfId="10" applyNumberFormat="1" applyFont="1" applyFill="1" applyBorder="1" applyAlignment="1">
      <alignment horizontal="left" indent="1"/>
    </xf>
    <xf numFmtId="168" fontId="24" fillId="2" borderId="15" xfId="10" applyNumberFormat="1" applyFont="1" applyFill="1" applyBorder="1" applyAlignment="1">
      <alignment horizontal="left" indent="1"/>
    </xf>
    <xf numFmtId="0" fontId="4" fillId="2" borderId="0" xfId="24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8" fontId="37" fillId="2" borderId="0" xfId="10" applyNumberFormat="1" applyFont="1" applyFill="1" applyBorder="1" applyAlignment="1">
      <alignment horizontal="center" vertical="top"/>
    </xf>
    <xf numFmtId="0" fontId="1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/>
    <xf numFmtId="168" fontId="24" fillId="2" borderId="0" xfId="10" applyNumberFormat="1" applyFont="1" applyFill="1" applyBorder="1" applyAlignment="1">
      <alignment horizontal="left" indent="1"/>
    </xf>
    <xf numFmtId="0" fontId="30" fillId="2" borderId="0" xfId="10" applyNumberFormat="1" applyFont="1" applyFill="1" applyBorder="1" applyAlignment="1">
      <alignment horizontal="center"/>
    </xf>
    <xf numFmtId="168" fontId="0" fillId="2" borderId="0" xfId="10" applyNumberFormat="1" applyFont="1" applyFill="1" applyBorder="1" applyAlignment="1">
      <alignment horizontal="left" indent="1"/>
    </xf>
    <xf numFmtId="0" fontId="54" fillId="2" borderId="0" xfId="10" applyNumberFormat="1" applyFont="1" applyFill="1" applyBorder="1" applyAlignment="1">
      <alignment horizontal="center"/>
    </xf>
    <xf numFmtId="165" fontId="1" fillId="2" borderId="0" xfId="10" applyNumberFormat="1" applyFont="1" applyFill="1" applyBorder="1" applyAlignment="1">
      <alignment horizontal="right"/>
    </xf>
    <xf numFmtId="168" fontId="24" fillId="2" borderId="0" xfId="10" applyNumberFormat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horizontal="right"/>
    </xf>
    <xf numFmtId="0" fontId="12" fillId="4" borderId="21" xfId="0" quotePrefix="1" applyFont="1" applyFill="1" applyBorder="1" applyAlignment="1">
      <alignment horizontal="center" vertical="center"/>
    </xf>
    <xf numFmtId="0" fontId="12" fillId="4" borderId="177" xfId="0" quotePrefix="1" applyFont="1" applyFill="1" applyBorder="1" applyAlignment="1">
      <alignment horizontal="center" vertical="center"/>
    </xf>
    <xf numFmtId="0" fontId="12" fillId="4" borderId="178" xfId="0" quotePrefix="1" applyFont="1" applyFill="1" applyBorder="1" applyAlignment="1">
      <alignment horizontal="center" vertical="center"/>
    </xf>
    <xf numFmtId="165" fontId="2" fillId="2" borderId="22" xfId="10" applyNumberFormat="1" applyFont="1" applyFill="1" applyBorder="1" applyAlignment="1">
      <alignment horizontal="right"/>
    </xf>
    <xf numFmtId="165" fontId="2" fillId="2" borderId="179" xfId="10" applyNumberFormat="1" applyFont="1" applyFill="1" applyBorder="1" applyAlignment="1">
      <alignment horizontal="right"/>
    </xf>
    <xf numFmtId="165" fontId="2" fillId="2" borderId="25" xfId="10" applyNumberFormat="1" applyFont="1" applyFill="1" applyBorder="1" applyAlignment="1">
      <alignment horizontal="right"/>
    </xf>
    <xf numFmtId="0" fontId="54" fillId="3" borderId="26" xfId="10" applyNumberFormat="1" applyFont="1" applyFill="1" applyBorder="1" applyAlignment="1">
      <alignment horizontal="center"/>
    </xf>
    <xf numFmtId="168" fontId="1" fillId="2" borderId="23" xfId="1" applyNumberFormat="1" applyFont="1" applyFill="1" applyBorder="1" applyAlignment="1">
      <alignment horizontal="right"/>
    </xf>
    <xf numFmtId="168" fontId="1" fillId="2" borderId="168" xfId="1" applyNumberFormat="1" applyFont="1" applyFill="1" applyBorder="1" applyAlignment="1">
      <alignment horizontal="right"/>
    </xf>
    <xf numFmtId="168" fontId="1" fillId="2" borderId="26" xfId="1" applyNumberFormat="1" applyFont="1" applyFill="1" applyBorder="1" applyAlignment="1">
      <alignment horizontal="right"/>
    </xf>
    <xf numFmtId="168" fontId="1" fillId="2" borderId="16" xfId="1" applyNumberFormat="1" applyFont="1" applyFill="1" applyBorder="1" applyAlignment="1">
      <alignment horizontal="right"/>
    </xf>
    <xf numFmtId="1" fontId="54" fillId="2" borderId="25" xfId="10" applyNumberFormat="1" applyFont="1" applyFill="1" applyBorder="1" applyAlignment="1">
      <alignment horizontal="center"/>
    </xf>
    <xf numFmtId="165" fontId="1" fillId="2" borderId="14" xfId="10" applyNumberFormat="1" applyFont="1" applyFill="1" applyBorder="1" applyAlignment="1">
      <alignment horizontal="right"/>
    </xf>
    <xf numFmtId="165" fontId="1" fillId="2" borderId="22" xfId="10" applyNumberFormat="1" applyFont="1" applyFill="1" applyBorder="1" applyAlignment="1">
      <alignment horizontal="right"/>
    </xf>
    <xf numFmtId="165" fontId="1" fillId="2" borderId="179" xfId="10" applyNumberFormat="1" applyFont="1" applyFill="1" applyBorder="1" applyAlignment="1">
      <alignment horizontal="right"/>
    </xf>
    <xf numFmtId="165" fontId="1" fillId="2" borderId="25" xfId="10" applyNumberFormat="1" applyFont="1" applyFill="1" applyBorder="1" applyAlignment="1">
      <alignment horizontal="right"/>
    </xf>
    <xf numFmtId="43" fontId="54" fillId="3" borderId="26" xfId="1" applyFont="1" applyFill="1" applyBorder="1" applyAlignment="1">
      <alignment horizontal="center"/>
    </xf>
    <xf numFmtId="43" fontId="1" fillId="2" borderId="26" xfId="1" applyFont="1" applyFill="1" applyBorder="1" applyAlignment="1">
      <alignment horizontal="right"/>
    </xf>
    <xf numFmtId="43" fontId="30" fillId="3" borderId="15" xfId="1" applyFont="1" applyFill="1" applyBorder="1" applyAlignment="1">
      <alignment horizontal="center"/>
    </xf>
    <xf numFmtId="43" fontId="1" fillId="2" borderId="24" xfId="1" applyFont="1" applyFill="1" applyBorder="1" applyAlignment="1">
      <alignment horizontal="right"/>
    </xf>
    <xf numFmtId="43" fontId="1" fillId="2" borderId="27" xfId="1" applyFont="1" applyFill="1" applyBorder="1" applyAlignment="1">
      <alignment horizontal="right"/>
    </xf>
    <xf numFmtId="43" fontId="1" fillId="2" borderId="18" xfId="1" applyFont="1" applyFill="1" applyBorder="1" applyAlignment="1">
      <alignment horizontal="right"/>
    </xf>
    <xf numFmtId="43" fontId="1" fillId="2" borderId="17" xfId="1" applyFont="1" applyFill="1" applyBorder="1" applyAlignment="1">
      <alignment horizontal="right"/>
    </xf>
    <xf numFmtId="165" fontId="1" fillId="2" borderId="17" xfId="10" applyNumberFormat="1" applyFont="1" applyFill="1" applyBorder="1" applyAlignment="1">
      <alignment horizontal="right"/>
    </xf>
    <xf numFmtId="9" fontId="30" fillId="3" borderId="15" xfId="2" applyFont="1" applyFill="1" applyBorder="1" applyAlignment="1">
      <alignment horizontal="center"/>
    </xf>
    <xf numFmtId="43" fontId="24" fillId="2" borderId="26" xfId="1" applyFont="1" applyFill="1" applyBorder="1" applyAlignment="1">
      <alignment wrapText="1"/>
    </xf>
    <xf numFmtId="43" fontId="24" fillId="2" borderId="15" xfId="1" applyFont="1" applyFill="1" applyBorder="1" applyAlignment="1">
      <alignment wrapText="1"/>
    </xf>
    <xf numFmtId="43" fontId="24" fillId="2" borderId="170" xfId="1" applyFont="1" applyFill="1" applyBorder="1" applyAlignment="1">
      <alignment wrapText="1"/>
    </xf>
    <xf numFmtId="43" fontId="2" fillId="2" borderId="22" xfId="10" applyNumberFormat="1" applyFont="1" applyFill="1" applyBorder="1" applyAlignment="1">
      <alignment horizontal="right"/>
    </xf>
    <xf numFmtId="168" fontId="2" fillId="2" borderId="15" xfId="10" applyNumberFormat="1" applyFont="1" applyFill="1" applyBorder="1" applyAlignment="1">
      <alignment horizontal="left" indent="1"/>
    </xf>
    <xf numFmtId="43" fontId="30" fillId="2" borderId="15" xfId="1" applyFont="1" applyFill="1" applyBorder="1" applyAlignment="1">
      <alignment horizontal="center"/>
    </xf>
    <xf numFmtId="43" fontId="4" fillId="2" borderId="0" xfId="1" applyFont="1" applyFill="1"/>
    <xf numFmtId="168" fontId="2" fillId="4" borderId="15" xfId="10" applyNumberFormat="1" applyFont="1" applyFill="1" applyBorder="1" applyAlignment="1">
      <alignment horizontal="left" indent="1"/>
    </xf>
    <xf numFmtId="43" fontId="30" fillId="4" borderId="15" xfId="1" applyFont="1" applyFill="1" applyBorder="1" applyAlignment="1">
      <alignment horizontal="center"/>
    </xf>
    <xf numFmtId="165" fontId="1" fillId="4" borderId="16" xfId="10" applyNumberFormat="1" applyFont="1" applyFill="1" applyBorder="1" applyAlignment="1">
      <alignment horizontal="right"/>
    </xf>
    <xf numFmtId="43" fontId="1" fillId="4" borderId="23" xfId="1" applyFont="1" applyFill="1" applyBorder="1" applyAlignment="1">
      <alignment horizontal="right"/>
    </xf>
    <xf numFmtId="168" fontId="0" fillId="4" borderId="15" xfId="10" applyNumberFormat="1" applyFont="1" applyFill="1" applyBorder="1" applyAlignment="1">
      <alignment horizontal="left" indent="1"/>
    </xf>
    <xf numFmtId="43" fontId="1" fillId="4" borderId="24" xfId="1" applyFont="1" applyFill="1" applyBorder="1" applyAlignment="1">
      <alignment horizontal="right"/>
    </xf>
    <xf numFmtId="9" fontId="30" fillId="4" borderId="15" xfId="1" applyNumberFormat="1" applyFont="1" applyFill="1" applyBorder="1" applyAlignment="1">
      <alignment horizontal="center"/>
    </xf>
    <xf numFmtId="9" fontId="30" fillId="2" borderId="15" xfId="1" applyNumberFormat="1" applyFont="1" applyFill="1" applyBorder="1" applyAlignment="1">
      <alignment horizontal="center"/>
    </xf>
    <xf numFmtId="168" fontId="0" fillId="2" borderId="15" xfId="10" applyNumberFormat="1" applyFont="1" applyFill="1" applyBorder="1" applyAlignment="1">
      <alignment horizontal="left" indent="1"/>
    </xf>
    <xf numFmtId="43" fontId="30" fillId="3" borderId="15" xfId="1" applyNumberFormat="1" applyFont="1" applyFill="1" applyBorder="1" applyAlignment="1">
      <alignment horizontal="center"/>
    </xf>
    <xf numFmtId="43" fontId="1" fillId="2" borderId="171" xfId="1" applyFont="1" applyFill="1" applyBorder="1" applyAlignment="1">
      <alignment horizontal="right"/>
    </xf>
    <xf numFmtId="168" fontId="0" fillId="2" borderId="15" xfId="10" applyNumberFormat="1" applyFont="1" applyFill="1" applyBorder="1" applyAlignment="1">
      <alignment horizontal="left" indent="1"/>
    </xf>
    <xf numFmtId="1" fontId="4" fillId="4" borderId="23" xfId="45" applyNumberFormat="1" applyFont="1" applyFill="1" applyBorder="1" applyAlignment="1">
      <alignment horizontal="center"/>
    </xf>
    <xf numFmtId="0" fontId="34" fillId="2" borderId="5" xfId="0" applyFont="1" applyFill="1" applyBorder="1" applyAlignment="1">
      <alignment vertical="center" wrapText="1"/>
    </xf>
    <xf numFmtId="165" fontId="4" fillId="2" borderId="5" xfId="10" applyNumberFormat="1" applyFont="1" applyFill="1" applyBorder="1" applyAlignment="1">
      <alignment horizontal="right"/>
    </xf>
    <xf numFmtId="0" fontId="4" fillId="2" borderId="76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left" vertical="top" indent="1"/>
    </xf>
    <xf numFmtId="0" fontId="38" fillId="2" borderId="0" xfId="0" quotePrefix="1" applyFont="1" applyFill="1" applyBorder="1" applyAlignment="1">
      <alignment horizontal="center" vertical="center"/>
    </xf>
    <xf numFmtId="0" fontId="38" fillId="2" borderId="76" xfId="0" quotePrefix="1" applyFont="1" applyFill="1" applyBorder="1" applyAlignment="1">
      <alignment horizontal="center" vertical="center"/>
    </xf>
    <xf numFmtId="0" fontId="38" fillId="2" borderId="82" xfId="0" quotePrefix="1" applyFont="1" applyFill="1" applyBorder="1" applyAlignment="1">
      <alignment horizontal="center" vertical="center"/>
    </xf>
    <xf numFmtId="168" fontId="24" fillId="2" borderId="13" xfId="10" applyNumberFormat="1" applyFont="1" applyFill="1" applyBorder="1" applyAlignment="1">
      <alignment horizontal="left" indent="1"/>
    </xf>
    <xf numFmtId="168" fontId="10" fillId="2" borderId="13" xfId="10" applyNumberFormat="1" applyFont="1" applyFill="1" applyBorder="1" applyAlignment="1">
      <alignment horizontal="left" indent="1"/>
    </xf>
    <xf numFmtId="168" fontId="24" fillId="2" borderId="15" xfId="10" applyNumberFormat="1" applyFont="1" applyFill="1" applyBorder="1" applyAlignment="1">
      <alignment horizontal="left" wrapText="1" indent="1"/>
    </xf>
    <xf numFmtId="168" fontId="24" fillId="2" borderId="26" xfId="10" applyNumberFormat="1" applyFont="1" applyFill="1" applyBorder="1" applyAlignment="1">
      <alignment horizontal="left" wrapText="1" indent="1"/>
    </xf>
    <xf numFmtId="0" fontId="26" fillId="8" borderId="0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168" fontId="24" fillId="2" borderId="15" xfId="10" applyNumberFormat="1" applyFont="1" applyFill="1" applyBorder="1" applyAlignment="1">
      <alignment horizontal="left" indent="1"/>
    </xf>
    <xf numFmtId="0" fontId="47" fillId="2" borderId="0" xfId="0" applyFont="1" applyFill="1" applyBorder="1" applyAlignment="1">
      <alignment horizontal="left" vertical="top"/>
    </xf>
    <xf numFmtId="168" fontId="0" fillId="2" borderId="15" xfId="10" applyNumberFormat="1" applyFont="1" applyFill="1" applyBorder="1" applyAlignment="1">
      <alignment horizontal="left" indent="1"/>
    </xf>
    <xf numFmtId="168" fontId="1" fillId="2" borderId="15" xfId="10" applyNumberFormat="1" applyFont="1" applyFill="1" applyBorder="1" applyAlignment="1">
      <alignment horizontal="left" indent="1"/>
    </xf>
    <xf numFmtId="0" fontId="26" fillId="2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165" fontId="8" fillId="4" borderId="23" xfId="10" applyNumberFormat="1" applyFont="1" applyFill="1" applyBorder="1" applyAlignment="1">
      <alignment horizontal="center"/>
    </xf>
    <xf numFmtId="165" fontId="8" fillId="4" borderId="15" xfId="10" applyNumberFormat="1" applyFont="1" applyFill="1" applyBorder="1" applyAlignment="1">
      <alignment horizontal="center"/>
    </xf>
    <xf numFmtId="165" fontId="8" fillId="4" borderId="26" xfId="10" applyNumberFormat="1" applyFont="1" applyFill="1" applyBorder="1" applyAlignment="1">
      <alignment horizontal="center"/>
    </xf>
    <xf numFmtId="0" fontId="4" fillId="4" borderId="23" xfId="10" applyNumberFormat="1" applyFont="1" applyFill="1" applyBorder="1" applyAlignment="1">
      <alignment horizontal="center"/>
    </xf>
    <xf numFmtId="0" fontId="4" fillId="4" borderId="26" xfId="1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165" fontId="24" fillId="2" borderId="15" xfId="10" applyNumberFormat="1" applyFont="1" applyFill="1" applyBorder="1" applyAlignment="1">
      <alignment horizontal="left" indent="1"/>
    </xf>
    <xf numFmtId="165" fontId="24" fillId="2" borderId="26" xfId="10" applyNumberFormat="1" applyFont="1" applyFill="1" applyBorder="1" applyAlignment="1">
      <alignment horizontal="left" indent="1"/>
    </xf>
    <xf numFmtId="168" fontId="24" fillId="2" borderId="15" xfId="10" applyNumberFormat="1" applyFont="1" applyFill="1" applyBorder="1" applyAlignment="1">
      <alignment horizontal="left" wrapText="1"/>
    </xf>
    <xf numFmtId="168" fontId="24" fillId="2" borderId="26" xfId="10" applyNumberFormat="1" applyFont="1" applyFill="1" applyBorder="1" applyAlignment="1">
      <alignment horizontal="left" wrapText="1"/>
    </xf>
    <xf numFmtId="0" fontId="73" fillId="2" borderId="55" xfId="0" applyFont="1" applyFill="1" applyBorder="1" applyAlignment="1">
      <alignment horizontal="right" vertical="center" wrapText="1"/>
    </xf>
    <xf numFmtId="0" fontId="62" fillId="2" borderId="68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indent="1"/>
    </xf>
    <xf numFmtId="165" fontId="8" fillId="2" borderId="23" xfId="10" applyNumberFormat="1" applyFont="1" applyFill="1" applyBorder="1" applyAlignment="1">
      <alignment horizontal="center"/>
    </xf>
    <xf numFmtId="165" fontId="8" fillId="2" borderId="26" xfId="10" applyNumberFormat="1" applyFont="1" applyFill="1" applyBorder="1" applyAlignment="1">
      <alignment horizontal="center"/>
    </xf>
    <xf numFmtId="168" fontId="24" fillId="2" borderId="0" xfId="10" applyNumberFormat="1" applyFont="1" applyFill="1" applyBorder="1" applyAlignment="1">
      <alignment horizontal="center" wrapText="1"/>
    </xf>
    <xf numFmtId="0" fontId="26" fillId="8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50" fillId="2" borderId="9" xfId="8" applyFont="1" applyFill="1" applyBorder="1" applyAlignment="1">
      <alignment horizontal="center"/>
    </xf>
    <xf numFmtId="0" fontId="4" fillId="2" borderId="1" xfId="8" applyFont="1" applyFill="1" applyBorder="1" applyAlignment="1">
      <alignment horizontal="left"/>
    </xf>
    <xf numFmtId="0" fontId="4" fillId="2" borderId="51" xfId="8" applyFont="1" applyFill="1" applyBorder="1" applyAlignment="1">
      <alignment horizontal="left"/>
    </xf>
    <xf numFmtId="0" fontId="4" fillId="2" borderId="52" xfId="8" applyFont="1" applyFill="1" applyBorder="1" applyAlignment="1">
      <alignment horizontal="left"/>
    </xf>
    <xf numFmtId="0" fontId="4" fillId="2" borderId="53" xfId="8" applyFont="1" applyFill="1" applyBorder="1" applyAlignment="1">
      <alignment horizontal="left"/>
    </xf>
    <xf numFmtId="0" fontId="4" fillId="2" borderId="62" xfId="8" applyFont="1" applyFill="1" applyBorder="1" applyAlignment="1">
      <alignment horizontal="left"/>
    </xf>
    <xf numFmtId="0" fontId="4" fillId="2" borderId="63" xfId="8" applyFont="1" applyFill="1" applyBorder="1" applyAlignment="1">
      <alignment horizontal="left"/>
    </xf>
    <xf numFmtId="0" fontId="4" fillId="2" borderId="64" xfId="8" applyFont="1" applyFill="1" applyBorder="1" applyAlignment="1">
      <alignment horizontal="left"/>
    </xf>
    <xf numFmtId="175" fontId="4" fillId="2" borderId="6" xfId="8" applyNumberFormat="1" applyFont="1" applyFill="1" applyBorder="1" applyAlignment="1">
      <alignment horizontal="center" vertical="center"/>
    </xf>
    <xf numFmtId="0" fontId="4" fillId="2" borderId="61" xfId="8" applyFont="1" applyFill="1" applyBorder="1" applyAlignment="1">
      <alignment horizontal="left"/>
    </xf>
    <xf numFmtId="0" fontId="8" fillId="2" borderId="51" xfId="8" applyFont="1" applyFill="1" applyBorder="1" applyAlignment="1">
      <alignment horizontal="left" indent="2"/>
    </xf>
    <xf numFmtId="0" fontId="8" fillId="2" borderId="52" xfId="8" applyFont="1" applyFill="1" applyBorder="1" applyAlignment="1">
      <alignment horizontal="left" indent="2"/>
    </xf>
    <xf numFmtId="0" fontId="8" fillId="2" borderId="53" xfId="8" applyFont="1" applyFill="1" applyBorder="1" applyAlignment="1">
      <alignment horizontal="left" indent="2"/>
    </xf>
    <xf numFmtId="0" fontId="4" fillId="2" borderId="65" xfId="8" applyFont="1" applyFill="1" applyBorder="1" applyAlignment="1">
      <alignment horizontal="right" vertical="center"/>
    </xf>
    <xf numFmtId="0" fontId="34" fillId="2" borderId="3" xfId="8" applyFont="1" applyFill="1" applyBorder="1" applyAlignment="1">
      <alignment horizontal="center" vertical="center" wrapText="1"/>
    </xf>
    <xf numFmtId="0" fontId="34" fillId="2" borderId="0" xfId="8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178" fontId="4" fillId="2" borderId="51" xfId="9" applyNumberFormat="1" applyFont="1" applyFill="1" applyBorder="1" applyAlignment="1">
      <alignment horizontal="right"/>
    </xf>
    <xf numFmtId="178" fontId="4" fillId="2" borderId="52" xfId="9" applyNumberFormat="1" applyFont="1" applyFill="1" applyBorder="1" applyAlignment="1">
      <alignment horizontal="right"/>
    </xf>
    <xf numFmtId="0" fontId="4" fillId="2" borderId="57" xfId="8" applyFont="1" applyFill="1" applyBorder="1" applyAlignment="1">
      <alignment horizontal="center" vertical="center" wrapText="1"/>
    </xf>
    <xf numFmtId="0" fontId="4" fillId="2" borderId="109" xfId="8" applyFont="1" applyFill="1" applyBorder="1" applyAlignment="1">
      <alignment horizontal="center" vertical="center" wrapText="1"/>
    </xf>
    <xf numFmtId="0" fontId="4" fillId="2" borderId="61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wrapText="1"/>
    </xf>
    <xf numFmtId="0" fontId="4" fillId="2" borderId="0" xfId="8" applyFont="1" applyFill="1" applyBorder="1" applyAlignment="1">
      <alignment horizontal="center" wrapText="1"/>
    </xf>
    <xf numFmtId="175" fontId="9" fillId="2" borderId="108" xfId="8" applyNumberFormat="1" applyFont="1" applyFill="1" applyBorder="1" applyAlignment="1">
      <alignment horizontal="center" vertical="center"/>
    </xf>
    <xf numFmtId="175" fontId="9" fillId="2" borderId="94" xfId="8" applyNumberFormat="1" applyFont="1" applyFill="1" applyBorder="1" applyAlignment="1">
      <alignment horizontal="center" vertical="center"/>
    </xf>
    <xf numFmtId="175" fontId="9" fillId="2" borderId="65" xfId="8" applyNumberFormat="1" applyFont="1" applyFill="1" applyBorder="1" applyAlignment="1">
      <alignment horizontal="center" vertical="center"/>
    </xf>
    <xf numFmtId="175" fontId="9" fillId="2" borderId="110" xfId="8" applyNumberFormat="1" applyFont="1" applyFill="1" applyBorder="1" applyAlignment="1">
      <alignment horizontal="center" vertical="center"/>
    </xf>
    <xf numFmtId="175" fontId="9" fillId="2" borderId="58" xfId="8" applyNumberFormat="1" applyFont="1" applyFill="1" applyBorder="1" applyAlignment="1">
      <alignment horizontal="center" vertical="center"/>
    </xf>
    <xf numFmtId="175" fontId="9" fillId="2" borderId="59" xfId="8" applyNumberFormat="1" applyFont="1" applyFill="1" applyBorder="1" applyAlignment="1">
      <alignment horizontal="center" vertical="center"/>
    </xf>
    <xf numFmtId="178" fontId="4" fillId="2" borderId="51" xfId="9" applyNumberFormat="1" applyFont="1" applyFill="1" applyBorder="1" applyAlignment="1">
      <alignment horizontal="center"/>
    </xf>
    <xf numFmtId="178" fontId="4" fillId="2" borderId="52" xfId="9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165" fontId="8" fillId="2" borderId="84" xfId="10" applyNumberFormat="1" applyFont="1" applyFill="1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85" xfId="0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43" xfId="0" applyFont="1" applyBorder="1" applyAlignment="1"/>
    <xf numFmtId="0" fontId="0" fillId="0" borderId="143" xfId="0" applyBorder="1" applyAlignment="1"/>
    <xf numFmtId="0" fontId="0" fillId="0" borderId="85" xfId="0" applyBorder="1" applyAlignment="1"/>
    <xf numFmtId="0" fontId="9" fillId="2" borderId="1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left"/>
    </xf>
    <xf numFmtId="0" fontId="9" fillId="2" borderId="53" xfId="0" applyFont="1" applyFill="1" applyBorder="1" applyAlignment="1">
      <alignment horizontal="left"/>
    </xf>
    <xf numFmtId="17" fontId="9" fillId="2" borderId="51" xfId="0" applyNumberFormat="1" applyFont="1" applyFill="1" applyBorder="1" applyAlignment="1">
      <alignment horizontal="center"/>
    </xf>
    <xf numFmtId="17" fontId="9" fillId="2" borderId="52" xfId="0" applyNumberFormat="1" applyFont="1" applyFill="1" applyBorder="1" applyAlignment="1">
      <alignment horizontal="center"/>
    </xf>
    <xf numFmtId="17" fontId="9" fillId="2" borderId="53" xfId="0" applyNumberFormat="1" applyFont="1" applyFill="1" applyBorder="1" applyAlignment="1">
      <alignment horizontal="center"/>
    </xf>
    <xf numFmtId="1" fontId="9" fillId="2" borderId="51" xfId="1" applyNumberFormat="1" applyFont="1" applyFill="1" applyBorder="1" applyAlignment="1">
      <alignment horizontal="center"/>
    </xf>
    <xf numFmtId="1" fontId="9" fillId="2" borderId="52" xfId="1" applyNumberFormat="1" applyFont="1" applyFill="1" applyBorder="1" applyAlignment="1">
      <alignment horizontal="center"/>
    </xf>
    <xf numFmtId="1" fontId="9" fillId="2" borderId="53" xfId="1" applyNumberFormat="1" applyFont="1" applyFill="1" applyBorder="1" applyAlignment="1">
      <alignment horizontal="center"/>
    </xf>
    <xf numFmtId="183" fontId="12" fillId="2" borderId="68" xfId="3" applyNumberFormat="1" applyFont="1" applyFill="1" applyBorder="1" applyAlignment="1">
      <alignment horizontal="right" vertical="center" wrapText="1"/>
    </xf>
    <xf numFmtId="1" fontId="75" fillId="2" borderId="51" xfId="0" applyNumberFormat="1" applyFont="1" applyFill="1" applyBorder="1" applyAlignment="1">
      <alignment horizontal="center" vertical="center"/>
    </xf>
    <xf numFmtId="1" fontId="75" fillId="2" borderId="52" xfId="0" applyNumberFormat="1" applyFont="1" applyFill="1" applyBorder="1" applyAlignment="1">
      <alignment horizontal="center" vertical="center"/>
    </xf>
    <xf numFmtId="1" fontId="75" fillId="2" borderId="53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83" fontId="4" fillId="4" borderId="1" xfId="3" applyNumberFormat="1" applyFont="1" applyFill="1" applyBorder="1" applyAlignment="1">
      <alignment horizontal="right" vertical="center" wrapText="1"/>
    </xf>
    <xf numFmtId="0" fontId="2" fillId="0" borderId="85" xfId="0" applyFont="1" applyBorder="1" applyAlignment="1"/>
    <xf numFmtId="0" fontId="2" fillId="0" borderId="55" xfId="0" applyFont="1" applyBorder="1" applyAlignment="1">
      <alignment horizontal="center"/>
    </xf>
    <xf numFmtId="0" fontId="0" fillId="0" borderId="55" xfId="0" applyBorder="1" applyAlignment="1"/>
    <xf numFmtId="0" fontId="0" fillId="0" borderId="56" xfId="0" applyBorder="1" applyAlignment="1"/>
  </cellXfs>
  <cellStyles count="92">
    <cellStyle name="Comma" xfId="1" builtinId="3"/>
    <cellStyle name="Comma 10" xfId="41"/>
    <cellStyle name="Comma 10 2" xfId="56"/>
    <cellStyle name="Comma 10 2 2" xfId="83"/>
    <cellStyle name="Comma 10 3" xfId="73"/>
    <cellStyle name="Comma 11" xfId="65"/>
    <cellStyle name="Comma 12" xfId="46"/>
    <cellStyle name="Comma 12 2" xfId="57"/>
    <cellStyle name="Comma 12 2 2" xfId="84"/>
    <cellStyle name="Comma 12 3" xfId="75"/>
    <cellStyle name="Comma 2" xfId="5"/>
    <cellStyle name="Comma 2 2" xfId="7"/>
    <cellStyle name="Comma 2 2 2" xfId="10"/>
    <cellStyle name="Comma 2 2 3" xfId="49"/>
    <cellStyle name="Comma 2 2 3 2" xfId="76"/>
    <cellStyle name="Comma 2 2 4" xfId="58"/>
    <cellStyle name="Comma 2 2 4 2" xfId="85"/>
    <cellStyle name="Comma 2 2 5" xfId="66"/>
    <cellStyle name="Comma 2 3" xfId="11"/>
    <cellStyle name="Comma 2 3 2" xfId="51"/>
    <cellStyle name="Comma 2 3 2 2" xfId="78"/>
    <cellStyle name="Comma 2 3 3" xfId="60"/>
    <cellStyle name="Comma 2 3 3 2" xfId="87"/>
    <cellStyle name="Comma 2 3 4" xfId="68"/>
    <cellStyle name="Comma 3" xfId="6"/>
    <cellStyle name="Comma 3 2" xfId="12"/>
    <cellStyle name="Comma 4" xfId="13"/>
    <cellStyle name="Comma 5" xfId="14"/>
    <cellStyle name="Comma 6" xfId="15"/>
    <cellStyle name="Comma 6 2" xfId="52"/>
    <cellStyle name="Comma 6 2 2" xfId="79"/>
    <cellStyle name="Comma 6 3" xfId="61"/>
    <cellStyle name="Comma 6 3 2" xfId="88"/>
    <cellStyle name="Comma 6 4" xfId="69"/>
    <cellStyle name="Comma 7" xfId="16"/>
    <cellStyle name="Comma 7 2" xfId="53"/>
    <cellStyle name="Comma 7 2 2" xfId="80"/>
    <cellStyle name="Comma 7 3" xfId="62"/>
    <cellStyle name="Comma 7 3 2" xfId="89"/>
    <cellStyle name="Comma 7 4" xfId="70"/>
    <cellStyle name="Comma 8" xfId="17"/>
    <cellStyle name="Comma 8 2" xfId="9"/>
    <cellStyle name="Comma 8 2 2" xfId="50"/>
    <cellStyle name="Comma 8 2 2 2" xfId="77"/>
    <cellStyle name="Comma 8 2 3" xfId="59"/>
    <cellStyle name="Comma 8 2 3 2" xfId="86"/>
    <cellStyle name="Comma 8 2 4" xfId="67"/>
    <cellStyle name="Comma 8 3" xfId="54"/>
    <cellStyle name="Comma 8 3 2" xfId="81"/>
    <cellStyle name="Comma 8 4" xfId="63"/>
    <cellStyle name="Comma 8 4 2" xfId="90"/>
    <cellStyle name="Comma 8 5" xfId="71"/>
    <cellStyle name="Comma 9" xfId="18"/>
    <cellStyle name="Comma 9 2" xfId="55"/>
    <cellStyle name="Comma 9 2 2" xfId="82"/>
    <cellStyle name="Comma 9 3" xfId="64"/>
    <cellStyle name="Comma 9 3 2" xfId="91"/>
    <cellStyle name="Comma 9 4" xfId="72"/>
    <cellStyle name="Currency" xfId="45" builtinId="4"/>
    <cellStyle name="Currency 2" xfId="19"/>
    <cellStyle name="Currency 3" xfId="20"/>
    <cellStyle name="Currency 4" xfId="74"/>
    <cellStyle name="Normal" xfId="0" builtinId="0"/>
    <cellStyle name="Normal 10" xfId="21"/>
    <cellStyle name="Normal 11" xfId="22"/>
    <cellStyle name="Normal 11 2" xfId="8"/>
    <cellStyle name="Normal 12" xfId="43"/>
    <cellStyle name="Normal 12 2" xfId="44"/>
    <cellStyle name="Normal 2" xfId="23"/>
    <cellStyle name="Normal 2 2" xfId="24"/>
    <cellStyle name="Normal 2 2 2" xfId="25"/>
    <cellStyle name="Normal 2 2 3" xfId="26"/>
    <cellStyle name="Normal 3" xfId="27"/>
    <cellStyle name="Normal 4" xfId="3"/>
    <cellStyle name="Normal 4 2" xfId="28"/>
    <cellStyle name="Normal 5" xfId="29"/>
    <cellStyle name="Normal 5 2" xfId="30"/>
    <cellStyle name="Normal 6" xfId="31"/>
    <cellStyle name="Normal 6 2" xfId="42"/>
    <cellStyle name="Normal 7" xfId="32"/>
    <cellStyle name="Normal 8" xfId="33"/>
    <cellStyle name="Normal 8 2" xfId="34"/>
    <cellStyle name="Normal 9" xfId="35"/>
    <cellStyle name="Normal_System Parameters Sturgeon 6-12-07" xfId="48"/>
    <cellStyle name="Percent" xfId="2" builtinId="5"/>
    <cellStyle name="Percent 2" xfId="4"/>
    <cellStyle name="Percent 2 2" xfId="47"/>
    <cellStyle name="Percent 3" xfId="36"/>
    <cellStyle name="Percent 4" xfId="37"/>
    <cellStyle name="Percent 4 2" xfId="38"/>
    <cellStyle name="Percent 5" xfId="39"/>
    <cellStyle name="Percent 6" xfId="40"/>
  </cellStyles>
  <dxfs count="21"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  <numFmt numFmtId="14" formatCode="0.00%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D00023"/>
      <color rgb="FFE9252A"/>
      <color rgb="FFDB3337"/>
      <color rgb="FFCC0409"/>
      <color rgb="FFE93325"/>
      <color rgb="FFE13A2D"/>
      <color rgb="FFB6251A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200" b="1"/>
              <a:t>Dusky</a:t>
            </a:r>
            <a:r>
              <a:rPr lang="en-ZA" sz="1200" b="1" baseline="0"/>
              <a:t> Kob Cage Operation</a:t>
            </a:r>
            <a:endParaRPr lang="en-ZA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Sensitivities!$B$26</c:f>
              <c:strCache>
                <c:ptCount val="1"/>
                <c:pt idx="0">
                  <c:v>Sales Price /kg G&amp;G</c:v>
                </c:pt>
              </c:strCache>
            </c:strRef>
          </c:tx>
          <c:spPr>
            <a:ln w="31750" cap="rnd" cmpd="sng" algn="ctr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 cap="flat" cmpd="sng" algn="ctr">
                <a:noFill/>
                <a:round/>
              </a:ln>
              <a:effectLst/>
            </c:spPr>
          </c:marker>
          <c:cat>
            <c:numRef>
              <c:f>'[4]Valuation (2)'!$E$21:$M$21</c:f>
              <c:numCache>
                <c:formatCode>General</c:formatCode>
                <c:ptCount val="9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</c:numCache>
            </c:numRef>
          </c:cat>
          <c:val>
            <c:numRef>
              <c:f>Sensitivities!$E$26:$M$26</c:f>
              <c:numCache>
                <c:formatCode>_(* #,##0.00_);_(* \(#,##0.00\);_(* "-"??_);_(@_)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8B1-46D1-A899-6F579C72255E}"/>
            </c:ext>
          </c:extLst>
        </c:ser>
        <c:ser>
          <c:idx val="2"/>
          <c:order val="1"/>
          <c:tx>
            <c:strRef>
              <c:f>Sensitivities!$B$41</c:f>
              <c:strCache>
                <c:ptCount val="1"/>
                <c:pt idx="0">
                  <c:v>Sales price upper range</c:v>
                </c:pt>
              </c:strCache>
            </c:strRef>
          </c:tx>
          <c:spPr>
            <a:ln w="22225" cap="rnd" cmpd="sng" algn="ctr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Sensitivities!$E$41:$M$41</c:f>
              <c:numCache>
                <c:formatCode>_(* #,##0.00_);_(* \(#,##0.00\);_(* "-"??_);_(@_)</c:formatCode>
                <c:ptCount val="9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B1-46D1-A899-6F579C72255E}"/>
            </c:ext>
          </c:extLst>
        </c:ser>
        <c:ser>
          <c:idx val="0"/>
          <c:order val="2"/>
          <c:tx>
            <c:strRef>
              <c:f>Sensitivities!$B$38</c:f>
              <c:strCache>
                <c:ptCount val="1"/>
                <c:pt idx="0">
                  <c:v>Total costs</c:v>
                </c:pt>
              </c:strCache>
            </c:strRef>
          </c:tx>
          <c:spPr>
            <a:ln w="31750" cap="rnd" cmpd="sng" algn="ctr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noFill/>
                <a:round/>
              </a:ln>
              <a:effectLst/>
            </c:spPr>
          </c:marker>
          <c:cat>
            <c:numRef>
              <c:f>'[4]Valuation (2)'!$E$21:$M$21</c:f>
              <c:numCache>
                <c:formatCode>General</c:formatCode>
                <c:ptCount val="9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</c:numCache>
            </c:numRef>
          </c:cat>
          <c:val>
            <c:numRef>
              <c:f>Sensitivities!$E$38:$M$38</c:f>
              <c:numCache>
                <c:formatCode>_(* #,##0.00_);_(* \(#,##0.00\);_(* "-"??_);_(@_)</c:formatCode>
                <c:ptCount val="9"/>
                <c:pt idx="0">
                  <c:v>85.371155306474918</c:v>
                </c:pt>
                <c:pt idx="1">
                  <c:v>82.6304225237661</c:v>
                </c:pt>
                <c:pt idx="2">
                  <c:v>80.954831074095864</c:v>
                </c:pt>
                <c:pt idx="3">
                  <c:v>79.894736314982481</c:v>
                </c:pt>
                <c:pt idx="4">
                  <c:v>78.728277147906283</c:v>
                </c:pt>
                <c:pt idx="5">
                  <c:v>78.628277147906289</c:v>
                </c:pt>
                <c:pt idx="6">
                  <c:v>78.426565910400555</c:v>
                </c:pt>
                <c:pt idx="7">
                  <c:v>78.372994481829124</c:v>
                </c:pt>
                <c:pt idx="8">
                  <c:v>78.331327815162453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8B1-46D1-A899-6F579C72255E}"/>
            </c:ext>
          </c:extLst>
        </c:ser>
        <c:ser>
          <c:idx val="3"/>
          <c:order val="3"/>
          <c:tx>
            <c:strRef>
              <c:f>Sensitivities!$B$42</c:f>
              <c:strCache>
                <c:ptCount val="1"/>
                <c:pt idx="0">
                  <c:v>Sales price lower range</c:v>
                </c:pt>
              </c:strCache>
            </c:strRef>
          </c:tx>
          <c:spPr>
            <a:ln w="22225" cap="rnd" cmpd="sng" algn="ctr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Sensitivities!$E$42:$M$42</c:f>
              <c:numCache>
                <c:formatCode>_(* #,##0.00_);_(* \(#,##0.00\);_(* "-"??_);_(@_)</c:formatCode>
                <c:ptCount val="9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8B1-46D1-A899-6F579C72255E}"/>
            </c:ext>
          </c:extLst>
        </c:ser>
        <c:ser>
          <c:idx val="4"/>
          <c:order val="4"/>
          <c:tx>
            <c:strRef>
              <c:f>Sensitivities!$B$81</c:f>
              <c:strCache>
                <c:ptCount val="1"/>
                <c:pt idx="0">
                  <c:v>Total costs upper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Sensitivities!$E$81:$M$81</c:f>
              <c:numCache>
                <c:formatCode>_(* #,##0.00_);_(* \(#,##0.00\);_(* "-"??_);_(@_)</c:formatCode>
                <c:ptCount val="9"/>
                <c:pt idx="0">
                  <c:v>88.697618848501364</c:v>
                </c:pt>
                <c:pt idx="1">
                  <c:v>85.8198494266571</c:v>
                </c:pt>
                <c:pt idx="2">
                  <c:v>84.060478404503357</c:v>
                </c:pt>
                <c:pt idx="3">
                  <c:v>82.947378907434299</c:v>
                </c:pt>
                <c:pt idx="4">
                  <c:v>81.722596782004288</c:v>
                </c:pt>
                <c:pt idx="5">
                  <c:v>81.617596782004284</c:v>
                </c:pt>
                <c:pt idx="6">
                  <c:v>81.405799982623265</c:v>
                </c:pt>
                <c:pt idx="7">
                  <c:v>81.349549982623259</c:v>
                </c:pt>
                <c:pt idx="8">
                  <c:v>81.30579998262327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8B1-46D1-A899-6F579C72255E}"/>
            </c:ext>
          </c:extLst>
        </c:ser>
        <c:ser>
          <c:idx val="5"/>
          <c:order val="5"/>
          <c:tx>
            <c:strRef>
              <c:f>Sensitivities!$B$82</c:f>
              <c:strCache>
                <c:ptCount val="1"/>
                <c:pt idx="0">
                  <c:v>Total costs lower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Sensitivities!$E$82:$M$82</c:f>
              <c:numCache>
                <c:formatCode>_(* #,##0.00_);_(* \(#,##0.00\);_(* "-"??_);_(@_)</c:formatCode>
                <c:ptCount val="9"/>
                <c:pt idx="0">
                  <c:v>77.248540212179307</c:v>
                </c:pt>
                <c:pt idx="1">
                  <c:v>74.757091739909669</c:v>
                </c:pt>
                <c:pt idx="2">
                  <c:v>73.227527534026692</c:v>
                </c:pt>
                <c:pt idx="3">
                  <c:v>72.270185184172718</c:v>
                </c:pt>
                <c:pt idx="4">
                  <c:v>71.211234516540216</c:v>
                </c:pt>
                <c:pt idx="5">
                  <c:v>71.121234516540213</c:v>
                </c:pt>
                <c:pt idx="6">
                  <c:v>70.933180269481198</c:v>
                </c:pt>
                <c:pt idx="7">
                  <c:v>70.884965983766904</c:v>
                </c:pt>
                <c:pt idx="8">
                  <c:v>70.847465983766909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B1-46D1-A899-6F579C72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23509120"/>
        <c:axId val="227259136"/>
      </c:lineChart>
      <c:catAx>
        <c:axId val="22350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Productions (tonnes per 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59136"/>
        <c:crosses val="autoZero"/>
        <c:auto val="1"/>
        <c:lblAlgn val="ctr"/>
        <c:lblOffset val="100"/>
        <c:noMultiLvlLbl val="0"/>
      </c:catAx>
      <c:valAx>
        <c:axId val="227259136"/>
        <c:scaling>
          <c:orientation val="minMax"/>
          <c:max val="95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Price (R/kg (G&amp;G))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509120"/>
        <c:crosses val="autoZero"/>
        <c:crossBetween val="between"/>
      </c:val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rgbClr val="00B050">
              <a:alpha val="98000"/>
            </a:srgbClr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Mortality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55691910871986"/>
          <c:y val="0.11398387582436925"/>
          <c:w val="0.79206210548057698"/>
          <c:h val="0.68563352570477387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Monthly Mortality %</c:v>
          </c:tx>
          <c:spPr>
            <a:solidFill>
              <a:srgbClr val="007A37"/>
            </a:solidFill>
            <a:ln w="25400">
              <a:noFill/>
            </a:ln>
          </c:spPr>
          <c:invertIfNegative val="0"/>
          <c:val>
            <c:numRef>
              <c:f>[5]Master!$D$28:$S$28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816-479E-93B2-E95C05596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718592"/>
        <c:axId val="244724480"/>
      </c:barChart>
      <c:lineChart>
        <c:grouping val="standard"/>
        <c:varyColors val="0"/>
        <c:ser>
          <c:idx val="2"/>
          <c:order val="2"/>
          <c:tx>
            <c:v>Target Monthly Mortality %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1'!$D$52:$S$52</c:f>
              <c:numCache>
                <c:formatCode>0.0%</c:formatCode>
                <c:ptCount val="16"/>
                <c:pt idx="0">
                  <c:v>0.06</c:v>
                </c:pt>
                <c:pt idx="1">
                  <c:v>8.8999999999999996E-2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  <c:pt idx="5">
                  <c:v>2.1000000000000001E-2</c:v>
                </c:pt>
                <c:pt idx="6">
                  <c:v>2.1000000000000001E-2</c:v>
                </c:pt>
                <c:pt idx="7">
                  <c:v>1.2E-2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2E-3</c:v>
                </c:pt>
                <c:pt idx="13">
                  <c:v>2E-3</c:v>
                </c:pt>
                <c:pt idx="14">
                  <c:v>2E-3</c:v>
                </c:pt>
                <c:pt idx="15">
                  <c:v>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6-479E-93B2-E95C05596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18592"/>
        <c:axId val="244724480"/>
      </c:lineChart>
      <c:lineChart>
        <c:grouping val="standard"/>
        <c:varyColors val="0"/>
        <c:ser>
          <c:idx val="3"/>
          <c:order val="1"/>
          <c:tx>
            <c:v>Actual Cummulative Mortality %</c:v>
          </c:tx>
          <c:spPr>
            <a:ln w="25400">
              <a:solidFill>
                <a:srgbClr val="007A37"/>
              </a:solidFill>
              <a:prstDash val="dash"/>
            </a:ln>
          </c:spPr>
          <c:marker>
            <c:symbol val="none"/>
          </c:marker>
          <c:val>
            <c:numRef>
              <c:f>[5]Master!$D$29:$S$29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16-479E-93B2-E95C05596CAC}"/>
            </c:ext>
          </c:extLst>
        </c:ser>
        <c:ser>
          <c:idx val="1"/>
          <c:order val="3"/>
          <c:tx>
            <c:v>Target Cummulative Mortalies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'Batch 1'!$D$53:$S$53</c:f>
              <c:numCache>
                <c:formatCode>_(* #,##0.000_);_(* \(#,##0.000\);_(* "-"_);_(@_)</c:formatCode>
                <c:ptCount val="16"/>
                <c:pt idx="0">
                  <c:v>0.06</c:v>
                </c:pt>
                <c:pt idx="1">
                  <c:v>0.14365999999999998</c:v>
                </c:pt>
                <c:pt idx="2">
                  <c:v>0.1950404</c:v>
                </c:pt>
                <c:pt idx="3">
                  <c:v>0.227238784</c:v>
                </c:pt>
                <c:pt idx="4">
                  <c:v>0.25814923264</c:v>
                </c:pt>
                <c:pt idx="5">
                  <c:v>0.27372809875456</c:v>
                </c:pt>
                <c:pt idx="6">
                  <c:v>0.28897980868071427</c:v>
                </c:pt>
                <c:pt idx="7">
                  <c:v>0.29751205097654565</c:v>
                </c:pt>
                <c:pt idx="8">
                  <c:v>0.29891702687459254</c:v>
                </c:pt>
                <c:pt idx="9">
                  <c:v>0.30031919282084335</c:v>
                </c:pt>
                <c:pt idx="10">
                  <c:v>0.30171855443520168</c:v>
                </c:pt>
                <c:pt idx="11">
                  <c:v>0.30311511732633128</c:v>
                </c:pt>
                <c:pt idx="12">
                  <c:v>0.30450888709167862</c:v>
                </c:pt>
                <c:pt idx="13">
                  <c:v>0.30589986931749524</c:v>
                </c:pt>
                <c:pt idx="14">
                  <c:v>0.30728806957886023</c:v>
                </c:pt>
                <c:pt idx="15">
                  <c:v>0.30867349343970252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16-479E-93B2-E95C05596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32672"/>
        <c:axId val="244726400"/>
      </c:lineChart>
      <c:catAx>
        <c:axId val="2447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44724480"/>
        <c:crosses val="autoZero"/>
        <c:auto val="1"/>
        <c:lblAlgn val="ctr"/>
        <c:lblOffset val="100"/>
        <c:noMultiLvlLbl val="0"/>
      </c:catAx>
      <c:valAx>
        <c:axId val="244724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% mortalities</a:t>
                </a:r>
                <a:endParaRPr lang="en-ZA" sz="800"/>
              </a:p>
            </c:rich>
          </c:tx>
          <c:layout>
            <c:manualLayout>
              <c:xMode val="edge"/>
              <c:yMode val="edge"/>
              <c:x val="1.0236724248240563E-2"/>
              <c:y val="0.15937388591203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44718592"/>
        <c:crosses val="autoZero"/>
        <c:crossBetween val="between"/>
      </c:valAx>
      <c:valAx>
        <c:axId val="244726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800" b="0"/>
                  <a:t>Cummulative mortality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4732672"/>
        <c:crosses val="max"/>
        <c:crossBetween val="between"/>
      </c:valAx>
      <c:catAx>
        <c:axId val="24473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447264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626087526007442E-3"/>
          <c:y val="0.90344615610053336"/>
          <c:w val="0.95689049425443695"/>
          <c:h val="9.6553843899466488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EFCR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0.13100495967706233"/>
          <c:w val="0.88703896324192455"/>
          <c:h val="0.67428586848317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[5]Master!$B$42</c:f>
              <c:strCache>
                <c:ptCount val="1"/>
                <c:pt idx="0">
                  <c:v>EFCR for month</c:v>
                </c:pt>
              </c:strCache>
            </c:strRef>
          </c:tx>
          <c:spPr>
            <a:solidFill>
              <a:srgbClr val="007A37"/>
            </a:solidFill>
            <a:ln w="22225">
              <a:noFill/>
            </a:ln>
          </c:spPr>
          <c:invertIfNegative val="0"/>
          <c:val>
            <c:numRef>
              <c:f>[5]Master!$D$42:$S$42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E9-4677-8022-678E6EF50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44896"/>
        <c:axId val="244946432"/>
      </c:barChart>
      <c:lineChart>
        <c:grouping val="standard"/>
        <c:varyColors val="0"/>
        <c:ser>
          <c:idx val="1"/>
          <c:order val="1"/>
          <c:tx>
            <c:strRef>
              <c:f>'Batch 1'!$B$67</c:f>
              <c:strCache>
                <c:ptCount val="1"/>
                <c:pt idx="0">
                  <c:v>Target EFCR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1'!$D$67:$S$67</c:f>
              <c:numCache>
                <c:formatCode>_(* #,##0.00_);_(* \(#,##0.00\);_(* "-"??_);_(@_)</c:formatCode>
                <c:ptCount val="16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1.3120000000000001</c:v>
                </c:pt>
                <c:pt idx="4">
                  <c:v>1.3120000000000001</c:v>
                </c:pt>
                <c:pt idx="5">
                  <c:v>1.3120000000000001</c:v>
                </c:pt>
                <c:pt idx="6">
                  <c:v>1.3120000000000001</c:v>
                </c:pt>
                <c:pt idx="7">
                  <c:v>1.3120000000000001</c:v>
                </c:pt>
                <c:pt idx="8">
                  <c:v>1.3120000000000001</c:v>
                </c:pt>
                <c:pt idx="9">
                  <c:v>1.3120000000000001</c:v>
                </c:pt>
                <c:pt idx="10">
                  <c:v>1.3120000000000001</c:v>
                </c:pt>
                <c:pt idx="11">
                  <c:v>1.3120000000000001</c:v>
                </c:pt>
                <c:pt idx="12">
                  <c:v>1.3120000000000001</c:v>
                </c:pt>
                <c:pt idx="13">
                  <c:v>1.36</c:v>
                </c:pt>
                <c:pt idx="14">
                  <c:v>1.36</c:v>
                </c:pt>
                <c:pt idx="15">
                  <c:v>1.36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FE9-4677-8022-678E6EF50F77}"/>
            </c:ext>
          </c:extLst>
        </c:ser>
        <c:ser>
          <c:idx val="2"/>
          <c:order val="2"/>
          <c:tx>
            <c:strRef>
              <c:f>[5]Master!$B$44</c:f>
              <c:strCache>
                <c:ptCount val="1"/>
                <c:pt idx="0">
                  <c:v>Cummulative EFCR to date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[5]Master!$D$44:$S$44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FE9-4677-8022-678E6EF50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44896"/>
        <c:axId val="244946432"/>
      </c:lineChart>
      <c:catAx>
        <c:axId val="2449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4946432"/>
        <c:crosses val="autoZero"/>
        <c:auto val="1"/>
        <c:lblAlgn val="ctr"/>
        <c:lblOffset val="100"/>
        <c:noMultiLvlLbl val="0"/>
      </c:catAx>
      <c:valAx>
        <c:axId val="244946432"/>
        <c:scaling>
          <c:orientation val="minMax"/>
          <c:max val="2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EFCR</a:t>
                </a:r>
                <a:endParaRPr lang="en-ZA" sz="8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4494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717840212391873E-2"/>
          <c:y val="0.89148797737182917"/>
          <c:w val="0.9598129984231818"/>
          <c:h val="0.10811891088745329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ZA" sz="1200"/>
              <a:t>Batch</a:t>
            </a:r>
            <a:r>
              <a:rPr lang="en-ZA" sz="1200" baseline="0"/>
              <a:t> 1: </a:t>
            </a:r>
            <a:r>
              <a:rPr lang="en-ZA" sz="1200"/>
              <a:t>Growth</a:t>
            </a:r>
            <a:r>
              <a:rPr lang="en-ZA" sz="1200" baseline="0"/>
              <a:t> Curve and Biomass Development</a:t>
            </a:r>
          </a:p>
          <a:p>
            <a:pPr>
              <a:defRPr sz="1200"/>
            </a:pPr>
            <a:endParaRPr lang="en-ZA" sz="1200"/>
          </a:p>
        </c:rich>
      </c:tx>
      <c:layout>
        <c:manualLayout>
          <c:xMode val="edge"/>
          <c:yMode val="edge"/>
          <c:x val="0.31085694492966537"/>
          <c:y val="8.81057268722467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9.8876377086166284E-2"/>
          <c:w val="0.80101739251097548"/>
          <c:h val="0.70641441441441444"/>
        </c:manualLayout>
      </c:layout>
      <c:barChart>
        <c:barDir val="col"/>
        <c:grouping val="clustered"/>
        <c:varyColors val="0"/>
        <c:ser>
          <c:idx val="1"/>
          <c:order val="1"/>
          <c:tx>
            <c:v>Batch biomass (kg)</c:v>
          </c:tx>
          <c:spPr>
            <a:solidFill>
              <a:srgbClr val="9BBB59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strRef>
              <c:f>Batch2!$D$17:$U$17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Batch4!$D$65:$AC$65</c:f>
              <c:numCache>
                <c:formatCode>_(* #,##0_);_(* \(#,##0\);_(* "-"_);_(@_)</c:formatCode>
                <c:ptCount val="26"/>
                <c:pt idx="0">
                  <c:v>386.21357635521116</c:v>
                </c:pt>
                <c:pt idx="1">
                  <c:v>819.51677207586727</c:v>
                </c:pt>
                <c:pt idx="2">
                  <c:v>1827.5820976753873</c:v>
                </c:pt>
                <c:pt idx="3">
                  <c:v>3099.3499979185176</c:v>
                </c:pt>
                <c:pt idx="4">
                  <c:v>4974.4980987861909</c:v>
                </c:pt>
                <c:pt idx="5">
                  <c:v>7853.0902270123961</c:v>
                </c:pt>
                <c:pt idx="6">
                  <c:v>11197.104213948423</c:v>
                </c:pt>
                <c:pt idx="7">
                  <c:v>15114.417560843807</c:v>
                </c:pt>
                <c:pt idx="8">
                  <c:v>18698.894304849327</c:v>
                </c:pt>
                <c:pt idx="9">
                  <c:v>22257.092055154364</c:v>
                </c:pt>
                <c:pt idx="10">
                  <c:v>26492.376430147819</c:v>
                </c:pt>
                <c:pt idx="11">
                  <c:v>30826.095829281872</c:v>
                </c:pt>
                <c:pt idx="12">
                  <c:v>35179.170326016902</c:v>
                </c:pt>
                <c:pt idx="13">
                  <c:v>39821.714316208876</c:v>
                </c:pt>
                <c:pt idx="14">
                  <c:v>45266.589265795861</c:v>
                </c:pt>
                <c:pt idx="15">
                  <c:v>51457.029228246603</c:v>
                </c:pt>
                <c:pt idx="16">
                  <c:v>57658.077261380313</c:v>
                </c:pt>
                <c:pt idx="17">
                  <c:v>65412.879969103866</c:v>
                </c:pt>
                <c:pt idx="18">
                  <c:v>73763.804615238565</c:v>
                </c:pt>
                <c:pt idx="19">
                  <c:v>82903.574786487763</c:v>
                </c:pt>
                <c:pt idx="20">
                  <c:v>92155.949525014817</c:v>
                </c:pt>
                <c:pt idx="21">
                  <c:v>102809.71409648494</c:v>
                </c:pt>
                <c:pt idx="22">
                  <c:v>114496.00116834835</c:v>
                </c:pt>
                <c:pt idx="23">
                  <c:v>81509.296973741715</c:v>
                </c:pt>
                <c:pt idx="24">
                  <c:v>40161.928624790307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6-480F-9099-DEA1004ABD92}"/>
            </c:ext>
          </c:extLst>
        </c:ser>
        <c:ser>
          <c:idx val="6"/>
          <c:order val="2"/>
          <c:tx>
            <c:v>Harvest (kg)</c:v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Batch2!$D$17:$U$17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Batch4!$D$64:$AC$64</c:f>
              <c:numCache>
                <c:formatCode>_(* #,##0_);_(* \(#,##0\);_(* "-"_);_(@_)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40964.670363466583</c:v>
                </c:pt>
                <c:pt idx="24">
                  <c:v>45551.09068322528</c:v>
                </c:pt>
                <c:pt idx="25">
                  <c:v>40081.604767540732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C6-480F-9099-DEA1004A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4"/>
        <c:axId val="246088832"/>
        <c:axId val="245861376"/>
      </c:barChart>
      <c:lineChart>
        <c:grouping val="standard"/>
        <c:varyColors val="0"/>
        <c:ser>
          <c:idx val="0"/>
          <c:order val="0"/>
          <c:tx>
            <c:v>Kob - Average weight (g)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Batch4!$D$17:$AC$17</c:f>
              <c:strCache>
                <c:ptCount val="2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  <c:pt idx="18">
                  <c:v>Apr</c:v>
                </c:pt>
                <c:pt idx="19">
                  <c:v>May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Oct</c:v>
                </c:pt>
                <c:pt idx="25">
                  <c:v>Nov</c:v>
                </c:pt>
              </c:strCache>
            </c:strRef>
          </c:cat>
          <c:val>
            <c:numRef>
              <c:f>Batch4!$D$61:$AC$61</c:f>
              <c:numCache>
                <c:formatCode>_(* #,##0_);_(* \(#,##0\);_(* "-"_);_(@_)</c:formatCode>
                <c:ptCount val="26"/>
                <c:pt idx="0">
                  <c:v>5.0105549604983279</c:v>
                </c:pt>
                <c:pt idx="1">
                  <c:v>11.670723049880849</c:v>
                </c:pt>
                <c:pt idx="2">
                  <c:v>27.687832478818709</c:v>
                </c:pt>
                <c:pt idx="3">
                  <c:v>48.911553027692662</c:v>
                </c:pt>
                <c:pt idx="4">
                  <c:v>81.77468249671341</c:v>
                </c:pt>
                <c:pt idx="5">
                  <c:v>131.86437868258034</c:v>
                </c:pt>
                <c:pt idx="6">
                  <c:v>192.04806425574026</c:v>
                </c:pt>
                <c:pt idx="7">
                  <c:v>262.38480764314141</c:v>
                </c:pt>
                <c:pt idx="8">
                  <c:v>325.26149563157531</c:v>
                </c:pt>
                <c:pt idx="9">
                  <c:v>387.93110959613045</c:v>
                </c:pt>
                <c:pt idx="10">
                  <c:v>462.67556355009225</c:v>
                </c:pt>
                <c:pt idx="11">
                  <c:v>539.4405981024961</c:v>
                </c:pt>
                <c:pt idx="12">
                  <c:v>616.85083289489978</c:v>
                </c:pt>
                <c:pt idx="13">
                  <c:v>699.65505108790762</c:v>
                </c:pt>
                <c:pt idx="14">
                  <c:v>796.913626240756</c:v>
                </c:pt>
                <c:pt idx="15">
                  <c:v>907.71110427718224</c:v>
                </c:pt>
                <c:pt idx="16">
                  <c:v>1019.1369631895564</c:v>
                </c:pt>
                <c:pt idx="17">
                  <c:v>1158.5242446291099</c:v>
                </c:pt>
                <c:pt idx="18">
                  <c:v>1309.0451435402326</c:v>
                </c:pt>
                <c:pt idx="19">
                  <c:v>1474.1919364859923</c:v>
                </c:pt>
                <c:pt idx="20">
                  <c:v>1642.0017311220374</c:v>
                </c:pt>
                <c:pt idx="21">
                  <c:v>1835.4976912461948</c:v>
                </c:pt>
                <c:pt idx="22">
                  <c:v>2048.2335181733292</c:v>
                </c:pt>
                <c:pt idx="23">
                  <c:v>2277.5545341612642</c:v>
                </c:pt>
                <c:pt idx="24">
                  <c:v>2555.3988825380557</c:v>
                </c:pt>
                <c:pt idx="25">
                  <c:v>2856.5119060732172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FC6-480F-9099-DEA1004A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08512"/>
        <c:axId val="245859456"/>
      </c:lineChart>
      <c:catAx>
        <c:axId val="2458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859456"/>
        <c:crosses val="autoZero"/>
        <c:auto val="1"/>
        <c:lblAlgn val="ctr"/>
        <c:lblOffset val="100"/>
        <c:noMultiLvlLbl val="0"/>
      </c:catAx>
      <c:valAx>
        <c:axId val="245859456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ZA" sz="1050"/>
                  <a:t>Average</a:t>
                </a:r>
                <a:r>
                  <a:rPr lang="en-ZA" sz="1050" baseline="0"/>
                  <a:t> live weight per fish (Grams)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75000"/>
              </a:sysClr>
            </a:solidFill>
          </a:ln>
        </c:spPr>
        <c:crossAx val="245808512"/>
        <c:crosses val="autoZero"/>
        <c:crossBetween val="between"/>
      </c:valAx>
      <c:valAx>
        <c:axId val="24586137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1050"/>
                  <a:t>Total</a:t>
                </a:r>
                <a:r>
                  <a:rPr lang="en-ZA" sz="1050" baseline="0"/>
                  <a:t> biomass (Kg)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246088832"/>
        <c:crosses val="max"/>
        <c:crossBetween val="between"/>
      </c:valAx>
      <c:catAx>
        <c:axId val="24608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8613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7991127875026232E-2"/>
          <c:y val="0.8659632545931758"/>
          <c:w val="0.78266935237746449"/>
          <c:h val="0.10504795991410165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Mortality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55691910871986"/>
          <c:y val="0.11398387582436925"/>
          <c:w val="0.79206210548057698"/>
          <c:h val="0.68563352570477387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Monthly Mortality %</c:v>
          </c:tx>
          <c:spPr>
            <a:solidFill>
              <a:srgbClr val="007A37"/>
            </a:solidFill>
            <a:ln w="25400">
              <a:noFill/>
            </a:ln>
          </c:spPr>
          <c:invertIfNegative val="0"/>
          <c:val>
            <c:numRef>
              <c:f>[5]Master!$D$28:$S$28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0D-46A8-B12D-9BAED1219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313344"/>
        <c:axId val="246314880"/>
      </c:barChart>
      <c:lineChart>
        <c:grouping val="standard"/>
        <c:varyColors val="0"/>
        <c:ser>
          <c:idx val="2"/>
          <c:order val="2"/>
          <c:tx>
            <c:v>Target Monthly Mortality %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1'!$D$52:$S$52</c:f>
              <c:numCache>
                <c:formatCode>0.0%</c:formatCode>
                <c:ptCount val="16"/>
                <c:pt idx="0">
                  <c:v>0.06</c:v>
                </c:pt>
                <c:pt idx="1">
                  <c:v>8.8999999999999996E-2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  <c:pt idx="5">
                  <c:v>2.1000000000000001E-2</c:v>
                </c:pt>
                <c:pt idx="6">
                  <c:v>2.1000000000000001E-2</c:v>
                </c:pt>
                <c:pt idx="7">
                  <c:v>1.2E-2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2E-3</c:v>
                </c:pt>
                <c:pt idx="13">
                  <c:v>2E-3</c:v>
                </c:pt>
                <c:pt idx="14">
                  <c:v>2E-3</c:v>
                </c:pt>
                <c:pt idx="15">
                  <c:v>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0D-46A8-B12D-9BAED1219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313344"/>
        <c:axId val="246314880"/>
      </c:lineChart>
      <c:lineChart>
        <c:grouping val="standard"/>
        <c:varyColors val="0"/>
        <c:ser>
          <c:idx val="3"/>
          <c:order val="1"/>
          <c:tx>
            <c:v>Actual Cummulative Mortality %</c:v>
          </c:tx>
          <c:spPr>
            <a:ln w="25400">
              <a:solidFill>
                <a:srgbClr val="007A37"/>
              </a:solidFill>
              <a:prstDash val="dash"/>
            </a:ln>
          </c:spPr>
          <c:marker>
            <c:symbol val="none"/>
          </c:marker>
          <c:val>
            <c:numRef>
              <c:f>[5]Master!$D$29:$S$29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0D-46A8-B12D-9BAED1219DFF}"/>
            </c:ext>
          </c:extLst>
        </c:ser>
        <c:ser>
          <c:idx val="1"/>
          <c:order val="3"/>
          <c:tx>
            <c:v>Target Cummulative Mortalies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'Batch 1'!$D$53:$S$53</c:f>
              <c:numCache>
                <c:formatCode>_(* #,##0.000_);_(* \(#,##0.000\);_(* "-"_);_(@_)</c:formatCode>
                <c:ptCount val="16"/>
                <c:pt idx="0">
                  <c:v>0.06</c:v>
                </c:pt>
                <c:pt idx="1">
                  <c:v>0.14365999999999998</c:v>
                </c:pt>
                <c:pt idx="2">
                  <c:v>0.1950404</c:v>
                </c:pt>
                <c:pt idx="3">
                  <c:v>0.227238784</c:v>
                </c:pt>
                <c:pt idx="4">
                  <c:v>0.25814923264</c:v>
                </c:pt>
                <c:pt idx="5">
                  <c:v>0.27372809875456</c:v>
                </c:pt>
                <c:pt idx="6">
                  <c:v>0.28897980868071427</c:v>
                </c:pt>
                <c:pt idx="7">
                  <c:v>0.29751205097654565</c:v>
                </c:pt>
                <c:pt idx="8">
                  <c:v>0.29891702687459254</c:v>
                </c:pt>
                <c:pt idx="9">
                  <c:v>0.30031919282084335</c:v>
                </c:pt>
                <c:pt idx="10">
                  <c:v>0.30171855443520168</c:v>
                </c:pt>
                <c:pt idx="11">
                  <c:v>0.30311511732633128</c:v>
                </c:pt>
                <c:pt idx="12">
                  <c:v>0.30450888709167862</c:v>
                </c:pt>
                <c:pt idx="13">
                  <c:v>0.30589986931749524</c:v>
                </c:pt>
                <c:pt idx="14">
                  <c:v>0.30728806957886023</c:v>
                </c:pt>
                <c:pt idx="15">
                  <c:v>0.30867349343970252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0D-46A8-B12D-9BAED1219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318976"/>
        <c:axId val="246317056"/>
      </c:lineChart>
      <c:catAx>
        <c:axId val="2463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46314880"/>
        <c:crosses val="autoZero"/>
        <c:auto val="1"/>
        <c:lblAlgn val="ctr"/>
        <c:lblOffset val="100"/>
        <c:noMultiLvlLbl val="0"/>
      </c:catAx>
      <c:valAx>
        <c:axId val="246314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% mortalities</a:t>
                </a:r>
                <a:endParaRPr lang="en-ZA" sz="800"/>
              </a:p>
            </c:rich>
          </c:tx>
          <c:layout>
            <c:manualLayout>
              <c:xMode val="edge"/>
              <c:yMode val="edge"/>
              <c:x val="1.0236724248240563E-2"/>
              <c:y val="0.15937388591203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46313344"/>
        <c:crosses val="autoZero"/>
        <c:crossBetween val="between"/>
      </c:valAx>
      <c:valAx>
        <c:axId val="2463170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800" b="0"/>
                  <a:t>Cummulative mortality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6318976"/>
        <c:crosses val="max"/>
        <c:crossBetween val="between"/>
      </c:valAx>
      <c:catAx>
        <c:axId val="24631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463170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626087526007442E-3"/>
          <c:y val="0.90344615610053336"/>
          <c:w val="0.95689049425443695"/>
          <c:h val="9.6553843899466488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EFCR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0.13100495967706233"/>
          <c:w val="0.88703896324192455"/>
          <c:h val="0.67428586848317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[5]Master!$B$42</c:f>
              <c:strCache>
                <c:ptCount val="1"/>
                <c:pt idx="0">
                  <c:v>EFCR for month</c:v>
                </c:pt>
              </c:strCache>
            </c:strRef>
          </c:tx>
          <c:spPr>
            <a:solidFill>
              <a:srgbClr val="007A37"/>
            </a:solidFill>
            <a:ln w="22225">
              <a:noFill/>
            </a:ln>
          </c:spPr>
          <c:invertIfNegative val="0"/>
          <c:val>
            <c:numRef>
              <c:f>[5]Master!$D$42:$S$42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672-483D-8B2C-55F2CE84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436992"/>
        <c:axId val="246438528"/>
      </c:barChart>
      <c:lineChart>
        <c:grouping val="standard"/>
        <c:varyColors val="0"/>
        <c:ser>
          <c:idx val="1"/>
          <c:order val="1"/>
          <c:tx>
            <c:strRef>
              <c:f>'Batch 1'!$B$67</c:f>
              <c:strCache>
                <c:ptCount val="1"/>
                <c:pt idx="0">
                  <c:v>Target EFCR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1'!$D$67:$S$67</c:f>
              <c:numCache>
                <c:formatCode>_(* #,##0.00_);_(* \(#,##0.00\);_(* "-"??_);_(@_)</c:formatCode>
                <c:ptCount val="16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1.3120000000000001</c:v>
                </c:pt>
                <c:pt idx="4">
                  <c:v>1.3120000000000001</c:v>
                </c:pt>
                <c:pt idx="5">
                  <c:v>1.3120000000000001</c:v>
                </c:pt>
                <c:pt idx="6">
                  <c:v>1.3120000000000001</c:v>
                </c:pt>
                <c:pt idx="7">
                  <c:v>1.3120000000000001</c:v>
                </c:pt>
                <c:pt idx="8">
                  <c:v>1.3120000000000001</c:v>
                </c:pt>
                <c:pt idx="9">
                  <c:v>1.3120000000000001</c:v>
                </c:pt>
                <c:pt idx="10">
                  <c:v>1.3120000000000001</c:v>
                </c:pt>
                <c:pt idx="11">
                  <c:v>1.3120000000000001</c:v>
                </c:pt>
                <c:pt idx="12">
                  <c:v>1.3120000000000001</c:v>
                </c:pt>
                <c:pt idx="13">
                  <c:v>1.36</c:v>
                </c:pt>
                <c:pt idx="14">
                  <c:v>1.36</c:v>
                </c:pt>
                <c:pt idx="15">
                  <c:v>1.36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672-483D-8B2C-55F2CE84DA26}"/>
            </c:ext>
          </c:extLst>
        </c:ser>
        <c:ser>
          <c:idx val="2"/>
          <c:order val="2"/>
          <c:tx>
            <c:strRef>
              <c:f>[5]Master!$B$44</c:f>
              <c:strCache>
                <c:ptCount val="1"/>
                <c:pt idx="0">
                  <c:v>Cummulative EFCR to date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[5]Master!$D$44:$S$44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672-483D-8B2C-55F2CE84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36992"/>
        <c:axId val="246438528"/>
      </c:lineChart>
      <c:catAx>
        <c:axId val="24643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6438528"/>
        <c:crosses val="autoZero"/>
        <c:auto val="1"/>
        <c:lblAlgn val="ctr"/>
        <c:lblOffset val="100"/>
        <c:noMultiLvlLbl val="0"/>
      </c:catAx>
      <c:valAx>
        <c:axId val="246438528"/>
        <c:scaling>
          <c:orientation val="minMax"/>
          <c:max val="2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EFCR</a:t>
                </a:r>
                <a:endParaRPr lang="en-ZA" sz="8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4643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717840212391873E-2"/>
          <c:y val="0.89148797737182917"/>
          <c:w val="0.9598129984231818"/>
          <c:h val="0.10811891088745329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Year Cash Position in ZAR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v>Operational Profit/Loss</c:v>
          </c:tx>
          <c:spPr>
            <a:solidFill>
              <a:srgbClr val="00B050"/>
            </a:solidFill>
            <a:ln>
              <a:solidFill>
                <a:schemeClr val="tx1">
                  <a:lumMod val="15000"/>
                  <a:lumOff val="85000"/>
                  <a:alpha val="94000"/>
                </a:schemeClr>
              </a:solidFill>
            </a:ln>
            <a:effectLst/>
          </c:spPr>
          <c:invertIfNegative val="1"/>
          <c:val>
            <c:numRef>
              <c:f>'Fin Statements'!$D$11:$M$11</c:f>
              <c:numCache>
                <c:formatCode>_(* #,##0_);_(* \(#,##0\);_(* "-"_);_(@_)</c:formatCode>
                <c:ptCount val="10"/>
                <c:pt idx="0">
                  <c:v>-941.73666108192765</c:v>
                </c:pt>
                <c:pt idx="1">
                  <c:v>-11396.13360714629</c:v>
                </c:pt>
                <c:pt idx="2">
                  <c:v>-19489.688109234354</c:v>
                </c:pt>
                <c:pt idx="3">
                  <c:v>2071.5822657424396</c:v>
                </c:pt>
                <c:pt idx="4">
                  <c:v>1802.7397033107236</c:v>
                </c:pt>
                <c:pt idx="5">
                  <c:v>-579.17565406209997</c:v>
                </c:pt>
                <c:pt idx="6">
                  <c:v>1444.4346194016862</c:v>
                </c:pt>
                <c:pt idx="7">
                  <c:v>1243.4714242999407</c:v>
                </c:pt>
                <c:pt idx="8">
                  <c:v>954.40006174377868</c:v>
                </c:pt>
                <c:pt idx="9">
                  <c:v>-2215.99415832665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DC-440E-8E26-4C024B54E09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solidFill>
                      <a:schemeClr val="tx1">
                        <a:lumMod val="15000"/>
                        <a:lumOff val="85000"/>
                        <a:alpha val="94000"/>
                      </a:schemeClr>
                    </a:solidFill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4959488"/>
        <c:axId val="246300672"/>
      </c:barChart>
      <c:lineChart>
        <c:grouping val="standard"/>
        <c:varyColors val="0"/>
        <c:ser>
          <c:idx val="0"/>
          <c:order val="0"/>
          <c:tx>
            <c:v>Cumulative Cash Position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'Fin Statements'!$D$5:$M$5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'Fin Statements'!$D$47:$M$47</c:f>
              <c:numCache>
                <c:formatCode>_(* #,##0_);_(* \(#,##0\);_(* "-"_);_(@_)</c:formatCode>
                <c:ptCount val="10"/>
                <c:pt idx="0">
                  <c:v>-37616.103044410906</c:v>
                </c:pt>
                <c:pt idx="1">
                  <c:v>-56813.819532725858</c:v>
                </c:pt>
                <c:pt idx="2">
                  <c:v>-78230.496516960207</c:v>
                </c:pt>
                <c:pt idx="3">
                  <c:v>-76158.914251217764</c:v>
                </c:pt>
                <c:pt idx="4">
                  <c:v>-74356.174547907023</c:v>
                </c:pt>
                <c:pt idx="5">
                  <c:v>-74935.350201969122</c:v>
                </c:pt>
                <c:pt idx="6">
                  <c:v>-73490.915582567424</c:v>
                </c:pt>
                <c:pt idx="7">
                  <c:v>-72247.444158267492</c:v>
                </c:pt>
                <c:pt idx="8">
                  <c:v>-71293.044096523692</c:v>
                </c:pt>
                <c:pt idx="9">
                  <c:v>-73509.03825485034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3DC-440E-8E26-4C024B54E09C}"/>
            </c:ext>
          </c:extLst>
        </c:ser>
        <c:ser>
          <c:idx val="3"/>
          <c:order val="2"/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'Fin Statements'!$D$5:$M$5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'Fin Statements'!$D$46:$M$46</c:f>
              <c:numCache>
                <c:formatCode>_(* #,##0_);_(* \(#,##0\);_(*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3DC-440E-8E26-4C024B54E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59488"/>
        <c:axId val="246300672"/>
      </c:lineChart>
      <c:catAx>
        <c:axId val="24495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300672"/>
        <c:crosses val="autoZero"/>
        <c:auto val="1"/>
        <c:lblAlgn val="ctr"/>
        <c:lblOffset val="100"/>
        <c:noMultiLvlLbl val="0"/>
      </c:catAx>
      <c:valAx>
        <c:axId val="246300672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  <a:alpha val="5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95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ZA" sz="1200"/>
              <a:t>Batch</a:t>
            </a:r>
            <a:r>
              <a:rPr lang="en-ZA" sz="1200" baseline="0"/>
              <a:t> 1: </a:t>
            </a:r>
            <a:r>
              <a:rPr lang="en-ZA" sz="1200"/>
              <a:t>Growth</a:t>
            </a:r>
            <a:r>
              <a:rPr lang="en-ZA" sz="1200" baseline="0"/>
              <a:t> Curve and Biomass Development</a:t>
            </a:r>
          </a:p>
          <a:p>
            <a:pPr>
              <a:defRPr sz="1200"/>
            </a:pPr>
            <a:endParaRPr lang="en-ZA" sz="1200"/>
          </a:p>
        </c:rich>
      </c:tx>
      <c:layout>
        <c:manualLayout>
          <c:xMode val="edge"/>
          <c:yMode val="edge"/>
          <c:x val="0.31085694492966537"/>
          <c:y val="8.81057268722467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9.8876377086166284E-2"/>
          <c:w val="0.80101739251097548"/>
          <c:h val="0.70641441441441444"/>
        </c:manualLayout>
      </c:layout>
      <c:barChart>
        <c:barDir val="col"/>
        <c:grouping val="clustered"/>
        <c:varyColors val="0"/>
        <c:ser>
          <c:idx val="1"/>
          <c:order val="1"/>
          <c:tx>
            <c:v>Batch biomass (kg)</c:v>
          </c:tx>
          <c:spPr>
            <a:solidFill>
              <a:srgbClr val="9BBB59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strRef>
              <c:f>'Batch 1'!$D$17:$AA$17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'Batch 1'!$D$65:$AB$65</c:f>
              <c:numCache>
                <c:formatCode>_(* #,##0_);_(* \(#,##0\);_(* "-"_);_(@_)</c:formatCode>
                <c:ptCount val="25"/>
                <c:pt idx="0">
                  <c:v>386.21357635521116</c:v>
                </c:pt>
                <c:pt idx="1">
                  <c:v>774.59921166435799</c:v>
                </c:pt>
                <c:pt idx="2">
                  <c:v>1727.4126660341183</c:v>
                </c:pt>
                <c:pt idx="3">
                  <c:v>2876.193717819373</c:v>
                </c:pt>
                <c:pt idx="4">
                  <c:v>4877.6637748177809</c:v>
                </c:pt>
                <c:pt idx="5">
                  <c:v>7582.4464486942707</c:v>
                </c:pt>
                <c:pt idx="6">
                  <c:v>10947.557448285772</c:v>
                </c:pt>
                <c:pt idx="7">
                  <c:v>14777.566715740049</c:v>
                </c:pt>
                <c:pt idx="8">
                  <c:v>18282.157217645108</c:v>
                </c:pt>
                <c:pt idx="9">
                  <c:v>21761.054398516255</c:v>
                </c:pt>
                <c:pt idx="10">
                  <c:v>25755.143841784902</c:v>
                </c:pt>
                <c:pt idx="11">
                  <c:v>30122.001244316016</c:v>
                </c:pt>
                <c:pt idx="12">
                  <c:v>34375.647769436408</c:v>
                </c:pt>
                <c:pt idx="13">
                  <c:v>38586.761355000403</c:v>
                </c:pt>
                <c:pt idx="14">
                  <c:v>43862.779575090302</c:v>
                </c:pt>
                <c:pt idx="15">
                  <c:v>49652.295512299097</c:v>
                </c:pt>
                <c:pt idx="16">
                  <c:v>56330.349550382169</c:v>
                </c:pt>
                <c:pt idx="17">
                  <c:v>63642.857595308109</c:v>
                </c:pt>
                <c:pt idx="18">
                  <c:v>72060.625299458508</c:v>
                </c:pt>
                <c:pt idx="19">
                  <c:v>80989.361514584467</c:v>
                </c:pt>
                <c:pt idx="20">
                  <c:v>90676.224074173966</c:v>
                </c:pt>
                <c:pt idx="21">
                  <c:v>101158.92376415871</c:v>
                </c:pt>
                <c:pt idx="22">
                  <c:v>112259.74651758214</c:v>
                </c:pt>
                <c:pt idx="23">
                  <c:v>80200.522208424445</c:v>
                </c:pt>
                <c:pt idx="24">
                  <c:v>39517.058399403235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51-4DE1-872A-C1AD4E4F146C}"/>
            </c:ext>
          </c:extLst>
        </c:ser>
        <c:ser>
          <c:idx val="6"/>
          <c:order val="2"/>
          <c:tx>
            <c:v>Harvest (kg)</c:v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'Batch 1'!$D$17:$AA$17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'Batch 1'!$D$64:$AC$64</c:f>
              <c:numCache>
                <c:formatCode>_(* #,##0_);_(* \(#,##0\);_(* "-"_);_(@_)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40164.577489631527</c:v>
                </c:pt>
                <c:pt idx="24">
                  <c:v>44819.688006079276</c:v>
                </c:pt>
                <c:pt idx="25">
                  <c:v>39438.024282604434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51-4DE1-872A-C1AD4E4F1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4"/>
        <c:axId val="251526528"/>
        <c:axId val="251523840"/>
      </c:barChart>
      <c:lineChart>
        <c:grouping val="standard"/>
        <c:varyColors val="0"/>
        <c:ser>
          <c:idx val="0"/>
          <c:order val="0"/>
          <c:tx>
            <c:v>Kob - Average weight (g)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'Batch 1'!$D$17:$AC$17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'Batch 1'!$D$61:$AC$61</c:f>
              <c:numCache>
                <c:formatCode>_(* #,##0_);_(* \(#,##0\);_(* "-"_);_(@_)</c:formatCode>
                <c:ptCount val="26"/>
                <c:pt idx="0">
                  <c:v>5.0105549604983279</c:v>
                </c:pt>
                <c:pt idx="1">
                  <c:v>11.031052910719271</c:v>
                </c:pt>
                <c:pt idx="2">
                  <c:v>26.170267579102475</c:v>
                </c:pt>
                <c:pt idx="3">
                  <c:v>45.389872599582816</c:v>
                </c:pt>
                <c:pt idx="4">
                  <c:v>80.182844297150567</c:v>
                </c:pt>
                <c:pt idx="5">
                  <c:v>127.31989076246603</c:v>
                </c:pt>
                <c:pt idx="6">
                  <c:v>187.76794214817855</c:v>
                </c:pt>
                <c:pt idx="7">
                  <c:v>256.53710998352716</c:v>
                </c:pt>
                <c:pt idx="8">
                  <c:v>318.01248261191046</c:v>
                </c:pt>
                <c:pt idx="9">
                  <c:v>379.28539621793004</c:v>
                </c:pt>
                <c:pt idx="10">
                  <c:v>449.80018016620897</c:v>
                </c:pt>
                <c:pt idx="11">
                  <c:v>527.1193101217483</c:v>
                </c:pt>
                <c:pt idx="12">
                  <c:v>602.76142846372261</c:v>
                </c:pt>
                <c:pt idx="13">
                  <c:v>677.95731426260522</c:v>
                </c:pt>
                <c:pt idx="14">
                  <c:v>772.19970170353884</c:v>
                </c:pt>
                <c:pt idx="15">
                  <c:v>875.87528206205673</c:v>
                </c:pt>
                <c:pt idx="16">
                  <c:v>995.66867476233176</c:v>
                </c:pt>
                <c:pt idx="17">
                  <c:v>1127.1754669182537</c:v>
                </c:pt>
                <c:pt idx="18">
                  <c:v>1278.8197691370328</c:v>
                </c:pt>
                <c:pt idx="19">
                  <c:v>1440.1533829323976</c:v>
                </c:pt>
                <c:pt idx="20">
                  <c:v>1615.6365125508103</c:v>
                </c:pt>
                <c:pt idx="21">
                  <c:v>1806.0255555599431</c:v>
                </c:pt>
                <c:pt idx="22">
                  <c:v>2008.2288744815762</c:v>
                </c:pt>
                <c:pt idx="23">
                  <c:v>2240.9844003039639</c:v>
                </c:pt>
                <c:pt idx="24">
                  <c:v>2514.3674702089424</c:v>
                </c:pt>
                <c:pt idx="25">
                  <c:v>2789.8505010741828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B51-4DE1-872A-C1AD4E4F1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56448"/>
        <c:axId val="249657984"/>
      </c:lineChart>
      <c:catAx>
        <c:axId val="2496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9657984"/>
        <c:crosses val="autoZero"/>
        <c:auto val="1"/>
        <c:lblAlgn val="ctr"/>
        <c:lblOffset val="100"/>
        <c:noMultiLvlLbl val="0"/>
      </c:catAx>
      <c:valAx>
        <c:axId val="249657984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ZA" sz="1050"/>
                  <a:t>Average</a:t>
                </a:r>
                <a:r>
                  <a:rPr lang="en-ZA" sz="1050" baseline="0"/>
                  <a:t> live weight per fish (Grams)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75000"/>
              </a:sysClr>
            </a:solidFill>
          </a:ln>
        </c:spPr>
        <c:crossAx val="249656448"/>
        <c:crosses val="autoZero"/>
        <c:crossBetween val="between"/>
      </c:valAx>
      <c:valAx>
        <c:axId val="25152384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1050"/>
                  <a:t>Total</a:t>
                </a:r>
                <a:r>
                  <a:rPr lang="en-ZA" sz="1050" baseline="0"/>
                  <a:t> biomass (Kg)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251526528"/>
        <c:crosses val="max"/>
        <c:crossBetween val="between"/>
      </c:valAx>
      <c:catAx>
        <c:axId val="25152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5238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7991127875026232E-2"/>
          <c:y val="0.8659632545931758"/>
          <c:w val="0.78266935237746449"/>
          <c:h val="0.10504795991410165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Mortality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55691910871986"/>
          <c:y val="0.11398387582436925"/>
          <c:w val="0.79206210548057698"/>
          <c:h val="0.68563352570477387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Monthly Mortality %</c:v>
          </c:tx>
          <c:spPr>
            <a:solidFill>
              <a:srgbClr val="007A37"/>
            </a:solidFill>
            <a:ln w="25400">
              <a:noFill/>
            </a:ln>
          </c:spPr>
          <c:invertIfNegative val="0"/>
          <c:val>
            <c:numRef>
              <c:f>[5]Master!$D$28:$S$28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8F9-4921-88CA-8FB634A8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80928"/>
        <c:axId val="227182464"/>
      </c:barChart>
      <c:lineChart>
        <c:grouping val="standard"/>
        <c:varyColors val="0"/>
        <c:ser>
          <c:idx val="2"/>
          <c:order val="2"/>
          <c:tx>
            <c:v>Target Monthly Mortality %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1'!$D$52:$S$52</c:f>
              <c:numCache>
                <c:formatCode>0.0%</c:formatCode>
                <c:ptCount val="16"/>
                <c:pt idx="0">
                  <c:v>0.06</c:v>
                </c:pt>
                <c:pt idx="1">
                  <c:v>8.8999999999999996E-2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  <c:pt idx="5">
                  <c:v>2.1000000000000001E-2</c:v>
                </c:pt>
                <c:pt idx="6">
                  <c:v>2.1000000000000001E-2</c:v>
                </c:pt>
                <c:pt idx="7">
                  <c:v>1.2E-2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2E-3</c:v>
                </c:pt>
                <c:pt idx="13">
                  <c:v>2E-3</c:v>
                </c:pt>
                <c:pt idx="14">
                  <c:v>2E-3</c:v>
                </c:pt>
                <c:pt idx="15">
                  <c:v>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9-4921-88CA-8FB634A8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0928"/>
        <c:axId val="227182464"/>
      </c:lineChart>
      <c:lineChart>
        <c:grouping val="standard"/>
        <c:varyColors val="0"/>
        <c:ser>
          <c:idx val="3"/>
          <c:order val="1"/>
          <c:tx>
            <c:v>Actual Cummulative Mortality %</c:v>
          </c:tx>
          <c:spPr>
            <a:ln w="25400">
              <a:solidFill>
                <a:srgbClr val="007A37"/>
              </a:solidFill>
              <a:prstDash val="dash"/>
            </a:ln>
          </c:spPr>
          <c:marker>
            <c:symbol val="none"/>
          </c:marker>
          <c:val>
            <c:numRef>
              <c:f>[5]Master!$D$29:$S$29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F9-4921-88CA-8FB634A8068B}"/>
            </c:ext>
          </c:extLst>
        </c:ser>
        <c:ser>
          <c:idx val="1"/>
          <c:order val="3"/>
          <c:tx>
            <c:v>Target Cummulative Mortalies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'Batch 1'!$D$53:$S$53</c:f>
              <c:numCache>
                <c:formatCode>_(* #,##0.000_);_(* \(#,##0.000\);_(* "-"_);_(@_)</c:formatCode>
                <c:ptCount val="16"/>
                <c:pt idx="0">
                  <c:v>0.06</c:v>
                </c:pt>
                <c:pt idx="1">
                  <c:v>0.14365999999999998</c:v>
                </c:pt>
                <c:pt idx="2">
                  <c:v>0.1950404</c:v>
                </c:pt>
                <c:pt idx="3">
                  <c:v>0.227238784</c:v>
                </c:pt>
                <c:pt idx="4">
                  <c:v>0.25814923264</c:v>
                </c:pt>
                <c:pt idx="5">
                  <c:v>0.27372809875456</c:v>
                </c:pt>
                <c:pt idx="6">
                  <c:v>0.28897980868071427</c:v>
                </c:pt>
                <c:pt idx="7">
                  <c:v>0.29751205097654565</c:v>
                </c:pt>
                <c:pt idx="8">
                  <c:v>0.29891702687459254</c:v>
                </c:pt>
                <c:pt idx="9">
                  <c:v>0.30031919282084335</c:v>
                </c:pt>
                <c:pt idx="10">
                  <c:v>0.30171855443520168</c:v>
                </c:pt>
                <c:pt idx="11">
                  <c:v>0.30311511732633128</c:v>
                </c:pt>
                <c:pt idx="12">
                  <c:v>0.30450888709167862</c:v>
                </c:pt>
                <c:pt idx="13">
                  <c:v>0.30589986931749524</c:v>
                </c:pt>
                <c:pt idx="14">
                  <c:v>0.30728806957886023</c:v>
                </c:pt>
                <c:pt idx="15">
                  <c:v>0.30867349343970252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F9-4921-88CA-8FB634A8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2944"/>
        <c:axId val="227201024"/>
      </c:lineChart>
      <c:catAx>
        <c:axId val="22718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27182464"/>
        <c:crosses val="autoZero"/>
        <c:auto val="1"/>
        <c:lblAlgn val="ctr"/>
        <c:lblOffset val="100"/>
        <c:noMultiLvlLbl val="0"/>
      </c:catAx>
      <c:valAx>
        <c:axId val="2271824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% mortalities</a:t>
                </a:r>
                <a:endParaRPr lang="en-ZA" sz="800"/>
              </a:p>
            </c:rich>
          </c:tx>
          <c:layout>
            <c:manualLayout>
              <c:xMode val="edge"/>
              <c:yMode val="edge"/>
              <c:x val="1.0236724248240563E-2"/>
              <c:y val="0.15937388591203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7180928"/>
        <c:crosses val="autoZero"/>
        <c:crossBetween val="between"/>
      </c:valAx>
      <c:valAx>
        <c:axId val="2272010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800" b="0"/>
                  <a:t>Cummulative mortality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7202944"/>
        <c:crosses val="max"/>
        <c:crossBetween val="between"/>
      </c:valAx>
      <c:catAx>
        <c:axId val="22720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7201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626087526007442E-3"/>
          <c:y val="0.90344615610053336"/>
          <c:w val="0.95689049425443695"/>
          <c:h val="9.6553843899466488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EFCR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0.13100495967706233"/>
          <c:w val="0.88703896324192455"/>
          <c:h val="0.67428586848317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[5]Master!$B$42</c:f>
              <c:strCache>
                <c:ptCount val="1"/>
                <c:pt idx="0">
                  <c:v>EFCR for month</c:v>
                </c:pt>
              </c:strCache>
            </c:strRef>
          </c:tx>
          <c:spPr>
            <a:solidFill>
              <a:srgbClr val="007A37"/>
            </a:solidFill>
            <a:ln w="22225">
              <a:noFill/>
            </a:ln>
          </c:spPr>
          <c:invertIfNegative val="0"/>
          <c:val>
            <c:numRef>
              <c:f>[5]Master!$D$42:$S$42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71-4C3C-8680-179754A6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15552"/>
        <c:axId val="227417088"/>
      </c:barChart>
      <c:lineChart>
        <c:grouping val="standard"/>
        <c:varyColors val="0"/>
        <c:ser>
          <c:idx val="1"/>
          <c:order val="1"/>
          <c:tx>
            <c:strRef>
              <c:f>'Batch 1'!$B$67</c:f>
              <c:strCache>
                <c:ptCount val="1"/>
                <c:pt idx="0">
                  <c:v>Target EFCR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1'!$D$67:$S$67</c:f>
              <c:numCache>
                <c:formatCode>_(* #,##0.00_);_(* \(#,##0.00\);_(* "-"??_);_(@_)</c:formatCode>
                <c:ptCount val="16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1.3120000000000001</c:v>
                </c:pt>
                <c:pt idx="4">
                  <c:v>1.3120000000000001</c:v>
                </c:pt>
                <c:pt idx="5">
                  <c:v>1.3120000000000001</c:v>
                </c:pt>
                <c:pt idx="6">
                  <c:v>1.3120000000000001</c:v>
                </c:pt>
                <c:pt idx="7">
                  <c:v>1.3120000000000001</c:v>
                </c:pt>
                <c:pt idx="8">
                  <c:v>1.3120000000000001</c:v>
                </c:pt>
                <c:pt idx="9">
                  <c:v>1.3120000000000001</c:v>
                </c:pt>
                <c:pt idx="10">
                  <c:v>1.3120000000000001</c:v>
                </c:pt>
                <c:pt idx="11">
                  <c:v>1.3120000000000001</c:v>
                </c:pt>
                <c:pt idx="12">
                  <c:v>1.3120000000000001</c:v>
                </c:pt>
                <c:pt idx="13">
                  <c:v>1.36</c:v>
                </c:pt>
                <c:pt idx="14">
                  <c:v>1.36</c:v>
                </c:pt>
                <c:pt idx="15">
                  <c:v>1.36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71-4C3C-8680-179754A65E96}"/>
            </c:ext>
          </c:extLst>
        </c:ser>
        <c:ser>
          <c:idx val="2"/>
          <c:order val="2"/>
          <c:tx>
            <c:strRef>
              <c:f>[5]Master!$B$44</c:f>
              <c:strCache>
                <c:ptCount val="1"/>
                <c:pt idx="0">
                  <c:v>Cummulative EFCR to date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[5]Master!$D$44:$S$44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71-4C3C-8680-179754A6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15552"/>
        <c:axId val="227417088"/>
      </c:lineChart>
      <c:catAx>
        <c:axId val="2274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7417088"/>
        <c:crosses val="autoZero"/>
        <c:auto val="1"/>
        <c:lblAlgn val="ctr"/>
        <c:lblOffset val="100"/>
        <c:noMultiLvlLbl val="0"/>
      </c:catAx>
      <c:valAx>
        <c:axId val="227417088"/>
        <c:scaling>
          <c:orientation val="minMax"/>
          <c:max val="2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EFCR</a:t>
                </a:r>
                <a:endParaRPr lang="en-ZA" sz="8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741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717840212391873E-2"/>
          <c:y val="0.89148797737182917"/>
          <c:w val="0.9598129984231818"/>
          <c:h val="0.10811891088745329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ZA" sz="1200"/>
              <a:t>Batch</a:t>
            </a:r>
            <a:r>
              <a:rPr lang="en-ZA" sz="1200" baseline="0"/>
              <a:t> 1: </a:t>
            </a:r>
            <a:r>
              <a:rPr lang="en-ZA" sz="1200"/>
              <a:t>Growth</a:t>
            </a:r>
            <a:r>
              <a:rPr lang="en-ZA" sz="1200" baseline="0"/>
              <a:t> Curve and Biomass Development</a:t>
            </a:r>
          </a:p>
          <a:p>
            <a:pPr>
              <a:defRPr sz="1200"/>
            </a:pPr>
            <a:endParaRPr lang="en-ZA" sz="1200"/>
          </a:p>
        </c:rich>
      </c:tx>
      <c:layout>
        <c:manualLayout>
          <c:xMode val="edge"/>
          <c:yMode val="edge"/>
          <c:x val="0.31085694492966537"/>
          <c:y val="8.81057268722467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9.8876377086166284E-2"/>
          <c:w val="0.80101739251097548"/>
          <c:h val="0.70641441441441444"/>
        </c:manualLayout>
      </c:layout>
      <c:barChart>
        <c:barDir val="col"/>
        <c:grouping val="clustered"/>
        <c:varyColors val="0"/>
        <c:ser>
          <c:idx val="1"/>
          <c:order val="1"/>
          <c:tx>
            <c:v>Batch biomass (kg)</c:v>
          </c:tx>
          <c:spPr>
            <a:solidFill>
              <a:srgbClr val="9BBB59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strRef>
              <c:f>Batch2!$D$17:$AC$17</c:f>
              <c:strCache>
                <c:ptCount val="2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  <c:pt idx="25">
                  <c:v>May</c:v>
                </c:pt>
              </c:strCache>
            </c:strRef>
          </c:cat>
          <c:val>
            <c:numRef>
              <c:f>Batch2!$D$65:$AC$65</c:f>
              <c:numCache>
                <c:formatCode>_(* #,##0_);_(* \(#,##0\);_(* "-"_);_(@_)</c:formatCode>
                <c:ptCount val="26"/>
                <c:pt idx="0">
                  <c:v>374.93951993042316</c:v>
                </c:pt>
                <c:pt idx="1">
                  <c:v>818.33650829608689</c:v>
                </c:pt>
                <c:pt idx="2">
                  <c:v>1774.7943355500429</c:v>
                </c:pt>
                <c:pt idx="3">
                  <c:v>3009.8285746996035</c:v>
                </c:pt>
                <c:pt idx="4">
                  <c:v>5104.2917298193124</c:v>
                </c:pt>
                <c:pt idx="5">
                  <c:v>7934.7450924523491</c:v>
                </c:pt>
                <c:pt idx="6">
                  <c:v>11456.207218197287</c:v>
                </c:pt>
                <c:pt idx="7">
                  <c:v>15309.276297160888</c:v>
                </c:pt>
                <c:pt idx="8">
                  <c:v>19076.072781425817</c:v>
                </c:pt>
                <c:pt idx="9">
                  <c:v>22706.04352455803</c:v>
                </c:pt>
                <c:pt idx="10">
                  <c:v>26569.819916727836</c:v>
                </c:pt>
                <c:pt idx="11">
                  <c:v>31074.807949411279</c:v>
                </c:pt>
                <c:pt idx="12">
                  <c:v>35309.935494588819</c:v>
                </c:pt>
                <c:pt idx="13">
                  <c:v>40137.909039860402</c:v>
                </c:pt>
                <c:pt idx="14">
                  <c:v>45434.850572732939</c:v>
                </c:pt>
                <c:pt idx="15">
                  <c:v>51648.301138268471</c:v>
                </c:pt>
                <c:pt idx="16">
                  <c:v>58594.810708830191</c:v>
                </c:pt>
                <c:pt idx="17">
                  <c:v>66075.307655533747</c:v>
                </c:pt>
                <c:pt idx="18">
                  <c:v>74814.805092329523</c:v>
                </c:pt>
                <c:pt idx="19">
                  <c:v>83763.149921808974</c:v>
                </c:pt>
                <c:pt idx="20">
                  <c:v>93446.657971275461</c:v>
                </c:pt>
                <c:pt idx="21">
                  <c:v>104249.63595748162</c:v>
                </c:pt>
                <c:pt idx="22">
                  <c:v>114874.0103877619</c:v>
                </c:pt>
                <c:pt idx="23">
                  <c:v>82068.202602181569</c:v>
                </c:pt>
                <c:pt idx="24">
                  <c:v>40287.447879136133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24-4833-9B22-82EB90EE05A8}"/>
            </c:ext>
          </c:extLst>
        </c:ser>
        <c:ser>
          <c:idx val="6"/>
          <c:order val="2"/>
          <c:tx>
            <c:v>Harvest (kg)</c:v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Batch2!$D$17:$AC$17</c:f>
              <c:strCache>
                <c:ptCount val="2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  <c:pt idx="25">
                  <c:v>May</c:v>
                </c:pt>
              </c:strCache>
            </c:strRef>
          </c:cat>
          <c:val>
            <c:numRef>
              <c:f>Batch2!$D$64:$AC$64</c:f>
              <c:numCache>
                <c:formatCode>_(* #,##0_);_(* \(#,##0\);_(* "-"_);_(@_)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41099.915462942678</c:v>
                </c:pt>
                <c:pt idx="24">
                  <c:v>45863.432488512</c:v>
                </c:pt>
                <c:pt idx="25">
                  <c:v>40206.872983377849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24-4833-9B22-82EB90EE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4"/>
        <c:axId val="237860352"/>
        <c:axId val="237849984"/>
      </c:barChart>
      <c:lineChart>
        <c:grouping val="standard"/>
        <c:varyColors val="0"/>
        <c:ser>
          <c:idx val="0"/>
          <c:order val="0"/>
          <c:tx>
            <c:v>Kob - Average weight (g)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Batch2!$D$17:$AC$17</c:f>
              <c:strCache>
                <c:ptCount val="2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  <c:pt idx="25">
                  <c:v>May</c:v>
                </c:pt>
              </c:strCache>
            </c:strRef>
          </c:cat>
          <c:val>
            <c:numRef>
              <c:f>Batch2!$D$61:$AC$61</c:f>
              <c:numCache>
                <c:formatCode>_(* #,##0_);_(* \(#,##0\);_(* "-"_);_(@_)</c:formatCode>
                <c:ptCount val="26"/>
                <c:pt idx="0">
                  <c:v>4.8642906062587334</c:v>
                </c:pt>
                <c:pt idx="1">
                  <c:v>11.65391493542978</c:v>
                </c:pt>
                <c:pt idx="2">
                  <c:v>26.888098931134401</c:v>
                </c:pt>
                <c:pt idx="3">
                  <c:v>47.498794919758069</c:v>
                </c:pt>
                <c:pt idx="4">
                  <c:v>83.908331511559538</c:v>
                </c:pt>
                <c:pt idx="5">
                  <c:v>133.23547818435512</c:v>
                </c:pt>
                <c:pt idx="6">
                  <c:v>196.49209098426297</c:v>
                </c:pt>
                <c:pt idx="7">
                  <c:v>265.76753620944737</c:v>
                </c:pt>
                <c:pt idx="8">
                  <c:v>331.8223988278404</c:v>
                </c:pt>
                <c:pt idx="9">
                  <c:v>395.75613189684219</c:v>
                </c:pt>
                <c:pt idx="10">
                  <c:v>464.02807372943266</c:v>
                </c:pt>
                <c:pt idx="11">
                  <c:v>543.79293047637077</c:v>
                </c:pt>
                <c:pt idx="12">
                  <c:v>619.14374095383653</c:v>
                </c:pt>
                <c:pt idx="13">
                  <c:v>705.21049337181978</c:v>
                </c:pt>
                <c:pt idx="14">
                  <c:v>799.87584916150422</c:v>
                </c:pt>
                <c:pt idx="15">
                  <c:v>911.08517462805764</c:v>
                </c:pt>
                <c:pt idx="16">
                  <c:v>1035.6942215355884</c:v>
                </c:pt>
                <c:pt idx="17">
                  <c:v>1170.2564682432524</c:v>
                </c:pt>
                <c:pt idx="18">
                  <c:v>1327.6966634499061</c:v>
                </c:pt>
                <c:pt idx="19">
                  <c:v>1489.4769074484377</c:v>
                </c:pt>
                <c:pt idx="20">
                  <c:v>1664.999112344381</c:v>
                </c:pt>
                <c:pt idx="21">
                  <c:v>1861.2051185516918</c:v>
                </c:pt>
                <c:pt idx="22">
                  <c:v>2054.9957731471336</c:v>
                </c:pt>
                <c:pt idx="23">
                  <c:v>2293.1716244255999</c:v>
                </c:pt>
                <c:pt idx="24">
                  <c:v>2563.3853456705638</c:v>
                </c:pt>
                <c:pt idx="25">
                  <c:v>2876.0988813175768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524-4833-9B22-82EB90EE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46528"/>
        <c:axId val="237848064"/>
      </c:lineChart>
      <c:catAx>
        <c:axId val="2378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7848064"/>
        <c:crosses val="autoZero"/>
        <c:auto val="1"/>
        <c:lblAlgn val="ctr"/>
        <c:lblOffset val="100"/>
        <c:noMultiLvlLbl val="0"/>
      </c:catAx>
      <c:valAx>
        <c:axId val="237848064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ZA" sz="1050"/>
                  <a:t>Average</a:t>
                </a:r>
                <a:r>
                  <a:rPr lang="en-ZA" sz="1050" baseline="0"/>
                  <a:t> live weight per fish (Grams)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75000"/>
              </a:sysClr>
            </a:solidFill>
          </a:ln>
        </c:spPr>
        <c:crossAx val="237846528"/>
        <c:crosses val="autoZero"/>
        <c:crossBetween val="between"/>
      </c:valAx>
      <c:valAx>
        <c:axId val="23784998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1050"/>
                  <a:t>Total</a:t>
                </a:r>
                <a:r>
                  <a:rPr lang="en-ZA" sz="1050" baseline="0"/>
                  <a:t> biomass (Kg)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237860352"/>
        <c:crosses val="max"/>
        <c:crossBetween val="between"/>
      </c:valAx>
      <c:catAx>
        <c:axId val="23786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8499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7991127875026232E-2"/>
          <c:y val="0.8659632545931758"/>
          <c:w val="0.78266935237746449"/>
          <c:h val="0.10504795991410165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Mortality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55691910871986"/>
          <c:y val="0.11398387582436925"/>
          <c:w val="0.79206210548057698"/>
          <c:h val="0.68563352570477387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Monthly Mortality %</c:v>
          </c:tx>
          <c:spPr>
            <a:solidFill>
              <a:srgbClr val="007A37"/>
            </a:solidFill>
            <a:ln w="25400">
              <a:noFill/>
            </a:ln>
          </c:spPr>
          <c:invertIfNegative val="0"/>
          <c:val>
            <c:numRef>
              <c:f>[5]Master!$D$28:$S$28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FB-464E-B0E1-55875C418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48288"/>
        <c:axId val="237954176"/>
      </c:barChart>
      <c:lineChart>
        <c:grouping val="standard"/>
        <c:varyColors val="0"/>
        <c:ser>
          <c:idx val="2"/>
          <c:order val="2"/>
          <c:tx>
            <c:v>Target Monthly Mortality %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1'!$D$52:$S$52</c:f>
              <c:numCache>
                <c:formatCode>0.0%</c:formatCode>
                <c:ptCount val="16"/>
                <c:pt idx="0">
                  <c:v>0.06</c:v>
                </c:pt>
                <c:pt idx="1">
                  <c:v>8.8999999999999996E-2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  <c:pt idx="5">
                  <c:v>2.1000000000000001E-2</c:v>
                </c:pt>
                <c:pt idx="6">
                  <c:v>2.1000000000000001E-2</c:v>
                </c:pt>
                <c:pt idx="7">
                  <c:v>1.2E-2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2E-3</c:v>
                </c:pt>
                <c:pt idx="13">
                  <c:v>2E-3</c:v>
                </c:pt>
                <c:pt idx="14">
                  <c:v>2E-3</c:v>
                </c:pt>
                <c:pt idx="15">
                  <c:v>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FB-464E-B0E1-55875C418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48288"/>
        <c:axId val="237954176"/>
      </c:lineChart>
      <c:lineChart>
        <c:grouping val="standard"/>
        <c:varyColors val="0"/>
        <c:ser>
          <c:idx val="3"/>
          <c:order val="1"/>
          <c:tx>
            <c:v>Actual Cummulative Mortality %</c:v>
          </c:tx>
          <c:spPr>
            <a:ln w="25400">
              <a:solidFill>
                <a:srgbClr val="007A37"/>
              </a:solidFill>
              <a:prstDash val="dash"/>
            </a:ln>
          </c:spPr>
          <c:marker>
            <c:symbol val="none"/>
          </c:marker>
          <c:val>
            <c:numRef>
              <c:f>[5]Master!$D$29:$S$29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FB-464E-B0E1-55875C418944}"/>
            </c:ext>
          </c:extLst>
        </c:ser>
        <c:ser>
          <c:idx val="1"/>
          <c:order val="3"/>
          <c:tx>
            <c:v>Target Cummulative Mortalies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'Batch 1'!$D$53:$S$53</c:f>
              <c:numCache>
                <c:formatCode>_(* #,##0.000_);_(* \(#,##0.000\);_(* "-"_);_(@_)</c:formatCode>
                <c:ptCount val="16"/>
                <c:pt idx="0">
                  <c:v>0.06</c:v>
                </c:pt>
                <c:pt idx="1">
                  <c:v>0.14365999999999998</c:v>
                </c:pt>
                <c:pt idx="2">
                  <c:v>0.1950404</c:v>
                </c:pt>
                <c:pt idx="3">
                  <c:v>0.227238784</c:v>
                </c:pt>
                <c:pt idx="4">
                  <c:v>0.25814923264</c:v>
                </c:pt>
                <c:pt idx="5">
                  <c:v>0.27372809875456</c:v>
                </c:pt>
                <c:pt idx="6">
                  <c:v>0.28897980868071427</c:v>
                </c:pt>
                <c:pt idx="7">
                  <c:v>0.29751205097654565</c:v>
                </c:pt>
                <c:pt idx="8">
                  <c:v>0.29891702687459254</c:v>
                </c:pt>
                <c:pt idx="9">
                  <c:v>0.30031919282084335</c:v>
                </c:pt>
                <c:pt idx="10">
                  <c:v>0.30171855443520168</c:v>
                </c:pt>
                <c:pt idx="11">
                  <c:v>0.30311511732633128</c:v>
                </c:pt>
                <c:pt idx="12">
                  <c:v>0.30450888709167862</c:v>
                </c:pt>
                <c:pt idx="13">
                  <c:v>0.30589986931749524</c:v>
                </c:pt>
                <c:pt idx="14">
                  <c:v>0.30728806957886023</c:v>
                </c:pt>
                <c:pt idx="15">
                  <c:v>0.30867349343970252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FB-464E-B0E1-55875C418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21120"/>
        <c:axId val="237956096"/>
      </c:lineChart>
      <c:catAx>
        <c:axId val="2379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37954176"/>
        <c:crosses val="autoZero"/>
        <c:auto val="1"/>
        <c:lblAlgn val="ctr"/>
        <c:lblOffset val="100"/>
        <c:noMultiLvlLbl val="0"/>
      </c:catAx>
      <c:valAx>
        <c:axId val="237954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% mortalities</a:t>
                </a:r>
                <a:endParaRPr lang="en-ZA" sz="800"/>
              </a:p>
            </c:rich>
          </c:tx>
          <c:layout>
            <c:manualLayout>
              <c:xMode val="edge"/>
              <c:yMode val="edge"/>
              <c:x val="1.0236724248240563E-2"/>
              <c:y val="0.15937388591203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37948288"/>
        <c:crosses val="autoZero"/>
        <c:crossBetween val="between"/>
      </c:valAx>
      <c:valAx>
        <c:axId val="237956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800" b="0"/>
                  <a:t>Cummulative mortality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38421120"/>
        <c:crosses val="max"/>
        <c:crossBetween val="between"/>
      </c:valAx>
      <c:catAx>
        <c:axId val="23842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9560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626087526007442E-3"/>
          <c:y val="0.90344615610053336"/>
          <c:w val="0.95689049425443695"/>
          <c:h val="9.6553843899466488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ZA" sz="1000"/>
              <a:t>G2B3.2 Monthly EFCR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0.13100495967706233"/>
          <c:w val="0.88703896324192455"/>
          <c:h val="0.67428586848317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[5]Master!$B$42</c:f>
              <c:strCache>
                <c:ptCount val="1"/>
                <c:pt idx="0">
                  <c:v>EFCR for month</c:v>
                </c:pt>
              </c:strCache>
            </c:strRef>
          </c:tx>
          <c:spPr>
            <a:solidFill>
              <a:srgbClr val="007A37"/>
            </a:solidFill>
            <a:ln w="22225">
              <a:noFill/>
            </a:ln>
          </c:spPr>
          <c:invertIfNegative val="0"/>
          <c:val>
            <c:numRef>
              <c:f>[5]Master!$D$42:$S$42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67-47C9-A143-74D54049B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57216"/>
        <c:axId val="238458752"/>
      </c:barChart>
      <c:lineChart>
        <c:grouping val="standard"/>
        <c:varyColors val="0"/>
        <c:ser>
          <c:idx val="1"/>
          <c:order val="1"/>
          <c:tx>
            <c:strRef>
              <c:f>'Batch 1'!$B$67</c:f>
              <c:strCache>
                <c:ptCount val="1"/>
                <c:pt idx="0">
                  <c:v>Target EFCR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'Batch 1'!$D$67:$S$67</c:f>
              <c:numCache>
                <c:formatCode>_(* #,##0.00_);_(* \(#,##0.00\);_(* "-"??_);_(@_)</c:formatCode>
                <c:ptCount val="16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1.3120000000000001</c:v>
                </c:pt>
                <c:pt idx="4">
                  <c:v>1.3120000000000001</c:v>
                </c:pt>
                <c:pt idx="5">
                  <c:v>1.3120000000000001</c:v>
                </c:pt>
                <c:pt idx="6">
                  <c:v>1.3120000000000001</c:v>
                </c:pt>
                <c:pt idx="7">
                  <c:v>1.3120000000000001</c:v>
                </c:pt>
                <c:pt idx="8">
                  <c:v>1.3120000000000001</c:v>
                </c:pt>
                <c:pt idx="9">
                  <c:v>1.3120000000000001</c:v>
                </c:pt>
                <c:pt idx="10">
                  <c:v>1.3120000000000001</c:v>
                </c:pt>
                <c:pt idx="11">
                  <c:v>1.3120000000000001</c:v>
                </c:pt>
                <c:pt idx="12">
                  <c:v>1.3120000000000001</c:v>
                </c:pt>
                <c:pt idx="13">
                  <c:v>1.36</c:v>
                </c:pt>
                <c:pt idx="14">
                  <c:v>1.36</c:v>
                </c:pt>
                <c:pt idx="15">
                  <c:v>1.36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67-47C9-A143-74D54049BA50}"/>
            </c:ext>
          </c:extLst>
        </c:ser>
        <c:ser>
          <c:idx val="2"/>
          <c:order val="2"/>
          <c:tx>
            <c:strRef>
              <c:f>[5]Master!$B$44</c:f>
              <c:strCache>
                <c:ptCount val="1"/>
                <c:pt idx="0">
                  <c:v>Cummulative EFCR to date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[5]Master!$D$44:$S$44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[5]Master!$D$16:$S$16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67-47C9-A143-74D54049B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57216"/>
        <c:axId val="238458752"/>
      </c:lineChart>
      <c:catAx>
        <c:axId val="23845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38458752"/>
        <c:crosses val="autoZero"/>
        <c:auto val="1"/>
        <c:lblAlgn val="ctr"/>
        <c:lblOffset val="100"/>
        <c:noMultiLvlLbl val="0"/>
      </c:catAx>
      <c:valAx>
        <c:axId val="238458752"/>
        <c:scaling>
          <c:orientation val="minMax"/>
          <c:max val="2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ZA" sz="800"/>
                  <a:t>Average</a:t>
                </a:r>
                <a:r>
                  <a:rPr lang="en-ZA" sz="800" baseline="0"/>
                  <a:t> monthly EFCR</a:t>
                </a:r>
                <a:endParaRPr lang="en-ZA" sz="8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3845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717840212391873E-2"/>
          <c:y val="0.89148797737182917"/>
          <c:w val="0.9598129984231818"/>
          <c:h val="0.10811891088745329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ZA" sz="1200"/>
              <a:t>Batch</a:t>
            </a:r>
            <a:r>
              <a:rPr lang="en-ZA" sz="1200" baseline="0"/>
              <a:t> 1: </a:t>
            </a:r>
            <a:r>
              <a:rPr lang="en-ZA" sz="1200"/>
              <a:t>Growth</a:t>
            </a:r>
            <a:r>
              <a:rPr lang="en-ZA" sz="1200" baseline="0"/>
              <a:t> Curve and Biomass Development</a:t>
            </a:r>
          </a:p>
          <a:p>
            <a:pPr>
              <a:defRPr sz="1200"/>
            </a:pPr>
            <a:endParaRPr lang="en-ZA" sz="1200"/>
          </a:p>
        </c:rich>
      </c:tx>
      <c:layout>
        <c:manualLayout>
          <c:xMode val="edge"/>
          <c:yMode val="edge"/>
          <c:x val="0.31085694492966537"/>
          <c:y val="8.81057268722467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700763755882E-2"/>
          <c:y val="9.8876377086166284E-2"/>
          <c:w val="0.80101739251097548"/>
          <c:h val="0.70641441441441444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9BBB59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strRef>
              <c:f>Batch2!$D$17:$U$17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Batch3!$D$65:$AC$65</c:f>
              <c:numCache>
                <c:formatCode>_(* #,##0_);_(* \(#,##0\);_(* "-"_);_(@_)</c:formatCode>
                <c:ptCount val="26"/>
                <c:pt idx="0">
                  <c:v>386.21357635521116</c:v>
                </c:pt>
                <c:pt idx="1">
                  <c:v>842.9430687640421</c:v>
                </c:pt>
                <c:pt idx="2">
                  <c:v>1828.1606264256973</c:v>
                </c:pt>
                <c:pt idx="3">
                  <c:v>3100.3311101122463</c:v>
                </c:pt>
                <c:pt idx="4">
                  <c:v>5162.1439609663485</c:v>
                </c:pt>
                <c:pt idx="5">
                  <c:v>8149.3210943607801</c:v>
                </c:pt>
                <c:pt idx="6">
                  <c:v>11766.0126515506</c:v>
                </c:pt>
                <c:pt idx="7">
                  <c:v>15409.882288173772</c:v>
                </c:pt>
                <c:pt idx="8">
                  <c:v>19201.432541714763</c:v>
                </c:pt>
                <c:pt idx="9">
                  <c:v>22725.721282784547</c:v>
                </c:pt>
                <c:pt idx="10">
                  <c:v>27050.180741411074</c:v>
                </c:pt>
                <c:pt idx="11">
                  <c:v>31475.147800830189</c:v>
                </c:pt>
                <c:pt idx="12">
                  <c:v>35919.877484782242</c:v>
                </c:pt>
                <c:pt idx="13">
                  <c:v>40831.249194099044</c:v>
                </c:pt>
                <c:pt idx="14">
                  <c:v>46220.628759994775</c:v>
                </c:pt>
                <c:pt idx="15">
                  <c:v>52541.538552543985</c:v>
                </c:pt>
                <c:pt idx="16">
                  <c:v>59362.203192919136</c:v>
                </c:pt>
                <c:pt idx="17">
                  <c:v>67213.787106106058</c:v>
                </c:pt>
                <c:pt idx="18">
                  <c:v>76103.866334998689</c:v>
                </c:pt>
                <c:pt idx="19">
                  <c:v>84555.756368881193</c:v>
                </c:pt>
                <c:pt idx="20">
                  <c:v>94330.894340544357</c:v>
                </c:pt>
                <c:pt idx="21">
                  <c:v>104858.60422648006</c:v>
                </c:pt>
                <c:pt idx="22">
                  <c:v>116777.78678344676</c:v>
                </c:pt>
                <c:pt idx="23">
                  <c:v>83133.692056832893</c:v>
                </c:pt>
                <c:pt idx="24">
                  <c:v>40962.313879083267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5-45F5-AABF-153743787793}"/>
            </c:ext>
          </c:extLst>
        </c:ser>
        <c:ser>
          <c:idx val="6"/>
          <c:order val="2"/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Batch2!$D$17:$U$17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Batch3!$D$64:$AC$64</c:f>
              <c:numCache>
                <c:formatCode>_(* #,##0_);_(* \(#,##0\);_(* "-"_);_(@_)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41781.05342146675</c:v>
                </c:pt>
                <c:pt idx="24">
                  <c:v>46458.87630379208</c:v>
                </c:pt>
                <c:pt idx="25">
                  <c:v>40880.389251325098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55-45F5-AABF-15374378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4"/>
        <c:axId val="244651136"/>
        <c:axId val="244636672"/>
      </c:barChart>
      <c:lineChart>
        <c:grouping val="standard"/>
        <c:varyColors val="0"/>
        <c:ser>
          <c:idx val="0"/>
          <c:order val="0"/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Batch3!$D$17:$AC$17</c:f>
              <c:strCache>
                <c:ptCount val="26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</c:v>
                </c:pt>
                <c:pt idx="19">
                  <c:v>Feb</c:v>
                </c:pt>
                <c:pt idx="20">
                  <c:v>Mar</c:v>
                </c:pt>
                <c:pt idx="21">
                  <c:v>Apr</c:v>
                </c:pt>
                <c:pt idx="22">
                  <c:v>May</c:v>
                </c:pt>
                <c:pt idx="23">
                  <c:v>Jun</c:v>
                </c:pt>
                <c:pt idx="24">
                  <c:v>Jul</c:v>
                </c:pt>
                <c:pt idx="25">
                  <c:v>Aug</c:v>
                </c:pt>
              </c:strCache>
            </c:strRef>
          </c:cat>
          <c:val>
            <c:numRef>
              <c:f>Batch3!$D$61:$AC$61</c:f>
              <c:numCache>
                <c:formatCode>_(* #,##0_);_(* \(#,##0\);_(* "-"_);_(@_)</c:formatCode>
                <c:ptCount val="26"/>
                <c:pt idx="0">
                  <c:v>5.0105549604983279</c:v>
                </c:pt>
                <c:pt idx="1">
                  <c:v>12.00433650362322</c:v>
                </c:pt>
                <c:pt idx="2">
                  <c:v>27.696597177894684</c:v>
                </c:pt>
                <c:pt idx="3">
                  <c:v>48.927036184200283</c:v>
                </c:pt>
                <c:pt idx="4">
                  <c:v>84.859351642601453</c:v>
                </c:pt>
                <c:pt idx="5">
                  <c:v>136.83850964762811</c:v>
                </c:pt>
                <c:pt idx="6">
                  <c:v>201.80574464279528</c:v>
                </c:pt>
                <c:pt idx="7">
                  <c:v>267.5140463540427</c:v>
                </c:pt>
                <c:pt idx="8">
                  <c:v>334.00299316988247</c:v>
                </c:pt>
                <c:pt idx="9">
                  <c:v>396.09910637725773</c:v>
                </c:pt>
                <c:pt idx="10">
                  <c:v>472.41732547714628</c:v>
                </c:pt>
                <c:pt idx="11">
                  <c:v>550.79866905869687</c:v>
                </c:pt>
                <c:pt idx="12">
                  <c:v>629.83879774970785</c:v>
                </c:pt>
                <c:pt idx="13">
                  <c:v>717.39226277489354</c:v>
                </c:pt>
                <c:pt idx="14">
                  <c:v>813.70939294707239</c:v>
                </c:pt>
                <c:pt idx="15">
                  <c:v>926.84204073273042</c:v>
                </c:pt>
                <c:pt idx="16">
                  <c:v>1049.2582889300579</c:v>
                </c:pt>
                <c:pt idx="17">
                  <c:v>1190.4200208359991</c:v>
                </c:pt>
                <c:pt idx="18">
                  <c:v>1350.5729151324747</c:v>
                </c:pt>
                <c:pt idx="19">
                  <c:v>1503.571040736296</c:v>
                </c:pt>
                <c:pt idx="20">
                  <c:v>1680.754119552749</c:v>
                </c:pt>
                <c:pt idx="21">
                  <c:v>1872.0772414985552</c:v>
                </c:pt>
                <c:pt idx="22">
                  <c:v>2089.0526710733375</c:v>
                </c:pt>
                <c:pt idx="23">
                  <c:v>2322.9438151896043</c:v>
                </c:pt>
                <c:pt idx="24">
                  <c:v>2606.3253109854604</c:v>
                </c:pt>
                <c:pt idx="25">
                  <c:v>2924.277196144325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255-45F5-AABF-15374378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28864"/>
        <c:axId val="244634752"/>
      </c:lineChart>
      <c:catAx>
        <c:axId val="2446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4634752"/>
        <c:crosses val="autoZero"/>
        <c:auto val="1"/>
        <c:lblAlgn val="ctr"/>
        <c:lblOffset val="100"/>
        <c:noMultiLvlLbl val="0"/>
      </c:catAx>
      <c:valAx>
        <c:axId val="244634752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ZA" sz="1050"/>
                  <a:t>Average</a:t>
                </a:r>
                <a:r>
                  <a:rPr lang="en-ZA" sz="1050" baseline="0"/>
                  <a:t> live weight per fish (Grams)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spPr>
          <a:ln w="9525">
            <a:solidFill>
              <a:sysClr val="window" lastClr="FFFFFF">
                <a:lumMod val="75000"/>
              </a:sysClr>
            </a:solidFill>
          </a:ln>
        </c:spPr>
        <c:crossAx val="244628864"/>
        <c:crosses val="autoZero"/>
        <c:crossBetween val="between"/>
      </c:valAx>
      <c:valAx>
        <c:axId val="24463667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1050"/>
                  <a:t>Total</a:t>
                </a:r>
                <a:r>
                  <a:rPr lang="en-ZA" sz="1050" baseline="0"/>
                  <a:t> biomass (Kg)</a:t>
                </a:r>
                <a:endParaRPr lang="en-ZA" sz="1050"/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244651136"/>
        <c:crosses val="max"/>
        <c:crossBetween val="between"/>
      </c:valAx>
      <c:catAx>
        <c:axId val="24465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6366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7991127875026232E-2"/>
          <c:y val="0.8659632545931758"/>
          <c:w val="0.78266935237746449"/>
          <c:h val="0.10504795991410165"/>
        </c:manualLayout>
      </c:layout>
      <c:overlay val="0"/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426243</xdr:rowOff>
    </xdr:from>
    <xdr:to>
      <xdr:col>8</xdr:col>
      <xdr:colOff>797719</xdr:colOff>
      <xdr:row>18</xdr:row>
      <xdr:rowOff>202406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58078</xdr:colOff>
      <xdr:row>49</xdr:row>
      <xdr:rowOff>272042</xdr:rowOff>
    </xdr:from>
    <xdr:to>
      <xdr:col>12</xdr:col>
      <xdr:colOff>720182</xdr:colOff>
      <xdr:row>68</xdr:row>
      <xdr:rowOff>151006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76200</xdr:rowOff>
    </xdr:from>
    <xdr:to>
      <xdr:col>6</xdr:col>
      <xdr:colOff>209550</xdr:colOff>
      <xdr:row>16</xdr:row>
      <xdr:rowOff>142875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/>
      </xdr:nvSpPr>
      <xdr:spPr>
        <a:xfrm>
          <a:off x="4972050" y="3695700"/>
          <a:ext cx="133350" cy="1019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13</xdr:col>
      <xdr:colOff>361950</xdr:colOff>
      <xdr:row>14</xdr:row>
      <xdr:rowOff>228600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88</xdr:row>
      <xdr:rowOff>60322</xdr:rowOff>
    </xdr:from>
    <xdr:to>
      <xdr:col>10</xdr:col>
      <xdr:colOff>0</xdr:colOff>
      <xdr:row>107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</xdr:colOff>
      <xdr:row>88</xdr:row>
      <xdr:rowOff>57150</xdr:rowOff>
    </xdr:from>
    <xdr:to>
      <xdr:col>19</xdr:col>
      <xdr:colOff>0</xdr:colOff>
      <xdr:row>107</xdr:row>
      <xdr:rowOff>28575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0.09537</cdr:x>
      <cdr:y>0.10041</cdr:y>
    </cdr:from>
    <cdr:to>
      <cdr:x>0.1952</cdr:x>
      <cdr:y>0.80702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xmlns="" id="{25609628-7730-4A69-B2DE-CD3A1EC3441E}"/>
            </a:ext>
          </a:extLst>
        </cdr:cNvPr>
        <cdr:cNvSpPr/>
      </cdr:nvSpPr>
      <cdr:spPr>
        <a:xfrm xmlns:a="http://schemas.openxmlformats.org/drawingml/2006/main">
          <a:off x="777590" y="420818"/>
          <a:ext cx="813951" cy="29614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1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0.12404</cdr:x>
      <cdr:y>0.31116</cdr:y>
    </cdr:from>
    <cdr:to>
      <cdr:x>0.13148</cdr:x>
      <cdr:y>0.32207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A13FE4D5-4350-4719-8CD6-10E6F35A0AAF}"/>
            </a:ext>
          </a:extLst>
        </cdr:cNvPr>
        <cdr:cNvSpPr txBox="1"/>
      </cdr:nvSpPr>
      <cdr:spPr>
        <a:xfrm xmlns:a="http://schemas.openxmlformats.org/drawingml/2006/main">
          <a:off x="1011382" y="1304059"/>
          <a:ext cx="60613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0.52018</cdr:x>
      <cdr:y>0.14587</cdr:y>
    </cdr:from>
    <cdr:to>
      <cdr:x>0.59452</cdr:x>
      <cdr:y>0.21198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014527F1-9794-4203-A3DE-CF5AF41644DF}"/>
            </a:ext>
          </a:extLst>
        </cdr:cNvPr>
        <cdr:cNvSpPr txBox="1"/>
      </cdr:nvSpPr>
      <cdr:spPr>
        <a:xfrm xmlns:a="http://schemas.openxmlformats.org/drawingml/2006/main">
          <a:off x="4241223" y="611332"/>
          <a:ext cx="6061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CAGES</a:t>
          </a:r>
        </a:p>
      </cdr:txBody>
    </cdr:sp>
  </cdr:relSizeAnchor>
  <cdr:relSizeAnchor xmlns:cdr="http://schemas.openxmlformats.org/drawingml/2006/chartDrawing">
    <cdr:from>
      <cdr:x>0.13785</cdr:x>
      <cdr:y>0.13554</cdr:y>
    </cdr:from>
    <cdr:to>
      <cdr:x>0.21325</cdr:x>
      <cdr:y>0.20785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7CD60836-44AA-41C3-A9D4-566B0E68C3FA}"/>
            </a:ext>
          </a:extLst>
        </cdr:cNvPr>
        <cdr:cNvSpPr txBox="1"/>
      </cdr:nvSpPr>
      <cdr:spPr>
        <a:xfrm xmlns:a="http://schemas.openxmlformats.org/drawingml/2006/main">
          <a:off x="1123951" y="568037"/>
          <a:ext cx="614795" cy="30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0.12404</cdr:x>
      <cdr:y>0.14586</cdr:y>
    </cdr:from>
    <cdr:to>
      <cdr:x>0.1952</cdr:x>
      <cdr:y>0.21405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C9599D4E-9F2F-4B6D-9055-1D86FD4F4B43}"/>
            </a:ext>
          </a:extLst>
        </cdr:cNvPr>
        <cdr:cNvSpPr txBox="1"/>
      </cdr:nvSpPr>
      <cdr:spPr>
        <a:xfrm xmlns:a="http://schemas.openxmlformats.org/drawingml/2006/main">
          <a:off x="1011378" y="611316"/>
          <a:ext cx="580196" cy="285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RAS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13</xdr:col>
      <xdr:colOff>361950</xdr:colOff>
      <xdr:row>14</xdr:row>
      <xdr:rowOff>228600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88</xdr:row>
      <xdr:rowOff>60322</xdr:rowOff>
    </xdr:from>
    <xdr:to>
      <xdr:col>10</xdr:col>
      <xdr:colOff>0</xdr:colOff>
      <xdr:row>107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</xdr:colOff>
      <xdr:row>88</xdr:row>
      <xdr:rowOff>57150</xdr:rowOff>
    </xdr:from>
    <xdr:to>
      <xdr:col>19</xdr:col>
      <xdr:colOff>0</xdr:colOff>
      <xdr:row>107</xdr:row>
      <xdr:rowOff>28575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152401</xdr:colOff>
      <xdr:row>1</xdr:row>
      <xdr:rowOff>152400</xdr:rowOff>
    </xdr:from>
    <xdr:to>
      <xdr:col>2</xdr:col>
      <xdr:colOff>990601</xdr:colOff>
      <xdr:row>11</xdr:row>
      <xdr:rowOff>256309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/>
      </xdr:nvSpPr>
      <xdr:spPr>
        <a:xfrm>
          <a:off x="885826" y="438150"/>
          <a:ext cx="838200" cy="2961409"/>
        </a:xfrm>
        <a:prstGeom prst="rect">
          <a:avLst/>
        </a:prstGeom>
        <a:solidFill>
          <a:schemeClr val="accent1">
            <a:alpha val="2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552451</xdr:colOff>
      <xdr:row>2</xdr:row>
      <xdr:rowOff>219075</xdr:rowOff>
    </xdr:from>
    <xdr:to>
      <xdr:col>8</xdr:col>
      <xdr:colOff>19051</xdr:colOff>
      <xdr:row>3</xdr:row>
      <xdr:rowOff>276225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SpPr txBox="1"/>
      </xdr:nvSpPr>
      <xdr:spPr>
        <a:xfrm>
          <a:off x="4229101" y="790575"/>
          <a:ext cx="6858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/>
            <a:t>CAGES</a:t>
          </a:r>
        </a:p>
      </xdr:txBody>
    </xdr:sp>
    <xdr:clientData/>
  </xdr:twoCellAnchor>
  <xdr:twoCellAnchor>
    <xdr:from>
      <xdr:col>2</xdr:col>
      <xdr:colOff>409575</xdr:colOff>
      <xdr:row>2</xdr:row>
      <xdr:rowOff>152400</xdr:rowOff>
    </xdr:from>
    <xdr:to>
      <xdr:col>3</xdr:col>
      <xdr:colOff>76200</xdr:colOff>
      <xdr:row>3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SpPr txBox="1"/>
      </xdr:nvSpPr>
      <xdr:spPr>
        <a:xfrm>
          <a:off x="1143000" y="723900"/>
          <a:ext cx="7429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/>
            <a:t>RAS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13</xdr:col>
      <xdr:colOff>361950</xdr:colOff>
      <xdr:row>14</xdr:row>
      <xdr:rowOff>228600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88</xdr:row>
      <xdr:rowOff>60322</xdr:rowOff>
    </xdr:from>
    <xdr:to>
      <xdr:col>10</xdr:col>
      <xdr:colOff>0</xdr:colOff>
      <xdr:row>107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</xdr:colOff>
      <xdr:row>88</xdr:row>
      <xdr:rowOff>57150</xdr:rowOff>
    </xdr:from>
    <xdr:to>
      <xdr:col>19</xdr:col>
      <xdr:colOff>0</xdr:colOff>
      <xdr:row>107</xdr:row>
      <xdr:rowOff>28575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171451</xdr:colOff>
      <xdr:row>1</xdr:row>
      <xdr:rowOff>161925</xdr:rowOff>
    </xdr:from>
    <xdr:to>
      <xdr:col>2</xdr:col>
      <xdr:colOff>990600</xdr:colOff>
      <xdr:row>11</xdr:row>
      <xdr:rowOff>265834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/>
      </xdr:nvSpPr>
      <xdr:spPr>
        <a:xfrm>
          <a:off x="904876" y="447675"/>
          <a:ext cx="819149" cy="2961409"/>
        </a:xfrm>
        <a:prstGeom prst="rect">
          <a:avLst/>
        </a:prstGeom>
        <a:solidFill>
          <a:schemeClr val="accent1">
            <a:alpha val="2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28576</xdr:colOff>
      <xdr:row>2</xdr:row>
      <xdr:rowOff>266700</xdr:rowOff>
    </xdr:from>
    <xdr:to>
      <xdr:col>8</xdr:col>
      <xdr:colOff>104776</xdr:colOff>
      <xdr:row>4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SpPr txBox="1"/>
      </xdr:nvSpPr>
      <xdr:spPr>
        <a:xfrm>
          <a:off x="4314826" y="838200"/>
          <a:ext cx="6858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/>
            <a:t>CAGES</a:t>
          </a:r>
        </a:p>
      </xdr:txBody>
    </xdr:sp>
    <xdr:clientData/>
  </xdr:twoCellAnchor>
  <xdr:twoCellAnchor>
    <xdr:from>
      <xdr:col>2</xdr:col>
      <xdr:colOff>390525</xdr:colOff>
      <xdr:row>2</xdr:row>
      <xdr:rowOff>209550</xdr:rowOff>
    </xdr:from>
    <xdr:to>
      <xdr:col>2</xdr:col>
      <xdr:colOff>923925</xdr:colOff>
      <xdr:row>3</xdr:row>
      <xdr:rowOff>266700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SpPr txBox="1"/>
      </xdr:nvSpPr>
      <xdr:spPr>
        <a:xfrm>
          <a:off x="1123950" y="781050"/>
          <a:ext cx="5334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/>
            <a:t>RAS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161925</xdr:rowOff>
    </xdr:from>
    <xdr:to>
      <xdr:col>3</xdr:col>
      <xdr:colOff>223404</xdr:colOff>
      <xdr:row>11</xdr:row>
      <xdr:rowOff>265834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/>
      </xdr:nvSpPr>
      <xdr:spPr>
        <a:xfrm>
          <a:off x="895350" y="447675"/>
          <a:ext cx="1137804" cy="2961409"/>
        </a:xfrm>
        <a:prstGeom prst="rect">
          <a:avLst/>
        </a:prstGeom>
        <a:solidFill>
          <a:schemeClr val="accent1">
            <a:alpha val="2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114300</xdr:colOff>
      <xdr:row>0</xdr:row>
      <xdr:rowOff>38100</xdr:rowOff>
    </xdr:from>
    <xdr:to>
      <xdr:col>13</xdr:col>
      <xdr:colOff>361950</xdr:colOff>
      <xdr:row>14</xdr:row>
      <xdr:rowOff>228600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88</xdr:row>
      <xdr:rowOff>60322</xdr:rowOff>
    </xdr:from>
    <xdr:to>
      <xdr:col>10</xdr:col>
      <xdr:colOff>0</xdr:colOff>
      <xdr:row>107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</xdr:colOff>
      <xdr:row>88</xdr:row>
      <xdr:rowOff>57150</xdr:rowOff>
    </xdr:from>
    <xdr:to>
      <xdr:col>19</xdr:col>
      <xdr:colOff>0</xdr:colOff>
      <xdr:row>107</xdr:row>
      <xdr:rowOff>28575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0.13372</cdr:x>
      <cdr:y>0.18409</cdr:y>
    </cdr:from>
    <cdr:to>
      <cdr:x>0.22093</cdr:x>
      <cdr:y>0.275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9F1D06BE-9CAE-4AD1-9D82-DEB0E323908A}"/>
            </a:ext>
          </a:extLst>
        </cdr:cNvPr>
        <cdr:cNvSpPr txBox="1"/>
      </cdr:nvSpPr>
      <cdr:spPr>
        <a:xfrm xmlns:a="http://schemas.openxmlformats.org/drawingml/2006/main">
          <a:off x="1095375" y="771525"/>
          <a:ext cx="7143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ZA" sz="1100"/>
            <a:t>RAS</a:t>
          </a:r>
        </a:p>
      </cdr:txBody>
    </cdr:sp>
  </cdr:relSizeAnchor>
  <cdr:relSizeAnchor xmlns:cdr="http://schemas.openxmlformats.org/drawingml/2006/chartDrawing">
    <cdr:from>
      <cdr:x>0.51899</cdr:x>
      <cdr:y>0.18258</cdr:y>
    </cdr:from>
    <cdr:to>
      <cdr:x>0.60271</cdr:x>
      <cdr:y>0.26439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xmlns="" id="{BD05EB69-E76F-4F43-A153-5DDEC2100570}"/>
            </a:ext>
          </a:extLst>
        </cdr:cNvPr>
        <cdr:cNvSpPr txBox="1"/>
      </cdr:nvSpPr>
      <cdr:spPr>
        <a:xfrm xmlns:a="http://schemas.openxmlformats.org/drawingml/2006/main">
          <a:off x="4251325" y="765175"/>
          <a:ext cx="685800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CAGES</a:t>
          </a:r>
        </a:p>
      </cdr:txBody>
    </cdr:sp>
  </cdr:relSizeAnchor>
  <cdr:relSizeAnchor xmlns:cdr="http://schemas.openxmlformats.org/drawingml/2006/chartDrawing">
    <cdr:from>
      <cdr:x>0.09574</cdr:x>
      <cdr:y>0.10076</cdr:y>
    </cdr:from>
    <cdr:to>
      <cdr:x>0.20116</cdr:x>
      <cdr:y>0.80737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xmlns="" id="{570E6255-7CC9-4AF4-9AE3-CC0574059F33}"/>
            </a:ext>
          </a:extLst>
        </cdr:cNvPr>
        <cdr:cNvSpPr/>
      </cdr:nvSpPr>
      <cdr:spPr>
        <a:xfrm xmlns:a="http://schemas.openxmlformats.org/drawingml/2006/main">
          <a:off x="784254" y="422285"/>
          <a:ext cx="863571" cy="29614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1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hecht/Library/Containers/com.apple.mail/Data/Library/Mail%20Downloads/ED3C1C0F-5032-441C-A27F-63837FB49F67/Pomegranate%20Feasibility%20Ca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T%20NPV%20updated%20to%20AFS%2004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m/Desktop/Models/Kob/Full%20RAS/Dusky%20kob_500t_Full%20RAS_Financial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m/AppData/Local/Microsoft/Windows/INetCache/Content.Outlook/GNJZ450B/Book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vsrvr\Users\Grant\My%20Documents\Advance%20Africa\DAFF\Marine%20Finfish\Bioplan%20Sea%20Trout%20(Saldanh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 Interest"/>
      <sheetName val="Summary Pomegranate"/>
      <sheetName val="Phasing"/>
      <sheetName val="Capital Budget"/>
      <sheetName val="Inc &amp; Exp"/>
      <sheetName val="AX1 Prod"/>
      <sheetName val="AX2 Proc"/>
      <sheetName val="AX3 Price"/>
      <sheetName val="AX4 C.o.P"/>
      <sheetName val="AX5 HR"/>
      <sheetName val="AX6 Admin"/>
      <sheetName val="AX7 Sales"/>
      <sheetName val="AX9 Tax"/>
      <sheetName val="AX10 Deprec"/>
      <sheetName val="Summary"/>
      <sheetName val="Graphs"/>
      <sheetName val="All Frozen Fish"/>
      <sheetName val="Tilapia"/>
      <sheetName val="Frozen Fish Data"/>
      <sheetName val="Trade_Map_-_List_of_supplying_m"/>
      <sheetName val="F2014 Consolidated Budget"/>
    </sheetNames>
    <sheetDataSet>
      <sheetData sheetId="0">
        <row r="7">
          <cell r="D7">
            <v>10000000</v>
          </cell>
        </row>
        <row r="8">
          <cell r="D8">
            <v>7.4999999999999997E-2</v>
          </cell>
        </row>
        <row r="9">
          <cell r="D9">
            <v>10</v>
          </cell>
        </row>
        <row r="10">
          <cell r="D10">
            <v>12</v>
          </cell>
        </row>
        <row r="11">
          <cell r="D11">
            <v>40451</v>
          </cell>
        </row>
        <row r="13">
          <cell r="D13">
            <v>0</v>
          </cell>
        </row>
        <row r="14">
          <cell r="D14">
            <v>118701.76913585422</v>
          </cell>
        </row>
        <row r="16">
          <cell r="D16">
            <v>118701.76913585422</v>
          </cell>
          <cell r="H16">
            <v>10000000</v>
          </cell>
        </row>
        <row r="17">
          <cell r="D17">
            <v>1</v>
          </cell>
          <cell r="H1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>
            <v>10000000</v>
          </cell>
        </row>
      </sheetData>
      <sheetData sheetId="12"/>
      <sheetData sheetId="13"/>
      <sheetData sheetId="14" refreshError="1"/>
      <sheetData sheetId="15"/>
      <sheetData sheetId="16"/>
      <sheetData sheetId="17"/>
      <sheetData sheetId="18"/>
      <sheetData sheetId="19">
        <row r="16">
          <cell r="D16">
            <v>6827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_St"/>
      <sheetName val="Bal_Sheet"/>
      <sheetName val="Cash_Flow"/>
      <sheetName val="Depr_Amort"/>
      <sheetName val="Income_Tax"/>
      <sheetName val="ASSUMPTIONS"/>
      <sheetName val="CAPITAL"/>
      <sheetName val="Biological Asset Calculation"/>
      <sheetName val="FINANCIALS"/>
      <sheetName val="BIO-PLAN"/>
      <sheetName val="INCOME"/>
      <sheetName val="EXPENDITURE"/>
      <sheetName val="GRAPHS"/>
      <sheetName val="Dev Prog"/>
      <sheetName val="Anx1 Base Bio-Plan"/>
      <sheetName val="Anx2 Bio-Plan"/>
      <sheetName val="Anx3 Capital"/>
      <sheetName val="Anx4 Cashflow"/>
      <sheetName val="Anx6 Income"/>
      <sheetName val="INCOME Forecast"/>
      <sheetName val="Anx6 Costs"/>
      <sheetName val="Feed Feb 13"/>
      <sheetName val="HR Yr2"/>
      <sheetName val="HR Yr3"/>
      <sheetName val="HR Yr4"/>
      <sheetName val="HR Yr5"/>
      <sheetName val="HR Yr6"/>
      <sheetName val="HR Calc"/>
      <sheetName val="Rental"/>
      <sheetName val="Price Matrix"/>
    </sheetNames>
    <sheetDataSet>
      <sheetData sheetId="0"/>
      <sheetData sheetId="1">
        <row r="24">
          <cell r="A24" t="str">
            <v>Other Long-Term Assets</v>
          </cell>
        </row>
      </sheetData>
      <sheetData sheetId="2"/>
      <sheetData sheetId="3">
        <row r="6">
          <cell r="N6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"/>
      <sheetName val="Sensitivities"/>
      <sheetName val="Fin Statements"/>
      <sheetName val="Monthly FS"/>
      <sheetName val="1.Revenue"/>
      <sheetName val="2.Sales Costs"/>
      <sheetName val="3. Variable Costs"/>
      <sheetName val="4. OH Expenses"/>
      <sheetName val="5.Depreciation"/>
      <sheetName val="6. Finance Income"/>
      <sheetName val="7.Finance Costs"/>
      <sheetName val="8.Income Tax"/>
      <sheetName val="9.CAPEX"/>
      <sheetName val="Production"/>
      <sheetName val="WACC"/>
      <sheetName val="HR"/>
      <sheetName val="Rental"/>
      <sheetName val="Feed"/>
      <sheetName val="R&amp;M"/>
      <sheetName val="Elec"/>
      <sheetName val="Capital Replacement"/>
      <sheetName val="Input data"/>
      <sheetName val="Summary Bioplan"/>
      <sheetName val="Batch 1"/>
      <sheetName val="Batch2"/>
      <sheetName val="Batch3"/>
      <sheetName val="Batch4"/>
      <sheetName val="Production Calcs"/>
      <sheetName val="Production Plan"/>
      <sheetName val="Capex Summary Sheet"/>
      <sheetName val="1. Pre-Development"/>
      <sheetName val="2. Land"/>
      <sheetName val="3. Infrastructure"/>
      <sheetName val="4. Buildings"/>
      <sheetName val="5. Services"/>
      <sheetName val="6. Aquaculture systems - Land"/>
      <sheetName val="7. Aquaculture system - Water"/>
      <sheetName val="8. Vehicles"/>
      <sheetName val="9. Transport and Logistics"/>
      <sheetName val="10. Professional Fees"/>
      <sheetName val="11. Contingenc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Valuation (2)"/>
    </sheetNames>
    <sheetDataSet>
      <sheetData sheetId="0"/>
      <sheetData sheetId="1">
        <row r="21">
          <cell r="E21">
            <v>250</v>
          </cell>
          <cell r="F21">
            <v>500</v>
          </cell>
          <cell r="G21">
            <v>750</v>
          </cell>
          <cell r="H21">
            <v>1000</v>
          </cell>
          <cell r="I21">
            <v>1250</v>
          </cell>
          <cell r="J21">
            <v>1500</v>
          </cell>
          <cell r="K21">
            <v>1750</v>
          </cell>
          <cell r="L21">
            <v>2000</v>
          </cell>
          <cell r="M21">
            <v>2250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1"/>
      <sheetName val="G1B2"/>
      <sheetName val="G1B3"/>
      <sheetName val="G1B4"/>
      <sheetName val="G2B1.1"/>
      <sheetName val="Summary Bioplan"/>
      <sheetName val="Master"/>
      <sheetName val="Batch 1"/>
      <sheetName val="Batch 2"/>
      <sheetName val="Batch 3"/>
      <sheetName val="Input data"/>
      <sheetName val="TempDepth"/>
      <sheetName val="G2B4"/>
      <sheetName val="14-1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D16">
            <v>5</v>
          </cell>
          <cell r="E16">
            <v>6</v>
          </cell>
          <cell r="F16">
            <v>7</v>
          </cell>
          <cell r="G16">
            <v>8</v>
          </cell>
          <cell r="H16">
            <v>9</v>
          </cell>
          <cell r="I16">
            <v>10</v>
          </cell>
          <cell r="J16">
            <v>11</v>
          </cell>
          <cell r="K16">
            <v>12</v>
          </cell>
          <cell r="L16">
            <v>13</v>
          </cell>
          <cell r="M16">
            <v>14</v>
          </cell>
          <cell r="N16">
            <v>15</v>
          </cell>
          <cell r="O16">
            <v>16</v>
          </cell>
          <cell r="P16">
            <v>17</v>
          </cell>
          <cell r="Q16">
            <v>18</v>
          </cell>
          <cell r="R16">
            <v>19</v>
          </cell>
          <cell r="S16">
            <v>20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42">
          <cell r="B42" t="str">
            <v>EFCR for month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4">
          <cell r="B44" t="str">
            <v>Cummulative EFCR to date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30" zoomScale="62" zoomScaleNormal="62" workbookViewId="0">
      <selection activeCell="C54" sqref="C54"/>
    </sheetView>
  </sheetViews>
  <sheetFormatPr defaultColWidth="8.85546875" defaultRowHeight="12.75" x14ac:dyDescent="0.2"/>
  <cols>
    <col min="1" max="1" width="4.140625" style="2" customWidth="1"/>
    <col min="2" max="2" width="44.42578125" style="2" bestFit="1" customWidth="1"/>
    <col min="3" max="3" width="13.42578125" style="2" bestFit="1" customWidth="1"/>
    <col min="4" max="4" width="25.140625" style="2" customWidth="1"/>
    <col min="5" max="5" width="13.28515625" style="2" customWidth="1"/>
    <col min="6" max="6" width="13.140625" style="2" customWidth="1"/>
    <col min="7" max="7" width="11.42578125" style="2" bestFit="1" customWidth="1"/>
    <col min="8" max="19" width="10.140625" style="2" bestFit="1" customWidth="1"/>
    <col min="20" max="16384" width="8.85546875" style="2"/>
  </cols>
  <sheetData>
    <row r="1" spans="1:21" ht="49.5" customHeight="1" x14ac:dyDescent="0.2">
      <c r="A1" s="205" t="s">
        <v>144</v>
      </c>
      <c r="B1" s="201"/>
      <c r="C1" s="153"/>
      <c r="D1" s="153"/>
      <c r="E1" s="153"/>
      <c r="F1" s="153"/>
    </row>
    <row r="2" spans="1:21" ht="12.75" customHeight="1" x14ac:dyDescent="0.2">
      <c r="A2" s="201"/>
      <c r="B2" s="201"/>
      <c r="C2" s="153"/>
      <c r="D2" s="153"/>
      <c r="E2" s="153"/>
      <c r="F2" s="153"/>
    </row>
    <row r="3" spans="1:21" s="75" customFormat="1" ht="21" customHeight="1" thickBot="1" x14ac:dyDescent="0.4">
      <c r="A3" s="195"/>
      <c r="B3" s="195"/>
      <c r="E3" s="1325" t="s">
        <v>534</v>
      </c>
      <c r="F3" s="1325"/>
      <c r="G3" s="1325"/>
      <c r="H3" s="1325"/>
      <c r="I3" s="1325"/>
      <c r="J3" s="1325"/>
      <c r="K3" s="1325"/>
      <c r="L3" s="1325"/>
      <c r="M3" s="1325"/>
      <c r="N3" s="1325"/>
    </row>
    <row r="4" spans="1:21" ht="27.75" customHeight="1" thickBot="1" x14ac:dyDescent="0.4">
      <c r="A4" s="196"/>
      <c r="B4" s="195" t="s">
        <v>77</v>
      </c>
      <c r="C4" s="54"/>
      <c r="E4" s="100" t="s">
        <v>454</v>
      </c>
      <c r="F4" s="100" t="s">
        <v>455</v>
      </c>
      <c r="G4" s="100" t="s">
        <v>456</v>
      </c>
      <c r="H4" s="100" t="s">
        <v>457</v>
      </c>
      <c r="I4" s="100" t="s">
        <v>458</v>
      </c>
      <c r="J4" s="100" t="s">
        <v>459</v>
      </c>
      <c r="K4" s="100" t="s">
        <v>460</v>
      </c>
      <c r="L4" s="100" t="s">
        <v>461</v>
      </c>
      <c r="M4" s="100" t="s">
        <v>462</v>
      </c>
      <c r="N4" s="100" t="s">
        <v>463</v>
      </c>
    </row>
    <row r="5" spans="1:21" ht="21" x14ac:dyDescent="0.35">
      <c r="A5" s="196"/>
      <c r="B5" s="168" t="s">
        <v>88</v>
      </c>
      <c r="C5" s="197">
        <v>14.3</v>
      </c>
      <c r="D5" s="588" t="s">
        <v>345</v>
      </c>
      <c r="E5" s="585">
        <f>C5</f>
        <v>14.3</v>
      </c>
      <c r="F5" s="274">
        <f t="shared" ref="F5:N6" si="0">E5*1.06</f>
        <v>15.158000000000001</v>
      </c>
      <c r="G5" s="274">
        <f t="shared" si="0"/>
        <v>16.067480000000003</v>
      </c>
      <c r="H5" s="274">
        <f t="shared" si="0"/>
        <v>17.031528800000004</v>
      </c>
      <c r="I5" s="274">
        <f t="shared" si="0"/>
        <v>18.053420528000004</v>
      </c>
      <c r="J5" s="274">
        <f t="shared" si="0"/>
        <v>19.136625759680005</v>
      </c>
      <c r="K5" s="274">
        <f t="shared" si="0"/>
        <v>20.284823305260804</v>
      </c>
      <c r="L5" s="274">
        <f t="shared" si="0"/>
        <v>21.501912703576455</v>
      </c>
      <c r="M5" s="274">
        <f t="shared" si="0"/>
        <v>22.792027465791044</v>
      </c>
      <c r="N5" s="274">
        <f t="shared" si="0"/>
        <v>24.159549113738507</v>
      </c>
    </row>
    <row r="6" spans="1:21" ht="21" x14ac:dyDescent="0.35">
      <c r="A6" s="196"/>
      <c r="B6" s="168" t="s">
        <v>89</v>
      </c>
      <c r="C6" s="197">
        <v>16</v>
      </c>
      <c r="D6" s="588" t="s">
        <v>345</v>
      </c>
      <c r="E6" s="585">
        <f>C6</f>
        <v>16</v>
      </c>
      <c r="F6" s="274">
        <f>C6*1.06</f>
        <v>16.96</v>
      </c>
      <c r="G6" s="274">
        <f t="shared" si="0"/>
        <v>17.977600000000002</v>
      </c>
      <c r="H6" s="274">
        <f t="shared" si="0"/>
        <v>19.056256000000005</v>
      </c>
      <c r="I6" s="274">
        <f t="shared" si="0"/>
        <v>20.199631360000005</v>
      </c>
      <c r="J6" s="274">
        <f t="shared" si="0"/>
        <v>21.411609241600008</v>
      </c>
      <c r="K6" s="274">
        <f t="shared" si="0"/>
        <v>22.696305796096009</v>
      </c>
      <c r="L6" s="274">
        <f t="shared" si="0"/>
        <v>24.05808414386177</v>
      </c>
      <c r="M6" s="274">
        <f t="shared" si="0"/>
        <v>25.501569192493477</v>
      </c>
      <c r="N6" s="274">
        <f t="shared" si="0"/>
        <v>27.031663344043086</v>
      </c>
    </row>
    <row r="7" spans="1:21" ht="21" x14ac:dyDescent="0.35">
      <c r="A7" s="196"/>
      <c r="B7" s="168" t="s">
        <v>90</v>
      </c>
      <c r="C7" s="197">
        <v>6.3E-2</v>
      </c>
      <c r="D7" s="588" t="s">
        <v>531</v>
      </c>
      <c r="E7" s="586">
        <v>1</v>
      </c>
      <c r="F7" s="583">
        <f>E7*(1+$C7)</f>
        <v>1.0629999999999999</v>
      </c>
      <c r="G7" s="583">
        <f t="shared" ref="G7:N7" si="1">F7*(1+$C7)</f>
        <v>1.1299689999999998</v>
      </c>
      <c r="H7" s="583">
        <f t="shared" si="1"/>
        <v>1.2011570469999997</v>
      </c>
      <c r="I7" s="583">
        <f t="shared" si="1"/>
        <v>1.2768299409609996</v>
      </c>
      <c r="J7" s="583">
        <f t="shared" si="1"/>
        <v>1.3572702272415424</v>
      </c>
      <c r="K7" s="583">
        <f t="shared" si="1"/>
        <v>1.4427782515577596</v>
      </c>
      <c r="L7" s="583">
        <f t="shared" si="1"/>
        <v>1.5336732814058984</v>
      </c>
      <c r="M7" s="583">
        <f t="shared" si="1"/>
        <v>1.6302946981344699</v>
      </c>
      <c r="N7" s="583">
        <f t="shared" si="1"/>
        <v>1.7330032641169415</v>
      </c>
    </row>
    <row r="8" spans="1:21" ht="21" x14ac:dyDescent="0.35">
      <c r="A8" s="196"/>
      <c r="B8" s="168" t="s">
        <v>94</v>
      </c>
      <c r="C8" s="197"/>
      <c r="D8" s="588"/>
      <c r="E8" s="587">
        <v>0.1</v>
      </c>
      <c r="F8" s="584">
        <v>0.1</v>
      </c>
      <c r="G8" s="584">
        <v>0.1</v>
      </c>
      <c r="H8" s="584">
        <v>0.1</v>
      </c>
      <c r="I8" s="584">
        <v>0.1</v>
      </c>
      <c r="J8" s="584">
        <v>0.1</v>
      </c>
      <c r="K8" s="584">
        <v>0.1</v>
      </c>
      <c r="L8" s="584">
        <v>0.1</v>
      </c>
      <c r="M8" s="584">
        <v>0.1</v>
      </c>
      <c r="N8" s="652">
        <v>0.1</v>
      </c>
      <c r="O8" s="3"/>
      <c r="P8" s="3"/>
      <c r="Q8" s="3"/>
      <c r="R8" s="3"/>
      <c r="S8" s="3"/>
      <c r="T8" s="3"/>
      <c r="U8" s="3"/>
    </row>
    <row r="9" spans="1:21" ht="21" x14ac:dyDescent="0.35">
      <c r="A9" s="196"/>
      <c r="B9" s="168" t="s">
        <v>91</v>
      </c>
      <c r="C9" s="747">
        <v>0.28000000000000003</v>
      </c>
      <c r="D9" s="199"/>
      <c r="E9" s="198"/>
    </row>
    <row r="10" spans="1:21" ht="21" x14ac:dyDescent="0.35">
      <c r="A10" s="196"/>
      <c r="B10" s="168" t="s">
        <v>145</v>
      </c>
      <c r="C10" s="200">
        <v>0</v>
      </c>
      <c r="D10" s="198"/>
      <c r="E10" s="198"/>
    </row>
    <row r="11" spans="1:21" ht="21" x14ac:dyDescent="0.35">
      <c r="A11" s="196"/>
      <c r="B11" s="168" t="s">
        <v>64</v>
      </c>
      <c r="C11" s="200">
        <v>0.14000000000000001</v>
      </c>
      <c r="D11" s="3" t="s">
        <v>274</v>
      </c>
      <c r="E11" s="199"/>
    </row>
    <row r="12" spans="1:21" ht="21" x14ac:dyDescent="0.35">
      <c r="A12" s="196"/>
    </row>
    <row r="13" spans="1:21" s="75" customFormat="1" ht="21" x14ac:dyDescent="0.35">
      <c r="A13" s="195"/>
      <c r="B13" s="195" t="s">
        <v>78</v>
      </c>
    </row>
    <row r="14" spans="1:21" s="75" customFormat="1" ht="21" hidden="1" x14ac:dyDescent="0.35">
      <c r="A14" s="195"/>
      <c r="B14" s="168" t="s">
        <v>561</v>
      </c>
      <c r="C14" s="202">
        <v>1</v>
      </c>
    </row>
    <row r="15" spans="1:21" ht="21" customHeight="1" x14ac:dyDescent="0.35">
      <c r="A15" s="196"/>
      <c r="B15" s="168" t="s">
        <v>698</v>
      </c>
      <c r="C15" s="202">
        <v>0.9</v>
      </c>
      <c r="D15" s="23"/>
      <c r="E15" s="23"/>
      <c r="F15" s="204"/>
      <c r="G15" s="204"/>
      <c r="H15" s="204"/>
      <c r="I15" s="204"/>
      <c r="J15" s="204"/>
      <c r="K15" s="204"/>
      <c r="L15" s="204"/>
      <c r="M15" s="204"/>
      <c r="N15" s="204"/>
    </row>
    <row r="16" spans="1:21" ht="21" hidden="1" customHeight="1" x14ac:dyDescent="0.35">
      <c r="A16" s="196"/>
      <c r="B16" s="168" t="s">
        <v>536</v>
      </c>
      <c r="C16" s="202">
        <v>0.46</v>
      </c>
      <c r="D16" s="23"/>
      <c r="E16" s="23"/>
      <c r="F16" s="204"/>
      <c r="G16" s="204"/>
      <c r="H16" s="204"/>
      <c r="I16" s="204"/>
      <c r="J16" s="204"/>
      <c r="K16" s="204"/>
      <c r="L16" s="204"/>
      <c r="M16" s="204"/>
      <c r="N16" s="204"/>
    </row>
    <row r="17" spans="1:19" ht="21" customHeight="1" x14ac:dyDescent="0.35">
      <c r="A17" s="196"/>
      <c r="B17" s="168" t="s">
        <v>725</v>
      </c>
      <c r="C17" s="748">
        <v>1.3</v>
      </c>
      <c r="D17" s="23"/>
      <c r="E17" s="23"/>
      <c r="F17" s="204"/>
      <c r="G17" s="204"/>
      <c r="H17" s="204"/>
      <c r="I17" s="204"/>
      <c r="J17" s="204"/>
      <c r="K17" s="204"/>
      <c r="L17" s="204"/>
      <c r="M17" s="204"/>
      <c r="N17" s="204"/>
    </row>
    <row r="18" spans="1:19" ht="21" customHeight="1" x14ac:dyDescent="0.35">
      <c r="A18" s="196"/>
      <c r="B18" s="168" t="s">
        <v>726</v>
      </c>
      <c r="C18" s="748">
        <v>1.6</v>
      </c>
      <c r="D18" s="23"/>
      <c r="E18" s="23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9" ht="12.75" customHeight="1" x14ac:dyDescent="0.35">
      <c r="A19" s="196"/>
      <c r="B19" s="3"/>
      <c r="C19" s="23"/>
      <c r="D19" s="3"/>
      <c r="E19" s="3"/>
      <c r="F19" s="19"/>
      <c r="G19" s="19"/>
      <c r="H19" s="19"/>
      <c r="I19" s="19"/>
      <c r="J19" s="19"/>
      <c r="K19" s="19"/>
      <c r="L19" s="19"/>
      <c r="M19" s="19"/>
      <c r="N19" s="19"/>
    </row>
    <row r="20" spans="1:19" s="75" customFormat="1" ht="21" x14ac:dyDescent="0.35">
      <c r="A20" s="195"/>
      <c r="B20" s="195" t="s">
        <v>82</v>
      </c>
    </row>
    <row r="21" spans="1:19" ht="21" x14ac:dyDescent="0.35">
      <c r="A21" s="196"/>
      <c r="B21" s="5" t="s">
        <v>76</v>
      </c>
      <c r="F21" s="4"/>
      <c r="G21" s="4"/>
      <c r="H21" s="4"/>
      <c r="I21" s="4"/>
      <c r="J21" s="4"/>
      <c r="K21" s="4"/>
      <c r="L21" s="4"/>
      <c r="M21" s="4"/>
      <c r="N21" s="4"/>
    </row>
    <row r="22" spans="1:19" ht="21" x14ac:dyDescent="0.35">
      <c r="A22" s="196"/>
      <c r="B22" s="653" t="s">
        <v>708</v>
      </c>
      <c r="C22" s="202">
        <v>1</v>
      </c>
      <c r="D22" s="352"/>
      <c r="E22" s="395">
        <f>$C22</f>
        <v>1</v>
      </c>
      <c r="F22" s="395">
        <f t="shared" ref="F22:N23" si="2">$C22</f>
        <v>1</v>
      </c>
      <c r="G22" s="395">
        <f t="shared" si="2"/>
        <v>1</v>
      </c>
      <c r="H22" s="395">
        <f t="shared" si="2"/>
        <v>1</v>
      </c>
      <c r="I22" s="395">
        <f t="shared" si="2"/>
        <v>1</v>
      </c>
      <c r="J22" s="395">
        <f t="shared" si="2"/>
        <v>1</v>
      </c>
      <c r="K22" s="395">
        <f t="shared" si="2"/>
        <v>1</v>
      </c>
      <c r="L22" s="395">
        <f t="shared" si="2"/>
        <v>1</v>
      </c>
      <c r="M22" s="395">
        <f t="shared" si="2"/>
        <v>1</v>
      </c>
      <c r="N22" s="395">
        <f t="shared" si="2"/>
        <v>1</v>
      </c>
    </row>
    <row r="23" spans="1:19" ht="21" x14ac:dyDescent="0.35">
      <c r="A23" s="196"/>
      <c r="B23" s="653" t="s">
        <v>699</v>
      </c>
      <c r="C23" s="202">
        <v>0</v>
      </c>
      <c r="D23" s="352"/>
      <c r="E23" s="395">
        <f>$C23</f>
        <v>0</v>
      </c>
      <c r="F23" s="395">
        <f t="shared" si="2"/>
        <v>0</v>
      </c>
      <c r="G23" s="395">
        <f t="shared" si="2"/>
        <v>0</v>
      </c>
      <c r="H23" s="395">
        <f t="shared" si="2"/>
        <v>0</v>
      </c>
      <c r="I23" s="395">
        <f t="shared" si="2"/>
        <v>0</v>
      </c>
      <c r="J23" s="395">
        <f t="shared" si="2"/>
        <v>0</v>
      </c>
      <c r="K23" s="395">
        <f t="shared" si="2"/>
        <v>0</v>
      </c>
      <c r="L23" s="395">
        <f t="shared" si="2"/>
        <v>0</v>
      </c>
      <c r="M23" s="395">
        <f t="shared" si="2"/>
        <v>0</v>
      </c>
      <c r="N23" s="395">
        <f t="shared" si="2"/>
        <v>0</v>
      </c>
    </row>
    <row r="24" spans="1:19" ht="21" x14ac:dyDescent="0.35">
      <c r="A24" s="196"/>
      <c r="B24" s="653" t="s">
        <v>585</v>
      </c>
      <c r="C24" s="202">
        <v>0</v>
      </c>
      <c r="D24" s="105"/>
      <c r="E24" s="395">
        <f t="shared" ref="E24:N25" si="3">$C24</f>
        <v>0</v>
      </c>
      <c r="F24" s="395">
        <f t="shared" si="3"/>
        <v>0</v>
      </c>
      <c r="G24" s="395">
        <f t="shared" si="3"/>
        <v>0</v>
      </c>
      <c r="H24" s="395">
        <f t="shared" si="3"/>
        <v>0</v>
      </c>
      <c r="I24" s="395">
        <f t="shared" si="3"/>
        <v>0</v>
      </c>
      <c r="J24" s="395">
        <f t="shared" si="3"/>
        <v>0</v>
      </c>
      <c r="K24" s="395">
        <f t="shared" si="3"/>
        <v>0</v>
      </c>
      <c r="L24" s="395">
        <f t="shared" si="3"/>
        <v>0</v>
      </c>
      <c r="M24" s="395">
        <f t="shared" si="3"/>
        <v>0</v>
      </c>
      <c r="N24" s="395">
        <f t="shared" si="3"/>
        <v>0</v>
      </c>
    </row>
    <row r="25" spans="1:19" ht="21" x14ac:dyDescent="0.35">
      <c r="A25" s="196"/>
      <c r="B25" s="653" t="s">
        <v>537</v>
      </c>
      <c r="C25" s="202">
        <v>0</v>
      </c>
      <c r="D25" s="352"/>
      <c r="E25" s="395">
        <f>$C25</f>
        <v>0</v>
      </c>
      <c r="F25" s="395">
        <f t="shared" si="3"/>
        <v>0</v>
      </c>
      <c r="G25" s="395">
        <f t="shared" si="3"/>
        <v>0</v>
      </c>
      <c r="H25" s="395">
        <f t="shared" si="3"/>
        <v>0</v>
      </c>
      <c r="I25" s="395">
        <f t="shared" si="3"/>
        <v>0</v>
      </c>
      <c r="J25" s="395">
        <f t="shared" si="3"/>
        <v>0</v>
      </c>
      <c r="K25" s="395">
        <f t="shared" si="3"/>
        <v>0</v>
      </c>
      <c r="L25" s="395">
        <f t="shared" si="3"/>
        <v>0</v>
      </c>
      <c r="M25" s="395">
        <f t="shared" si="3"/>
        <v>0</v>
      </c>
      <c r="N25" s="395">
        <f t="shared" si="3"/>
        <v>0</v>
      </c>
    </row>
    <row r="26" spans="1:19" ht="21" x14ac:dyDescent="0.35">
      <c r="A26" s="196"/>
      <c r="B26" s="5"/>
      <c r="F26" s="4"/>
      <c r="G26" s="4"/>
      <c r="H26" s="4"/>
      <c r="I26" s="4"/>
      <c r="J26" s="4"/>
      <c r="K26" s="4"/>
      <c r="L26" s="4"/>
      <c r="M26" s="4"/>
      <c r="N26" s="4"/>
    </row>
    <row r="27" spans="1:19" ht="21" hidden="1" x14ac:dyDescent="0.35">
      <c r="A27" s="196"/>
      <c r="B27" s="168" t="s">
        <v>562</v>
      </c>
      <c r="C27" s="202">
        <v>0</v>
      </c>
      <c r="D27" s="352"/>
      <c r="E27" s="395">
        <f>$C27</f>
        <v>0</v>
      </c>
      <c r="F27" s="395">
        <f t="shared" ref="F27:N27" si="4">$C27</f>
        <v>0</v>
      </c>
      <c r="G27" s="395">
        <f t="shared" si="4"/>
        <v>0</v>
      </c>
      <c r="H27" s="395">
        <f t="shared" si="4"/>
        <v>0</v>
      </c>
      <c r="I27" s="395">
        <f t="shared" si="4"/>
        <v>0</v>
      </c>
      <c r="J27" s="395">
        <f t="shared" si="4"/>
        <v>0</v>
      </c>
      <c r="K27" s="395">
        <f t="shared" si="4"/>
        <v>0</v>
      </c>
      <c r="L27" s="395">
        <f t="shared" si="4"/>
        <v>0</v>
      </c>
      <c r="M27" s="395">
        <f t="shared" si="4"/>
        <v>0</v>
      </c>
      <c r="N27" s="395">
        <f t="shared" si="4"/>
        <v>0</v>
      </c>
    </row>
    <row r="28" spans="1:19" ht="21" x14ac:dyDescent="0.35">
      <c r="A28" s="196"/>
      <c r="B28" s="168" t="s">
        <v>586</v>
      </c>
      <c r="C28" s="202">
        <v>1</v>
      </c>
      <c r="D28" s="352"/>
      <c r="E28" s="395">
        <f t="shared" ref="E28:N29" si="5">$C28</f>
        <v>1</v>
      </c>
      <c r="F28" s="395">
        <f t="shared" si="5"/>
        <v>1</v>
      </c>
      <c r="G28" s="395">
        <f t="shared" si="5"/>
        <v>1</v>
      </c>
      <c r="H28" s="395">
        <f t="shared" si="5"/>
        <v>1</v>
      </c>
      <c r="I28" s="395">
        <f t="shared" si="5"/>
        <v>1</v>
      </c>
      <c r="J28" s="395">
        <f t="shared" si="5"/>
        <v>1</v>
      </c>
      <c r="K28" s="395">
        <f t="shared" si="5"/>
        <v>1</v>
      </c>
      <c r="L28" s="395">
        <f t="shared" si="5"/>
        <v>1</v>
      </c>
      <c r="M28" s="395">
        <f t="shared" si="5"/>
        <v>1</v>
      </c>
      <c r="N28" s="395">
        <f t="shared" si="5"/>
        <v>1</v>
      </c>
    </row>
    <row r="29" spans="1:19" ht="21" x14ac:dyDescent="0.35">
      <c r="A29" s="196"/>
      <c r="B29" s="168" t="s">
        <v>587</v>
      </c>
      <c r="C29" s="202">
        <v>0</v>
      </c>
      <c r="D29" s="105"/>
      <c r="E29" s="395">
        <f t="shared" si="5"/>
        <v>0</v>
      </c>
      <c r="F29" s="395">
        <f t="shared" si="5"/>
        <v>0</v>
      </c>
      <c r="G29" s="395">
        <f t="shared" si="5"/>
        <v>0</v>
      </c>
      <c r="H29" s="395">
        <f t="shared" si="5"/>
        <v>0</v>
      </c>
      <c r="I29" s="395">
        <f t="shared" si="5"/>
        <v>0</v>
      </c>
      <c r="J29" s="395">
        <f t="shared" si="5"/>
        <v>0</v>
      </c>
      <c r="K29" s="395">
        <f t="shared" si="5"/>
        <v>0</v>
      </c>
      <c r="L29" s="395">
        <f t="shared" si="5"/>
        <v>0</v>
      </c>
      <c r="M29" s="395">
        <f t="shared" si="5"/>
        <v>0</v>
      </c>
      <c r="N29" s="395">
        <f t="shared" si="5"/>
        <v>0</v>
      </c>
    </row>
    <row r="30" spans="1:19" ht="21" x14ac:dyDescent="0.35">
      <c r="A30" s="196"/>
      <c r="B30" s="5" t="s">
        <v>67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ht="21" hidden="1" x14ac:dyDescent="0.35">
      <c r="A31" s="196"/>
      <c r="B31" s="168" t="s">
        <v>563</v>
      </c>
      <c r="C31" s="654">
        <v>55</v>
      </c>
      <c r="D31" s="105"/>
      <c r="E31" s="274">
        <f t="shared" ref="E31:N31" si="6">$C$31*E7</f>
        <v>55</v>
      </c>
      <c r="F31" s="274">
        <f t="shared" si="6"/>
        <v>58.464999999999996</v>
      </c>
      <c r="G31" s="274">
        <f t="shared" si="6"/>
        <v>62.14829499999999</v>
      </c>
      <c r="H31" s="274">
        <f t="shared" si="6"/>
        <v>66.063637584999981</v>
      </c>
      <c r="I31" s="274">
        <f t="shared" si="6"/>
        <v>70.225646752854971</v>
      </c>
      <c r="J31" s="274">
        <f t="shared" si="6"/>
        <v>74.649862498284833</v>
      </c>
      <c r="K31" s="274">
        <f t="shared" si="6"/>
        <v>79.352803835676781</v>
      </c>
      <c r="L31" s="274">
        <f t="shared" si="6"/>
        <v>84.352030477324419</v>
      </c>
      <c r="M31" s="274">
        <f t="shared" si="6"/>
        <v>89.666208397395849</v>
      </c>
      <c r="N31" s="274">
        <f t="shared" si="6"/>
        <v>95.315179526431777</v>
      </c>
      <c r="O31" s="655">
        <f>N31*O6</f>
        <v>0</v>
      </c>
      <c r="P31" s="655">
        <f>O31*P6</f>
        <v>0</v>
      </c>
      <c r="Q31" s="655">
        <f>P31*Q6</f>
        <v>0</v>
      </c>
      <c r="R31" s="655">
        <f>Q31*R6</f>
        <v>0</v>
      </c>
      <c r="S31" s="655">
        <f>R31*S6</f>
        <v>0</v>
      </c>
    </row>
    <row r="32" spans="1:19" ht="21" x14ac:dyDescent="0.35">
      <c r="A32" s="196"/>
      <c r="B32" s="656" t="s">
        <v>700</v>
      </c>
      <c r="C32" s="662">
        <v>80</v>
      </c>
      <c r="D32" s="536"/>
      <c r="E32" s="681">
        <f t="shared" ref="E32:N32" si="7">$C32*E7</f>
        <v>80</v>
      </c>
      <c r="F32" s="681">
        <f t="shared" si="7"/>
        <v>85.039999999999992</v>
      </c>
      <c r="G32" s="681">
        <f t="shared" si="7"/>
        <v>90.397519999999986</v>
      </c>
      <c r="H32" s="681">
        <f t="shared" si="7"/>
        <v>96.092563759999976</v>
      </c>
      <c r="I32" s="681">
        <f t="shared" si="7"/>
        <v>102.14639527687996</v>
      </c>
      <c r="J32" s="681">
        <f t="shared" si="7"/>
        <v>108.5816181793234</v>
      </c>
      <c r="K32" s="681">
        <f t="shared" si="7"/>
        <v>115.42226012462078</v>
      </c>
      <c r="L32" s="681">
        <f t="shared" si="7"/>
        <v>122.69386251247187</v>
      </c>
      <c r="M32" s="681">
        <f t="shared" si="7"/>
        <v>130.4235758507576</v>
      </c>
      <c r="N32" s="681">
        <f t="shared" si="7"/>
        <v>138.64026112935531</v>
      </c>
      <c r="O32" s="657"/>
      <c r="P32" s="657"/>
      <c r="Q32" s="657"/>
      <c r="R32" s="657"/>
      <c r="S32" s="657"/>
    </row>
    <row r="33" spans="1:19" ht="21" x14ac:dyDescent="0.35">
      <c r="A33" s="196"/>
      <c r="B33" s="656" t="s">
        <v>707</v>
      </c>
      <c r="C33" s="654">
        <v>65</v>
      </c>
      <c r="D33" s="105"/>
      <c r="E33" s="274">
        <f t="shared" ref="E33:N33" si="8">$C33*E7</f>
        <v>65</v>
      </c>
      <c r="F33" s="274">
        <f t="shared" si="8"/>
        <v>69.094999999999999</v>
      </c>
      <c r="G33" s="274">
        <f t="shared" si="8"/>
        <v>73.447984999999989</v>
      </c>
      <c r="H33" s="274">
        <f t="shared" si="8"/>
        <v>78.075208054999976</v>
      </c>
      <c r="I33" s="274">
        <f t="shared" si="8"/>
        <v>82.993946162464965</v>
      </c>
      <c r="J33" s="274">
        <f t="shared" si="8"/>
        <v>88.222564770700259</v>
      </c>
      <c r="K33" s="274">
        <f t="shared" si="8"/>
        <v>93.780586351254371</v>
      </c>
      <c r="L33" s="274">
        <f t="shared" si="8"/>
        <v>99.688763291383395</v>
      </c>
      <c r="M33" s="274">
        <f t="shared" si="8"/>
        <v>105.96915537874054</v>
      </c>
      <c r="N33" s="274">
        <f t="shared" si="8"/>
        <v>112.6452121676012</v>
      </c>
      <c r="O33" s="657"/>
      <c r="P33" s="657"/>
      <c r="Q33" s="657"/>
      <c r="R33" s="657"/>
      <c r="S33" s="657"/>
    </row>
    <row r="34" spans="1:19" ht="21" hidden="1" x14ac:dyDescent="0.35">
      <c r="A34" s="196"/>
      <c r="B34" s="656" t="s">
        <v>565</v>
      </c>
      <c r="C34" s="662">
        <v>100</v>
      </c>
      <c r="D34" s="536"/>
      <c r="E34" s="274">
        <f t="shared" ref="E34:N34" si="9">$C$34*E7</f>
        <v>100</v>
      </c>
      <c r="F34" s="274">
        <f t="shared" si="9"/>
        <v>106.3</v>
      </c>
      <c r="G34" s="274">
        <f t="shared" si="9"/>
        <v>112.99689999999998</v>
      </c>
      <c r="H34" s="274">
        <f t="shared" si="9"/>
        <v>120.11570469999997</v>
      </c>
      <c r="I34" s="274">
        <f t="shared" si="9"/>
        <v>127.68299409609996</v>
      </c>
      <c r="J34" s="274">
        <f t="shared" si="9"/>
        <v>135.72702272415424</v>
      </c>
      <c r="K34" s="274">
        <f t="shared" si="9"/>
        <v>144.27782515577596</v>
      </c>
      <c r="L34" s="274">
        <f t="shared" si="9"/>
        <v>153.36732814058985</v>
      </c>
      <c r="M34" s="274">
        <f t="shared" si="9"/>
        <v>163.02946981344698</v>
      </c>
      <c r="N34" s="274">
        <f t="shared" si="9"/>
        <v>173.30032641169416</v>
      </c>
      <c r="O34" s="657"/>
      <c r="P34" s="657"/>
      <c r="Q34" s="657"/>
      <c r="R34" s="657"/>
      <c r="S34" s="657"/>
    </row>
    <row r="35" spans="1:19" ht="21" hidden="1" x14ac:dyDescent="0.35">
      <c r="A35" s="196"/>
      <c r="B35" s="656" t="s">
        <v>566</v>
      </c>
      <c r="C35" s="654">
        <v>120</v>
      </c>
      <c r="D35" s="105"/>
      <c r="E35" s="681">
        <f t="shared" ref="E35:N35" si="10">$C35*E7</f>
        <v>120</v>
      </c>
      <c r="F35" s="681">
        <f t="shared" si="10"/>
        <v>127.55999999999999</v>
      </c>
      <c r="G35" s="681">
        <f t="shared" si="10"/>
        <v>135.59627999999998</v>
      </c>
      <c r="H35" s="681">
        <f t="shared" si="10"/>
        <v>144.13884563999997</v>
      </c>
      <c r="I35" s="681">
        <f t="shared" si="10"/>
        <v>153.21959291531994</v>
      </c>
      <c r="J35" s="681">
        <f t="shared" si="10"/>
        <v>162.87242726898509</v>
      </c>
      <c r="K35" s="681">
        <f t="shared" si="10"/>
        <v>173.13339018693117</v>
      </c>
      <c r="L35" s="681">
        <f t="shared" si="10"/>
        <v>184.0407937687078</v>
      </c>
      <c r="M35" s="681">
        <f t="shared" si="10"/>
        <v>195.63536377613639</v>
      </c>
      <c r="N35" s="681">
        <f t="shared" si="10"/>
        <v>207.96039169403298</v>
      </c>
      <c r="O35" s="657"/>
      <c r="P35" s="657"/>
      <c r="Q35" s="657"/>
      <c r="R35" s="657"/>
      <c r="S35" s="657"/>
    </row>
    <row r="36" spans="1:19" ht="21" hidden="1" x14ac:dyDescent="0.35">
      <c r="A36" s="196"/>
      <c r="B36" s="656" t="s">
        <v>567</v>
      </c>
      <c r="C36" s="662">
        <v>80</v>
      </c>
      <c r="D36" s="536"/>
      <c r="E36" s="274">
        <f t="shared" ref="E36:N36" si="11">$C$36*E7</f>
        <v>80</v>
      </c>
      <c r="F36" s="274">
        <f t="shared" si="11"/>
        <v>85.039999999999992</v>
      </c>
      <c r="G36" s="274">
        <f t="shared" si="11"/>
        <v>90.397519999999986</v>
      </c>
      <c r="H36" s="274">
        <f t="shared" si="11"/>
        <v>96.092563759999976</v>
      </c>
      <c r="I36" s="274">
        <f t="shared" si="11"/>
        <v>102.14639527687996</v>
      </c>
      <c r="J36" s="274">
        <f t="shared" si="11"/>
        <v>108.5816181793234</v>
      </c>
      <c r="K36" s="274">
        <f t="shared" si="11"/>
        <v>115.42226012462078</v>
      </c>
      <c r="L36" s="274">
        <f t="shared" si="11"/>
        <v>122.69386251247187</v>
      </c>
      <c r="M36" s="274">
        <f t="shared" si="11"/>
        <v>130.4235758507576</v>
      </c>
      <c r="N36" s="274">
        <f t="shared" si="11"/>
        <v>138.64026112935531</v>
      </c>
      <c r="O36" s="657"/>
      <c r="P36" s="657"/>
      <c r="Q36" s="657"/>
      <c r="R36" s="657"/>
      <c r="S36" s="657"/>
    </row>
    <row r="37" spans="1:19" ht="21" hidden="1" x14ac:dyDescent="0.35">
      <c r="A37" s="196"/>
      <c r="B37" s="656" t="s">
        <v>568</v>
      </c>
      <c r="C37" s="654">
        <v>85</v>
      </c>
      <c r="D37" s="105"/>
      <c r="E37" s="681">
        <f t="shared" ref="E37:N37" si="12">$C37*E7</f>
        <v>85</v>
      </c>
      <c r="F37" s="681">
        <f t="shared" si="12"/>
        <v>90.35499999999999</v>
      </c>
      <c r="G37" s="681">
        <f t="shared" si="12"/>
        <v>96.047364999999985</v>
      </c>
      <c r="H37" s="681">
        <f t="shared" si="12"/>
        <v>102.09834899499998</v>
      </c>
      <c r="I37" s="681">
        <f t="shared" si="12"/>
        <v>108.53054498168497</v>
      </c>
      <c r="J37" s="681">
        <f t="shared" si="12"/>
        <v>115.36796931553111</v>
      </c>
      <c r="K37" s="681">
        <f t="shared" si="12"/>
        <v>122.63615138240957</v>
      </c>
      <c r="L37" s="681">
        <f t="shared" si="12"/>
        <v>130.36222891950138</v>
      </c>
      <c r="M37" s="681">
        <f t="shared" si="12"/>
        <v>138.57504934142995</v>
      </c>
      <c r="N37" s="681">
        <f t="shared" si="12"/>
        <v>147.30527744994004</v>
      </c>
      <c r="O37" s="657"/>
      <c r="P37" s="657"/>
      <c r="Q37" s="657"/>
      <c r="R37" s="657"/>
      <c r="S37" s="657"/>
    </row>
    <row r="38" spans="1:19" ht="21" hidden="1" x14ac:dyDescent="0.35">
      <c r="A38" s="196"/>
      <c r="B38" s="656" t="s">
        <v>569</v>
      </c>
      <c r="C38" s="662">
        <f>C34*1.2</f>
        <v>120</v>
      </c>
      <c r="D38" s="536"/>
      <c r="E38" s="274">
        <f t="shared" ref="E38:N38" si="13">$C38*E7</f>
        <v>120</v>
      </c>
      <c r="F38" s="274">
        <f t="shared" si="13"/>
        <v>127.55999999999999</v>
      </c>
      <c r="G38" s="274">
        <f t="shared" si="13"/>
        <v>135.59627999999998</v>
      </c>
      <c r="H38" s="274">
        <f t="shared" si="13"/>
        <v>144.13884563999997</v>
      </c>
      <c r="I38" s="274">
        <f t="shared" si="13"/>
        <v>153.21959291531994</v>
      </c>
      <c r="J38" s="274">
        <f t="shared" si="13"/>
        <v>162.87242726898509</v>
      </c>
      <c r="K38" s="274">
        <f t="shared" si="13"/>
        <v>173.13339018693117</v>
      </c>
      <c r="L38" s="274">
        <f t="shared" si="13"/>
        <v>184.0407937687078</v>
      </c>
      <c r="M38" s="274">
        <f t="shared" si="13"/>
        <v>195.63536377613639</v>
      </c>
      <c r="N38" s="274">
        <f t="shared" si="13"/>
        <v>207.96039169403298</v>
      </c>
      <c r="O38" s="657"/>
      <c r="P38" s="657"/>
      <c r="Q38" s="657"/>
      <c r="R38" s="657"/>
      <c r="S38" s="657"/>
    </row>
    <row r="39" spans="1:19" ht="21" hidden="1" x14ac:dyDescent="0.35">
      <c r="A39" s="196"/>
      <c r="B39" s="656" t="s">
        <v>570</v>
      </c>
      <c r="C39" s="654">
        <v>150</v>
      </c>
      <c r="D39" s="105"/>
      <c r="E39" s="274">
        <f t="shared" ref="E39:N39" si="14">$C$39*E7</f>
        <v>150</v>
      </c>
      <c r="F39" s="274">
        <f t="shared" si="14"/>
        <v>159.44999999999999</v>
      </c>
      <c r="G39" s="274">
        <f t="shared" si="14"/>
        <v>169.49534999999997</v>
      </c>
      <c r="H39" s="274">
        <f t="shared" si="14"/>
        <v>180.17355704999994</v>
      </c>
      <c r="I39" s="274">
        <f t="shared" si="14"/>
        <v>191.52449114414992</v>
      </c>
      <c r="J39" s="274">
        <f t="shared" si="14"/>
        <v>203.59053408623137</v>
      </c>
      <c r="K39" s="274">
        <f t="shared" si="14"/>
        <v>216.41673773366395</v>
      </c>
      <c r="L39" s="274">
        <f t="shared" si="14"/>
        <v>230.05099221088477</v>
      </c>
      <c r="M39" s="274">
        <f t="shared" si="14"/>
        <v>244.54420472017048</v>
      </c>
      <c r="N39" s="274">
        <f t="shared" si="14"/>
        <v>259.95048961754122</v>
      </c>
      <c r="O39" s="657"/>
      <c r="P39" s="657"/>
      <c r="Q39" s="657"/>
      <c r="R39" s="657"/>
      <c r="S39" s="657"/>
    </row>
    <row r="40" spans="1:19" ht="21" x14ac:dyDescent="0.35">
      <c r="A40" s="196"/>
      <c r="B40" s="658"/>
      <c r="C40" s="659"/>
      <c r="D40" s="660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</row>
    <row r="41" spans="1:19" ht="21" x14ac:dyDescent="0.35">
      <c r="A41" s="196"/>
      <c r="B41" s="5" t="s">
        <v>535</v>
      </c>
      <c r="C41" s="269"/>
      <c r="D41" s="126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</row>
    <row r="42" spans="1:19" ht="21" hidden="1" x14ac:dyDescent="0.35">
      <c r="A42" s="196"/>
      <c r="B42" s="168" t="s">
        <v>571</v>
      </c>
      <c r="C42" s="669">
        <v>100</v>
      </c>
      <c r="D42" s="126"/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</row>
    <row r="43" spans="1:19" ht="21" x14ac:dyDescent="0.35">
      <c r="A43" s="196"/>
      <c r="B43" s="168" t="s">
        <v>564</v>
      </c>
      <c r="C43" s="669">
        <v>3000</v>
      </c>
      <c r="D43" s="126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</row>
    <row r="44" spans="1:19" ht="21" hidden="1" x14ac:dyDescent="0.35">
      <c r="A44" s="196"/>
      <c r="B44" s="168" t="s">
        <v>301</v>
      </c>
      <c r="C44" s="668">
        <v>21000</v>
      </c>
      <c r="D44" s="126"/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</row>
    <row r="45" spans="1:19" ht="21" x14ac:dyDescent="0.35">
      <c r="A45" s="196"/>
      <c r="B45" s="168" t="s">
        <v>552</v>
      </c>
      <c r="C45" s="673">
        <v>10000</v>
      </c>
      <c r="D45" s="126"/>
      <c r="E45" s="657"/>
      <c r="F45" s="657"/>
      <c r="G45" s="657"/>
      <c r="H45" s="657"/>
      <c r="I45" s="657"/>
      <c r="J45" s="657"/>
      <c r="K45" s="657"/>
      <c r="L45" s="657"/>
      <c r="M45" s="657"/>
      <c r="N45" s="657"/>
      <c r="O45" s="657"/>
      <c r="P45" s="657"/>
      <c r="Q45" s="657"/>
      <c r="R45" s="657"/>
      <c r="S45" s="657"/>
    </row>
    <row r="46" spans="1:19" ht="21" x14ac:dyDescent="0.35">
      <c r="A46" s="196"/>
      <c r="B46" s="168" t="s">
        <v>553</v>
      </c>
      <c r="C46" s="202">
        <v>0.05</v>
      </c>
    </row>
    <row r="47" spans="1:19" ht="21" hidden="1" x14ac:dyDescent="0.35">
      <c r="A47" s="196"/>
      <c r="B47" s="168" t="s">
        <v>572</v>
      </c>
      <c r="C47" s="661">
        <f>6300*C5</f>
        <v>90090</v>
      </c>
    </row>
    <row r="48" spans="1:19" ht="21" hidden="1" x14ac:dyDescent="0.35">
      <c r="A48" s="196"/>
      <c r="B48" s="168" t="s">
        <v>573</v>
      </c>
      <c r="C48" s="749">
        <v>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886" customFormat="1" ht="21" x14ac:dyDescent="0.35">
      <c r="A49" s="890"/>
      <c r="B49" s="168"/>
      <c r="C49" s="749"/>
      <c r="D49" s="887"/>
      <c r="E49" s="887"/>
      <c r="F49" s="887"/>
      <c r="G49" s="887"/>
      <c r="H49" s="887"/>
      <c r="I49" s="887"/>
      <c r="J49" s="887"/>
      <c r="K49" s="887"/>
      <c r="L49" s="887"/>
      <c r="M49" s="887"/>
      <c r="N49" s="887"/>
    </row>
    <row r="50" spans="1:14" ht="21" x14ac:dyDescent="0.35">
      <c r="A50" s="196"/>
      <c r="B50" s="168" t="s">
        <v>560</v>
      </c>
      <c r="C50" s="749">
        <v>2.5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21" x14ac:dyDescent="0.35">
      <c r="A51" s="196"/>
      <c r="B51" s="168" t="s">
        <v>1377</v>
      </c>
      <c r="C51" s="749">
        <v>2.5</v>
      </c>
      <c r="D51" s="832"/>
      <c r="E51" s="832"/>
      <c r="F51" s="832"/>
      <c r="G51" s="832"/>
      <c r="H51" s="832"/>
      <c r="I51" s="832"/>
      <c r="J51" s="832"/>
      <c r="K51" s="832"/>
      <c r="L51" s="832"/>
      <c r="M51" s="832"/>
      <c r="N51" s="832"/>
    </row>
    <row r="52" spans="1:14" ht="21" x14ac:dyDescent="0.35">
      <c r="A52" s="196"/>
      <c r="B52" s="168" t="s">
        <v>709</v>
      </c>
      <c r="C52" s="749">
        <v>24.5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886" customFormat="1" ht="21" x14ac:dyDescent="0.35">
      <c r="A53" s="890"/>
      <c r="B53" s="168" t="s">
        <v>1471</v>
      </c>
      <c r="C53" s="749">
        <v>7.0000000000000007E-2</v>
      </c>
      <c r="D53" s="887"/>
      <c r="E53" s="887"/>
      <c r="F53" s="887"/>
      <c r="G53" s="887"/>
      <c r="H53" s="887"/>
      <c r="I53" s="887"/>
      <c r="J53" s="887"/>
      <c r="K53" s="887"/>
      <c r="L53" s="887"/>
      <c r="M53" s="887"/>
      <c r="N53" s="887"/>
    </row>
    <row r="54" spans="1:14" s="886" customFormat="1" ht="21" x14ac:dyDescent="0.35">
      <c r="A54" s="890"/>
      <c r="B54" s="168" t="s">
        <v>1472</v>
      </c>
      <c r="C54" s="1322">
        <f>C57*250</f>
        <v>126827.54887599109</v>
      </c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</row>
    <row r="55" spans="1:14" s="886" customFormat="1" ht="21" x14ac:dyDescent="0.35">
      <c r="A55" s="890"/>
      <c r="B55" s="663"/>
      <c r="C55" s="664"/>
      <c r="D55" s="887"/>
      <c r="E55" s="887"/>
      <c r="F55" s="887"/>
      <c r="G55" s="887"/>
      <c r="H55" s="887"/>
      <c r="I55" s="887"/>
      <c r="J55" s="887"/>
      <c r="K55" s="887"/>
      <c r="L55" s="887"/>
      <c r="M55" s="887"/>
      <c r="N55" s="887"/>
    </row>
    <row r="56" spans="1:14" ht="21" x14ac:dyDescent="0.35">
      <c r="A56" s="196"/>
      <c r="B56" s="168" t="s">
        <v>544</v>
      </c>
      <c r="C56" s="665">
        <v>82000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21" x14ac:dyDescent="0.35">
      <c r="A57" s="196"/>
      <c r="B57" s="168" t="s">
        <v>545</v>
      </c>
      <c r="C57" s="665">
        <f>SUM(Production!CW7:DH7)/1000</f>
        <v>507.31019550396439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21" hidden="1" x14ac:dyDescent="0.35">
      <c r="A58" s="196"/>
      <c r="B58" s="168" t="s">
        <v>548</v>
      </c>
      <c r="C58" s="665">
        <v>1800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21" hidden="1" x14ac:dyDescent="0.35">
      <c r="A59" s="196"/>
      <c r="B59" s="168" t="s">
        <v>574</v>
      </c>
      <c r="C59" s="665">
        <v>20000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1" hidden="1" x14ac:dyDescent="0.35">
      <c r="A60" s="19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1" x14ac:dyDescent="0.35">
      <c r="A61" s="19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mergeCells count="1">
    <mergeCell ref="E3:N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119"/>
  <sheetViews>
    <sheetView topLeftCell="E13" zoomScale="66" zoomScaleNormal="66" zoomScalePageLayoutView="85" workbookViewId="0">
      <selection activeCell="T27" sqref="T27"/>
    </sheetView>
  </sheetViews>
  <sheetFormatPr defaultColWidth="8.85546875" defaultRowHeight="12.75" x14ac:dyDescent="0.2"/>
  <cols>
    <col min="1" max="1" width="30" style="2" customWidth="1"/>
    <col min="2" max="2" width="14.7109375" style="2" customWidth="1"/>
    <col min="3" max="3" width="14" style="2" bestFit="1" customWidth="1"/>
    <col min="4" max="4" width="11.42578125" style="2" bestFit="1" customWidth="1"/>
    <col min="5" max="5" width="8.85546875" style="2"/>
    <col min="6" max="9" width="11.5703125" style="2" bestFit="1" customWidth="1"/>
    <col min="10" max="11" width="10.5703125" style="2" bestFit="1" customWidth="1"/>
    <col min="12" max="12" width="11.85546875" style="2" customWidth="1"/>
    <col min="13" max="13" width="11.28515625" style="2" customWidth="1"/>
    <col min="14" max="14" width="10.85546875" style="2" customWidth="1"/>
    <col min="15" max="16" width="12.7109375" style="2" customWidth="1"/>
    <col min="17" max="17" width="2.28515625" style="2" customWidth="1"/>
    <col min="18" max="18" width="32" style="2" bestFit="1" customWidth="1"/>
    <col min="19" max="19" width="18.85546875" style="2" customWidth="1"/>
    <col min="20" max="20" width="15.140625" style="2" customWidth="1"/>
    <col min="21" max="16384" width="8.85546875" style="2"/>
  </cols>
  <sheetData>
    <row r="1" spans="1:24" ht="12.75" customHeight="1" x14ac:dyDescent="0.2">
      <c r="A1" s="1345" t="s">
        <v>185</v>
      </c>
      <c r="B1" s="1345"/>
      <c r="C1" s="13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4" ht="12.75" customHeight="1" x14ac:dyDescent="0.2">
      <c r="A2" s="1345"/>
      <c r="B2" s="1345"/>
      <c r="C2" s="139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4" ht="12.75" customHeight="1" x14ac:dyDescent="0.2">
      <c r="A3" s="1345"/>
      <c r="B3" s="1345"/>
      <c r="C3" s="139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4" ht="18.75" x14ac:dyDescent="0.3">
      <c r="A4" s="175" t="s">
        <v>20</v>
      </c>
      <c r="B4" s="26"/>
      <c r="C4" s="26"/>
      <c r="D4" s="26"/>
      <c r="E4" s="25"/>
    </row>
    <row r="5" spans="1:24" x14ac:dyDescent="0.2">
      <c r="A5" s="33"/>
      <c r="B5" s="26"/>
      <c r="C5" s="26"/>
      <c r="D5" s="26"/>
      <c r="E5" s="25"/>
    </row>
    <row r="6" spans="1:24" ht="18.75" x14ac:dyDescent="0.3">
      <c r="A6" s="175" t="s">
        <v>21</v>
      </c>
      <c r="B6" s="26"/>
      <c r="C6" s="26"/>
      <c r="D6" s="26"/>
      <c r="E6" s="25"/>
    </row>
    <row r="7" spans="1:24" x14ac:dyDescent="0.2">
      <c r="A7" s="33"/>
      <c r="B7" s="26"/>
      <c r="C7" s="26"/>
      <c r="D7" s="26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3"/>
    </row>
    <row r="8" spans="1:24" ht="15" x14ac:dyDescent="0.25">
      <c r="A8" s="174" t="s">
        <v>59</v>
      </c>
      <c r="B8" s="176" t="s">
        <v>60</v>
      </c>
      <c r="C8" s="177" t="s">
        <v>22</v>
      </c>
      <c r="D8" s="176" t="s">
        <v>60</v>
      </c>
      <c r="E8" s="25"/>
      <c r="F8" s="34"/>
      <c r="G8" s="34"/>
      <c r="H8" s="34"/>
      <c r="I8" s="34"/>
      <c r="J8" s="34"/>
      <c r="K8" s="34"/>
      <c r="L8" s="34"/>
      <c r="M8" s="34"/>
      <c r="N8" s="34"/>
      <c r="O8" s="34"/>
      <c r="P8" s="3"/>
      <c r="Q8" s="3"/>
      <c r="R8" s="82"/>
      <c r="S8" s="3"/>
      <c r="T8" s="19"/>
      <c r="U8" s="56"/>
      <c r="V8" s="183"/>
      <c r="W8" s="184"/>
      <c r="X8" s="56"/>
    </row>
    <row r="9" spans="1:24" ht="3" customHeight="1" x14ac:dyDescent="0.2">
      <c r="A9" s="35"/>
      <c r="B9" s="36"/>
      <c r="C9" s="36"/>
      <c r="D9" s="36"/>
      <c r="E9" s="26"/>
      <c r="F9" s="34"/>
      <c r="G9" s="34"/>
      <c r="H9" s="34"/>
      <c r="I9" s="34"/>
      <c r="J9" s="34"/>
      <c r="K9" s="34"/>
      <c r="L9" s="34"/>
      <c r="M9" s="34"/>
      <c r="N9" s="34"/>
      <c r="O9" s="34"/>
      <c r="P9" s="3"/>
      <c r="Q9" s="3"/>
      <c r="R9" s="82"/>
      <c r="S9" s="3"/>
      <c r="T9" s="19"/>
      <c r="U9" s="56"/>
      <c r="V9" s="183"/>
      <c r="W9" s="184"/>
      <c r="X9" s="56"/>
    </row>
    <row r="10" spans="1:24" ht="20.100000000000001" customHeight="1" x14ac:dyDescent="0.2">
      <c r="A10" s="169" t="s">
        <v>65</v>
      </c>
      <c r="B10" s="170">
        <v>20</v>
      </c>
      <c r="C10" s="105"/>
      <c r="D10" s="171" t="s">
        <v>74</v>
      </c>
      <c r="E10" s="126"/>
      <c r="F10" s="169" t="s">
        <v>68</v>
      </c>
      <c r="G10" s="170"/>
      <c r="H10" s="105">
        <v>0</v>
      </c>
      <c r="I10" s="26"/>
      <c r="J10" s="1347" t="s">
        <v>10</v>
      </c>
      <c r="K10" s="1348"/>
      <c r="L10" s="1349"/>
      <c r="M10" s="26"/>
      <c r="N10" s="1347" t="s">
        <v>11</v>
      </c>
      <c r="O10" s="1348"/>
      <c r="P10" s="1349"/>
      <c r="R10" s="189"/>
      <c r="S10" s="189"/>
      <c r="U10" s="29"/>
      <c r="V10" s="29"/>
      <c r="W10" s="29"/>
      <c r="X10" s="29"/>
    </row>
    <row r="11" spans="1:24" ht="20.100000000000001" customHeight="1" x14ac:dyDescent="0.2">
      <c r="A11" s="169" t="s">
        <v>61</v>
      </c>
      <c r="B11" s="170">
        <v>4</v>
      </c>
      <c r="C11" s="105"/>
      <c r="D11" s="171" t="s">
        <v>272</v>
      </c>
      <c r="E11" s="126"/>
      <c r="F11" s="169" t="s">
        <v>12</v>
      </c>
      <c r="G11" s="170"/>
      <c r="H11" s="105">
        <v>0</v>
      </c>
      <c r="I11" s="26"/>
      <c r="J11" s="173">
        <v>0</v>
      </c>
      <c r="K11" s="172" t="s">
        <v>13</v>
      </c>
      <c r="L11" s="105"/>
      <c r="M11" s="26"/>
      <c r="N11" s="169" t="s">
        <v>14</v>
      </c>
      <c r="O11" s="170"/>
      <c r="P11" s="105"/>
      <c r="R11" s="189"/>
      <c r="S11" s="189"/>
      <c r="U11" s="29"/>
      <c r="V11" s="29"/>
      <c r="W11" s="29"/>
      <c r="X11" s="29"/>
    </row>
    <row r="12" spans="1:24" ht="20.100000000000001" customHeight="1" x14ac:dyDescent="0.2">
      <c r="A12" s="169" t="s">
        <v>62</v>
      </c>
      <c r="B12" s="170">
        <v>5</v>
      </c>
      <c r="C12" s="105"/>
      <c r="D12" s="171" t="s">
        <v>98</v>
      </c>
      <c r="E12" s="126"/>
      <c r="F12" s="169" t="s">
        <v>15</v>
      </c>
      <c r="G12" s="170"/>
      <c r="H12" s="105">
        <f>SUM(H10:H11)</f>
        <v>0</v>
      </c>
      <c r="I12" s="26"/>
      <c r="J12" s="26"/>
      <c r="K12" s="26"/>
      <c r="L12" s="26"/>
      <c r="M12" s="26"/>
      <c r="N12" s="173">
        <v>1</v>
      </c>
      <c r="O12" s="1350" t="str">
        <f>IF(N12=1, "Tax Deductible", "Not Deductible")</f>
        <v>Tax Deductible</v>
      </c>
      <c r="P12" s="1351"/>
      <c r="R12" s="189"/>
      <c r="S12" s="189"/>
      <c r="U12" s="29"/>
      <c r="V12" s="29"/>
      <c r="W12" s="29"/>
      <c r="X12" s="29"/>
    </row>
    <row r="13" spans="1:24" ht="20.100000000000001" customHeight="1" x14ac:dyDescent="0.2">
      <c r="A13" s="169" t="s">
        <v>97</v>
      </c>
      <c r="B13" s="170">
        <v>10</v>
      </c>
      <c r="C13" s="105"/>
      <c r="D13" s="171" t="s">
        <v>75</v>
      </c>
      <c r="E13" s="126"/>
      <c r="F13" s="169" t="s">
        <v>16</v>
      </c>
      <c r="G13" s="170"/>
      <c r="H13" s="105">
        <v>0</v>
      </c>
      <c r="I13" s="26"/>
      <c r="J13" s="1347" t="s">
        <v>17</v>
      </c>
      <c r="K13" s="1348"/>
      <c r="L13" s="1349"/>
      <c r="M13" s="26"/>
      <c r="N13" s="26"/>
      <c r="O13" s="26"/>
      <c r="P13" s="26"/>
      <c r="R13" s="29"/>
      <c r="S13" s="29"/>
      <c r="U13" s="29"/>
      <c r="V13" s="29"/>
      <c r="W13" s="29"/>
      <c r="X13" s="29"/>
    </row>
    <row r="14" spans="1:24" ht="20.100000000000001" customHeight="1" x14ac:dyDescent="0.2">
      <c r="A14" s="169" t="s">
        <v>83</v>
      </c>
      <c r="B14" s="170">
        <v>5</v>
      </c>
      <c r="C14" s="105"/>
      <c r="D14" s="171" t="s">
        <v>98</v>
      </c>
      <c r="E14" s="126"/>
      <c r="F14" s="169" t="s">
        <v>18</v>
      </c>
      <c r="G14" s="170"/>
      <c r="H14" s="105">
        <v>0</v>
      </c>
      <c r="I14" s="26"/>
      <c r="J14" s="173">
        <v>1</v>
      </c>
      <c r="K14" s="172" t="s">
        <v>19</v>
      </c>
      <c r="L14" s="105"/>
      <c r="M14" s="26"/>
      <c r="N14" s="26"/>
      <c r="O14" s="26"/>
      <c r="P14" s="26"/>
    </row>
    <row r="15" spans="1:24" ht="20.100000000000001" customHeight="1" x14ac:dyDescent="0.2">
      <c r="A15" s="169" t="s">
        <v>273</v>
      </c>
      <c r="B15" s="170">
        <v>5</v>
      </c>
      <c r="C15" s="105"/>
      <c r="D15" s="171" t="s">
        <v>98</v>
      </c>
      <c r="E15" s="126"/>
      <c r="F15" s="346"/>
      <c r="G15" s="347"/>
      <c r="H15" s="126"/>
      <c r="I15" s="26"/>
      <c r="J15" s="347"/>
      <c r="K15" s="348"/>
      <c r="L15" s="126"/>
      <c r="M15" s="26"/>
      <c r="N15" s="26"/>
      <c r="O15" s="26"/>
      <c r="P15" s="26"/>
    </row>
    <row r="16" spans="1:24" ht="20.100000000000001" customHeight="1" thickBot="1" x14ac:dyDescent="0.25">
      <c r="A16" s="169" t="s">
        <v>95</v>
      </c>
      <c r="B16" s="170">
        <v>10</v>
      </c>
      <c r="C16" s="105"/>
      <c r="D16" s="171" t="s">
        <v>75</v>
      </c>
      <c r="E16" s="12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25" ht="19.5" thickBot="1" x14ac:dyDescent="0.35">
      <c r="A17" s="35"/>
      <c r="B17" s="34"/>
      <c r="C17" s="34"/>
      <c r="D17" s="34"/>
      <c r="E17" s="34"/>
      <c r="F17" s="261" t="s">
        <v>454</v>
      </c>
      <c r="G17" s="100" t="s">
        <v>455</v>
      </c>
      <c r="H17" s="100" t="s">
        <v>456</v>
      </c>
      <c r="I17" s="100" t="s">
        <v>457</v>
      </c>
      <c r="J17" s="100" t="s">
        <v>458</v>
      </c>
      <c r="K17" s="100" t="s">
        <v>459</v>
      </c>
      <c r="L17" s="100" t="s">
        <v>460</v>
      </c>
      <c r="M17" s="100" t="s">
        <v>461</v>
      </c>
      <c r="N17" s="100" t="s">
        <v>462</v>
      </c>
      <c r="O17" s="100" t="s">
        <v>463</v>
      </c>
      <c r="P17" s="100"/>
      <c r="R17" s="190" t="s">
        <v>136</v>
      </c>
    </row>
    <row r="18" spans="1:25" ht="2.25" customHeight="1" thickBot="1" x14ac:dyDescent="0.25">
      <c r="A18" s="35"/>
      <c r="B18" s="37"/>
      <c r="C18" s="38"/>
      <c r="D18" s="80"/>
      <c r="E18" s="27"/>
      <c r="F18" s="262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5" ht="26.25" thickBot="1" x14ac:dyDescent="0.35">
      <c r="A19" s="178" t="s">
        <v>23</v>
      </c>
      <c r="B19" s="37"/>
      <c r="C19" s="37"/>
      <c r="D19" s="81"/>
      <c r="E19" s="27"/>
      <c r="F19" s="261">
        <v>1</v>
      </c>
      <c r="G19" s="100">
        <f t="shared" ref="G19:O19" si="0">F19+1</f>
        <v>2</v>
      </c>
      <c r="H19" s="100">
        <f t="shared" si="0"/>
        <v>3</v>
      </c>
      <c r="I19" s="100">
        <f t="shared" si="0"/>
        <v>4</v>
      </c>
      <c r="J19" s="100">
        <f t="shared" si="0"/>
        <v>5</v>
      </c>
      <c r="K19" s="100">
        <f t="shared" si="0"/>
        <v>6</v>
      </c>
      <c r="L19" s="100">
        <f t="shared" si="0"/>
        <v>7</v>
      </c>
      <c r="M19" s="100">
        <f t="shared" si="0"/>
        <v>8</v>
      </c>
      <c r="N19" s="100">
        <f t="shared" si="0"/>
        <v>9</v>
      </c>
      <c r="O19" s="100">
        <f t="shared" si="0"/>
        <v>10</v>
      </c>
      <c r="P19" s="100"/>
      <c r="R19" s="187" t="s">
        <v>56</v>
      </c>
      <c r="S19" s="187" t="s">
        <v>57</v>
      </c>
      <c r="T19" s="187" t="s">
        <v>96</v>
      </c>
      <c r="U19" s="187" t="s">
        <v>58</v>
      </c>
      <c r="V19" s="187" t="s">
        <v>21</v>
      </c>
      <c r="W19" s="187" t="s">
        <v>60</v>
      </c>
      <c r="X19" s="188" t="s">
        <v>22</v>
      </c>
    </row>
    <row r="20" spans="1:25" ht="15" x14ac:dyDescent="0.25">
      <c r="A20" s="179" t="s">
        <v>20</v>
      </c>
      <c r="B20" s="180" t="s">
        <v>23</v>
      </c>
      <c r="C20" s="180" t="s">
        <v>24</v>
      </c>
      <c r="D20" s="180" t="s">
        <v>22</v>
      </c>
      <c r="E20" s="181"/>
      <c r="F20" s="263"/>
      <c r="G20" s="27"/>
      <c r="H20" s="27"/>
      <c r="I20" s="27"/>
      <c r="J20" s="27"/>
      <c r="K20" s="27"/>
      <c r="L20" s="27"/>
      <c r="M20" s="27"/>
      <c r="N20" s="27"/>
      <c r="O20" s="27"/>
      <c r="P20" s="3"/>
      <c r="R20" s="601"/>
      <c r="S20" s="601"/>
      <c r="T20" s="602"/>
      <c r="U20" s="603"/>
      <c r="V20" s="603"/>
      <c r="W20" s="603"/>
      <c r="X20" s="602"/>
    </row>
    <row r="21" spans="1:25" ht="15" x14ac:dyDescent="0.25">
      <c r="A21" s="105">
        <v>1</v>
      </c>
      <c r="B21" s="105">
        <f t="shared" ref="B21:B60" si="1">SUMIFS($T$20:$T$80,$V$20:$V$80,A21,$W$20:$W$80,C21)</f>
        <v>16546800</v>
      </c>
      <c r="C21" s="105">
        <v>20</v>
      </c>
      <c r="D21" s="105"/>
      <c r="E21" s="260"/>
      <c r="F21" s="345">
        <f t="shared" ref="F21:O30" si="2">-IF($A21&gt;F$19,0,IF(F$19&gt;$C21+$A21-1,0,IF($J$11=1,SYD($B21,$D21,$C21,F$19),SLN($B21,$D21,$C21))))</f>
        <v>-827340</v>
      </c>
      <c r="G21" s="106">
        <f t="shared" si="2"/>
        <v>-827340</v>
      </c>
      <c r="H21" s="106">
        <f t="shared" si="2"/>
        <v>-827340</v>
      </c>
      <c r="I21" s="106">
        <f t="shared" si="2"/>
        <v>-827340</v>
      </c>
      <c r="J21" s="106">
        <f t="shared" si="2"/>
        <v>-827340</v>
      </c>
      <c r="K21" s="106">
        <f t="shared" si="2"/>
        <v>-827340</v>
      </c>
      <c r="L21" s="106">
        <f t="shared" si="2"/>
        <v>-827340</v>
      </c>
      <c r="M21" s="107">
        <f t="shared" si="2"/>
        <v>-827340</v>
      </c>
      <c r="N21" s="106">
        <f t="shared" si="2"/>
        <v>-827340</v>
      </c>
      <c r="O21" s="106">
        <f t="shared" si="2"/>
        <v>-827340</v>
      </c>
      <c r="P21" s="106"/>
      <c r="R21" s="596" t="s">
        <v>582</v>
      </c>
      <c r="S21" s="186" t="s">
        <v>65</v>
      </c>
      <c r="T21" s="106">
        <f>-'9.CAPEX'!C11</f>
        <v>2532000</v>
      </c>
      <c r="U21" s="106" t="s">
        <v>454</v>
      </c>
      <c r="V21" s="106">
        <f t="shared" ref="V21:V29" si="3">IF(U21&gt;0,(HLOOKUP(U21,$F$17:$O$19,3,FALSE)),(0))</f>
        <v>1</v>
      </c>
      <c r="W21" s="106">
        <f t="shared" ref="W21:W26" si="4">IF(S21&gt;0,(VLOOKUP(S21,$A$10:$B$16,2,FALSE)),(0))</f>
        <v>20</v>
      </c>
      <c r="X21" s="106"/>
    </row>
    <row r="22" spans="1:25" ht="15" x14ac:dyDescent="0.25">
      <c r="A22" s="105">
        <v>1</v>
      </c>
      <c r="B22" s="105">
        <f t="shared" si="1"/>
        <v>2357500</v>
      </c>
      <c r="C22" s="105">
        <v>10</v>
      </c>
      <c r="D22" s="105">
        <v>0</v>
      </c>
      <c r="E22" s="260"/>
      <c r="F22" s="345">
        <f t="shared" si="2"/>
        <v>-235750</v>
      </c>
      <c r="G22" s="106">
        <f t="shared" si="2"/>
        <v>-235750</v>
      </c>
      <c r="H22" s="106">
        <f t="shared" si="2"/>
        <v>-235750</v>
      </c>
      <c r="I22" s="106">
        <f t="shared" si="2"/>
        <v>-235750</v>
      </c>
      <c r="J22" s="106">
        <f t="shared" si="2"/>
        <v>-235750</v>
      </c>
      <c r="K22" s="106">
        <f t="shared" si="2"/>
        <v>-235750</v>
      </c>
      <c r="L22" s="106">
        <f t="shared" si="2"/>
        <v>-235750</v>
      </c>
      <c r="M22" s="107">
        <f t="shared" si="2"/>
        <v>-235750</v>
      </c>
      <c r="N22" s="106">
        <f t="shared" si="2"/>
        <v>-235750</v>
      </c>
      <c r="O22" s="106">
        <f t="shared" si="2"/>
        <v>-235750</v>
      </c>
      <c r="P22" s="106"/>
      <c r="R22" s="596" t="s">
        <v>65</v>
      </c>
      <c r="S22" s="186" t="s">
        <v>65</v>
      </c>
      <c r="T22" s="106">
        <f>-'9.CAPEX'!C12</f>
        <v>14014800</v>
      </c>
      <c r="U22" s="106" t="s">
        <v>454</v>
      </c>
      <c r="V22" s="106">
        <f t="shared" si="3"/>
        <v>1</v>
      </c>
      <c r="W22" s="106">
        <f t="shared" si="4"/>
        <v>20</v>
      </c>
      <c r="X22" s="106"/>
    </row>
    <row r="23" spans="1:25" ht="15" x14ac:dyDescent="0.25">
      <c r="A23" s="105">
        <v>1</v>
      </c>
      <c r="B23" s="105">
        <f t="shared" si="1"/>
        <v>7701219.3915796187</v>
      </c>
      <c r="C23" s="105">
        <v>5</v>
      </c>
      <c r="D23" s="105"/>
      <c r="E23" s="260"/>
      <c r="F23" s="345">
        <f t="shared" si="2"/>
        <v>-1540243.8783159237</v>
      </c>
      <c r="G23" s="106">
        <f t="shared" si="2"/>
        <v>-1540243.8783159237</v>
      </c>
      <c r="H23" s="106">
        <f t="shared" si="2"/>
        <v>-1540243.8783159237</v>
      </c>
      <c r="I23" s="106">
        <f t="shared" si="2"/>
        <v>-1540243.8783159237</v>
      </c>
      <c r="J23" s="106">
        <f t="shared" si="2"/>
        <v>-1540243.8783159237</v>
      </c>
      <c r="K23" s="106">
        <f t="shared" si="2"/>
        <v>0</v>
      </c>
      <c r="L23" s="106">
        <f t="shared" si="2"/>
        <v>0</v>
      </c>
      <c r="M23" s="107">
        <f t="shared" si="2"/>
        <v>0</v>
      </c>
      <c r="N23" s="106">
        <f t="shared" si="2"/>
        <v>0</v>
      </c>
      <c r="O23" s="106">
        <f t="shared" si="2"/>
        <v>0</v>
      </c>
      <c r="P23" s="106"/>
      <c r="R23" s="596" t="s">
        <v>469</v>
      </c>
      <c r="S23" s="186" t="s">
        <v>83</v>
      </c>
      <c r="T23" s="106">
        <f>-'9.CAPEX'!C13</f>
        <v>3779750</v>
      </c>
      <c r="U23" s="106" t="s">
        <v>454</v>
      </c>
      <c r="V23" s="106">
        <f t="shared" si="3"/>
        <v>1</v>
      </c>
      <c r="W23" s="106">
        <f t="shared" si="4"/>
        <v>5</v>
      </c>
      <c r="X23" s="106"/>
    </row>
    <row r="24" spans="1:25" ht="15" x14ac:dyDescent="0.25">
      <c r="A24" s="105">
        <v>1</v>
      </c>
      <c r="B24" s="105">
        <f t="shared" si="1"/>
        <v>0</v>
      </c>
      <c r="C24" s="105">
        <v>4</v>
      </c>
      <c r="D24" s="105">
        <v>0</v>
      </c>
      <c r="E24" s="260"/>
      <c r="F24" s="345">
        <f t="shared" si="2"/>
        <v>0</v>
      </c>
      <c r="G24" s="106">
        <f t="shared" si="2"/>
        <v>0</v>
      </c>
      <c r="H24" s="106">
        <f t="shared" si="2"/>
        <v>0</v>
      </c>
      <c r="I24" s="106">
        <f t="shared" si="2"/>
        <v>0</v>
      </c>
      <c r="J24" s="106">
        <f t="shared" si="2"/>
        <v>0</v>
      </c>
      <c r="K24" s="106">
        <f t="shared" si="2"/>
        <v>0</v>
      </c>
      <c r="L24" s="106">
        <f t="shared" si="2"/>
        <v>0</v>
      </c>
      <c r="M24" s="107">
        <f t="shared" si="2"/>
        <v>0</v>
      </c>
      <c r="N24" s="106">
        <f t="shared" si="2"/>
        <v>0</v>
      </c>
      <c r="O24" s="106">
        <f t="shared" si="2"/>
        <v>0</v>
      </c>
      <c r="P24" s="106"/>
      <c r="R24" s="596" t="s">
        <v>693</v>
      </c>
      <c r="S24" s="186" t="s">
        <v>83</v>
      </c>
      <c r="T24" s="106">
        <f>-'9.CAPEX'!C14</f>
        <v>3921469.3915796182</v>
      </c>
      <c r="U24" s="106" t="s">
        <v>454</v>
      </c>
      <c r="V24" s="106">
        <f t="shared" si="3"/>
        <v>1</v>
      </c>
      <c r="W24" s="106">
        <f t="shared" si="4"/>
        <v>5</v>
      </c>
      <c r="X24" s="106"/>
    </row>
    <row r="25" spans="1:25" ht="15" x14ac:dyDescent="0.25">
      <c r="A25" s="105">
        <v>2</v>
      </c>
      <c r="B25" s="105">
        <f t="shared" si="1"/>
        <v>0</v>
      </c>
      <c r="C25" s="105">
        <v>20</v>
      </c>
      <c r="D25" s="105"/>
      <c r="E25" s="260"/>
      <c r="F25" s="345">
        <f t="shared" si="2"/>
        <v>0</v>
      </c>
      <c r="G25" s="106">
        <f t="shared" si="2"/>
        <v>0</v>
      </c>
      <c r="H25" s="106">
        <f t="shared" si="2"/>
        <v>0</v>
      </c>
      <c r="I25" s="106">
        <f t="shared" si="2"/>
        <v>0</v>
      </c>
      <c r="J25" s="106">
        <f t="shared" si="2"/>
        <v>0</v>
      </c>
      <c r="K25" s="106">
        <f t="shared" si="2"/>
        <v>0</v>
      </c>
      <c r="L25" s="106">
        <f t="shared" si="2"/>
        <v>0</v>
      </c>
      <c r="M25" s="107">
        <f t="shared" si="2"/>
        <v>0</v>
      </c>
      <c r="N25" s="106">
        <f t="shared" si="2"/>
        <v>0</v>
      </c>
      <c r="O25" s="106">
        <f t="shared" si="2"/>
        <v>0</v>
      </c>
      <c r="P25" s="106"/>
      <c r="R25" s="596" t="s">
        <v>694</v>
      </c>
      <c r="S25" s="186" t="s">
        <v>97</v>
      </c>
      <c r="T25" s="106">
        <f>-'9.CAPEX'!C15</f>
        <v>7340910</v>
      </c>
      <c r="U25" s="106" t="s">
        <v>455</v>
      </c>
      <c r="V25" s="106">
        <f t="shared" si="3"/>
        <v>2</v>
      </c>
      <c r="W25" s="106">
        <f t="shared" si="4"/>
        <v>10</v>
      </c>
      <c r="X25" s="106"/>
    </row>
    <row r="26" spans="1:25" ht="15" x14ac:dyDescent="0.25">
      <c r="A26" s="105">
        <v>2</v>
      </c>
      <c r="B26" s="105">
        <f t="shared" si="1"/>
        <v>7340910</v>
      </c>
      <c r="C26" s="105">
        <v>10</v>
      </c>
      <c r="D26" s="105">
        <v>0</v>
      </c>
      <c r="E26" s="260"/>
      <c r="F26" s="345">
        <f t="shared" si="2"/>
        <v>0</v>
      </c>
      <c r="G26" s="106">
        <f t="shared" si="2"/>
        <v>-734091</v>
      </c>
      <c r="H26" s="106">
        <f t="shared" si="2"/>
        <v>-734091</v>
      </c>
      <c r="I26" s="106">
        <f t="shared" si="2"/>
        <v>-734091</v>
      </c>
      <c r="J26" s="106">
        <f t="shared" si="2"/>
        <v>-734091</v>
      </c>
      <c r="K26" s="106">
        <f t="shared" si="2"/>
        <v>-734091</v>
      </c>
      <c r="L26" s="106">
        <f t="shared" si="2"/>
        <v>-734091</v>
      </c>
      <c r="M26" s="107">
        <f t="shared" si="2"/>
        <v>-734091</v>
      </c>
      <c r="N26" s="106">
        <f t="shared" si="2"/>
        <v>-734091</v>
      </c>
      <c r="O26" s="106">
        <f t="shared" si="2"/>
        <v>-734091</v>
      </c>
      <c r="P26" s="106"/>
      <c r="R26" s="596" t="s">
        <v>583</v>
      </c>
      <c r="S26" s="186" t="s">
        <v>95</v>
      </c>
      <c r="T26" s="2">
        <f>-'9.CAPEX'!C16</f>
        <v>2357500</v>
      </c>
      <c r="U26" s="106" t="s">
        <v>454</v>
      </c>
      <c r="V26" s="106">
        <f t="shared" si="3"/>
        <v>1</v>
      </c>
      <c r="W26" s="106">
        <f t="shared" si="4"/>
        <v>10</v>
      </c>
      <c r="X26" s="106"/>
    </row>
    <row r="27" spans="1:25" x14ac:dyDescent="0.2">
      <c r="A27" s="105">
        <v>2</v>
      </c>
      <c r="B27" s="105">
        <f t="shared" si="1"/>
        <v>0</v>
      </c>
      <c r="C27" s="105">
        <v>5</v>
      </c>
      <c r="D27" s="105"/>
      <c r="E27" s="260"/>
      <c r="F27" s="345">
        <f t="shared" si="2"/>
        <v>0</v>
      </c>
      <c r="G27" s="106">
        <f t="shared" si="2"/>
        <v>0</v>
      </c>
      <c r="H27" s="106">
        <f t="shared" si="2"/>
        <v>0</v>
      </c>
      <c r="I27" s="106">
        <f t="shared" si="2"/>
        <v>0</v>
      </c>
      <c r="J27" s="106">
        <f t="shared" si="2"/>
        <v>0</v>
      </c>
      <c r="K27" s="106">
        <f t="shared" si="2"/>
        <v>0</v>
      </c>
      <c r="L27" s="106">
        <f t="shared" si="2"/>
        <v>0</v>
      </c>
      <c r="M27" s="107">
        <f t="shared" si="2"/>
        <v>0</v>
      </c>
      <c r="N27" s="106">
        <f t="shared" si="2"/>
        <v>0</v>
      </c>
      <c r="O27" s="106">
        <f t="shared" si="2"/>
        <v>0</v>
      </c>
      <c r="P27" s="106"/>
      <c r="R27" s="186"/>
      <c r="S27" s="186"/>
      <c r="T27" s="106"/>
      <c r="U27" s="106" t="s">
        <v>454</v>
      </c>
      <c r="V27" s="106">
        <f t="shared" si="3"/>
        <v>1</v>
      </c>
      <c r="W27" s="106">
        <f t="shared" ref="W27:W32" si="5">IF(S27&gt;0,(VLOOKUP(S27,$A$10:$B$16,2,FALSE)),(0))</f>
        <v>0</v>
      </c>
      <c r="X27" s="106"/>
    </row>
    <row r="28" spans="1:25" x14ac:dyDescent="0.2">
      <c r="A28" s="105">
        <v>2</v>
      </c>
      <c r="B28" s="105">
        <f t="shared" si="1"/>
        <v>0</v>
      </c>
      <c r="C28" s="105">
        <v>4</v>
      </c>
      <c r="D28" s="105"/>
      <c r="E28" s="260"/>
      <c r="F28" s="345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7">
        <f t="shared" si="2"/>
        <v>0</v>
      </c>
      <c r="N28" s="106">
        <f t="shared" si="2"/>
        <v>0</v>
      </c>
      <c r="O28" s="106">
        <f t="shared" si="2"/>
        <v>0</v>
      </c>
      <c r="P28" s="106"/>
      <c r="R28" s="186"/>
      <c r="S28" s="186"/>
      <c r="T28" s="106"/>
      <c r="U28" s="106" t="s">
        <v>454</v>
      </c>
      <c r="V28" s="106">
        <f t="shared" si="3"/>
        <v>1</v>
      </c>
      <c r="W28" s="106">
        <f t="shared" si="5"/>
        <v>0</v>
      </c>
      <c r="X28" s="106"/>
    </row>
    <row r="29" spans="1:25" x14ac:dyDescent="0.2">
      <c r="A29" s="105">
        <v>3</v>
      </c>
      <c r="B29" s="105">
        <f t="shared" si="1"/>
        <v>0</v>
      </c>
      <c r="C29" s="105">
        <v>20</v>
      </c>
      <c r="D29" s="105"/>
      <c r="E29" s="260"/>
      <c r="F29" s="345">
        <f t="shared" si="2"/>
        <v>0</v>
      </c>
      <c r="G29" s="106">
        <f t="shared" si="2"/>
        <v>0</v>
      </c>
      <c r="H29" s="106">
        <f t="shared" si="2"/>
        <v>0</v>
      </c>
      <c r="I29" s="106">
        <f t="shared" si="2"/>
        <v>0</v>
      </c>
      <c r="J29" s="106">
        <f t="shared" si="2"/>
        <v>0</v>
      </c>
      <c r="K29" s="106">
        <f t="shared" si="2"/>
        <v>0</v>
      </c>
      <c r="L29" s="106">
        <f t="shared" si="2"/>
        <v>0</v>
      </c>
      <c r="M29" s="107">
        <f t="shared" si="2"/>
        <v>0</v>
      </c>
      <c r="N29" s="106">
        <f t="shared" si="2"/>
        <v>0</v>
      </c>
      <c r="O29" s="106">
        <f t="shared" si="2"/>
        <v>0</v>
      </c>
      <c r="P29" s="106"/>
      <c r="R29" s="186"/>
      <c r="S29" s="186"/>
      <c r="T29" s="106"/>
      <c r="U29" s="106" t="s">
        <v>454</v>
      </c>
      <c r="V29" s="106">
        <f t="shared" si="3"/>
        <v>1</v>
      </c>
      <c r="W29" s="106">
        <f t="shared" si="5"/>
        <v>0</v>
      </c>
      <c r="X29" s="106"/>
    </row>
    <row r="30" spans="1:25" ht="15" x14ac:dyDescent="0.25">
      <c r="A30" s="105">
        <v>3</v>
      </c>
      <c r="B30" s="105">
        <f t="shared" si="1"/>
        <v>0</v>
      </c>
      <c r="C30" s="105">
        <v>10</v>
      </c>
      <c r="D30" s="105">
        <v>0</v>
      </c>
      <c r="E30" s="260"/>
      <c r="F30" s="345">
        <f t="shared" si="2"/>
        <v>0</v>
      </c>
      <c r="G30" s="106">
        <f t="shared" si="2"/>
        <v>0</v>
      </c>
      <c r="H30" s="106">
        <f t="shared" si="2"/>
        <v>0</v>
      </c>
      <c r="I30" s="106">
        <f t="shared" si="2"/>
        <v>0</v>
      </c>
      <c r="J30" s="106">
        <f t="shared" si="2"/>
        <v>0</v>
      </c>
      <c r="K30" s="106">
        <f t="shared" si="2"/>
        <v>0</v>
      </c>
      <c r="L30" s="106">
        <f t="shared" si="2"/>
        <v>0</v>
      </c>
      <c r="M30" s="107">
        <f t="shared" si="2"/>
        <v>0</v>
      </c>
      <c r="N30" s="106">
        <f t="shared" si="2"/>
        <v>0</v>
      </c>
      <c r="O30" s="106">
        <f t="shared" si="2"/>
        <v>0</v>
      </c>
      <c r="P30" s="106"/>
      <c r="R30" s="596"/>
      <c r="S30" s="186"/>
      <c r="T30" s="106"/>
      <c r="U30" s="106" t="s">
        <v>454</v>
      </c>
      <c r="V30" s="106">
        <f t="shared" ref="V30:V40" si="6">IF(U30&gt;0,(HLOOKUP(U30,$F$17:$O$19,3,FALSE)),(0))</f>
        <v>1</v>
      </c>
      <c r="W30" s="106">
        <f t="shared" si="5"/>
        <v>0</v>
      </c>
      <c r="X30" s="106"/>
    </row>
    <row r="31" spans="1:25" x14ac:dyDescent="0.2">
      <c r="A31" s="105">
        <v>3</v>
      </c>
      <c r="B31" s="105">
        <f t="shared" si="1"/>
        <v>0</v>
      </c>
      <c r="C31" s="105">
        <v>5</v>
      </c>
      <c r="D31" s="105"/>
      <c r="E31" s="260"/>
      <c r="F31" s="345">
        <f t="shared" ref="F31:O40" si="7">-IF($A31&gt;F$19,0,IF(F$19&gt;$C31+$A31-1,0,IF($J$11=1,SYD($B31,$D31,$C31,F$19),SLN($B31,$D31,$C31))))</f>
        <v>0</v>
      </c>
      <c r="G31" s="106">
        <f t="shared" si="7"/>
        <v>0</v>
      </c>
      <c r="H31" s="106">
        <f t="shared" si="7"/>
        <v>0</v>
      </c>
      <c r="I31" s="106">
        <f t="shared" si="7"/>
        <v>0</v>
      </c>
      <c r="J31" s="106">
        <f t="shared" si="7"/>
        <v>0</v>
      </c>
      <c r="K31" s="106">
        <f t="shared" si="7"/>
        <v>0</v>
      </c>
      <c r="L31" s="106">
        <f t="shared" si="7"/>
        <v>0</v>
      </c>
      <c r="M31" s="107">
        <f t="shared" si="7"/>
        <v>0</v>
      </c>
      <c r="N31" s="106">
        <f t="shared" si="7"/>
        <v>0</v>
      </c>
      <c r="O31" s="106">
        <f t="shared" si="7"/>
        <v>0</v>
      </c>
      <c r="P31" s="106"/>
      <c r="R31" s="186"/>
      <c r="S31" s="186"/>
      <c r="T31" s="106"/>
      <c r="U31" s="106" t="s">
        <v>455</v>
      </c>
      <c r="V31" s="106">
        <f t="shared" si="6"/>
        <v>2</v>
      </c>
      <c r="W31" s="106">
        <f t="shared" si="5"/>
        <v>0</v>
      </c>
      <c r="X31" s="106"/>
    </row>
    <row r="32" spans="1:25" x14ac:dyDescent="0.2">
      <c r="A32" s="105">
        <v>3</v>
      </c>
      <c r="B32" s="105">
        <f t="shared" si="1"/>
        <v>0</v>
      </c>
      <c r="C32" s="105">
        <v>4</v>
      </c>
      <c r="D32" s="105"/>
      <c r="E32" s="260"/>
      <c r="F32" s="345">
        <f t="shared" si="7"/>
        <v>0</v>
      </c>
      <c r="G32" s="106">
        <f t="shared" si="7"/>
        <v>0</v>
      </c>
      <c r="H32" s="106">
        <f t="shared" si="7"/>
        <v>0</v>
      </c>
      <c r="I32" s="106">
        <f t="shared" si="7"/>
        <v>0</v>
      </c>
      <c r="J32" s="106">
        <f t="shared" si="7"/>
        <v>0</v>
      </c>
      <c r="K32" s="106">
        <f t="shared" si="7"/>
        <v>0</v>
      </c>
      <c r="L32" s="106">
        <f t="shared" si="7"/>
        <v>0</v>
      </c>
      <c r="M32" s="107">
        <f t="shared" si="7"/>
        <v>0</v>
      </c>
      <c r="N32" s="106">
        <f t="shared" si="7"/>
        <v>0</v>
      </c>
      <c r="O32" s="106">
        <f t="shared" si="7"/>
        <v>0</v>
      </c>
      <c r="P32" s="106"/>
      <c r="R32" s="186"/>
      <c r="S32" s="186"/>
      <c r="T32" s="106"/>
      <c r="U32" s="106" t="s">
        <v>455</v>
      </c>
      <c r="V32" s="106">
        <f t="shared" si="6"/>
        <v>2</v>
      </c>
      <c r="W32" s="106">
        <f t="shared" si="5"/>
        <v>0</v>
      </c>
      <c r="X32" s="106"/>
      <c r="Y32" s="350"/>
    </row>
    <row r="33" spans="1:25" x14ac:dyDescent="0.2">
      <c r="A33" s="105">
        <v>4</v>
      </c>
      <c r="B33" s="105">
        <f t="shared" si="1"/>
        <v>0</v>
      </c>
      <c r="C33" s="105">
        <v>20</v>
      </c>
      <c r="D33" s="105"/>
      <c r="E33" s="260"/>
      <c r="F33" s="345">
        <f t="shared" si="7"/>
        <v>0</v>
      </c>
      <c r="G33" s="106">
        <f t="shared" si="7"/>
        <v>0</v>
      </c>
      <c r="H33" s="106">
        <f t="shared" si="7"/>
        <v>0</v>
      </c>
      <c r="I33" s="106">
        <f t="shared" si="7"/>
        <v>0</v>
      </c>
      <c r="J33" s="106">
        <f t="shared" si="7"/>
        <v>0</v>
      </c>
      <c r="K33" s="106">
        <f t="shared" si="7"/>
        <v>0</v>
      </c>
      <c r="L33" s="106">
        <f t="shared" si="7"/>
        <v>0</v>
      </c>
      <c r="M33" s="107">
        <f t="shared" si="7"/>
        <v>0</v>
      </c>
      <c r="N33" s="106">
        <f t="shared" si="7"/>
        <v>0</v>
      </c>
      <c r="O33" s="106">
        <f t="shared" si="7"/>
        <v>0</v>
      </c>
      <c r="P33" s="106"/>
      <c r="R33" s="186"/>
      <c r="S33" s="186"/>
      <c r="T33" s="106"/>
      <c r="U33" s="106" t="s">
        <v>455</v>
      </c>
      <c r="V33" s="106">
        <f t="shared" si="6"/>
        <v>2</v>
      </c>
      <c r="W33" s="106">
        <f t="shared" ref="W33:W40" si="8">IF(S33&gt;0,(VLOOKUP(S33,$A$10:$B$16,2,FALSE)),(0))</f>
        <v>0</v>
      </c>
      <c r="X33" s="106"/>
      <c r="Y33" s="350"/>
    </row>
    <row r="34" spans="1:25" x14ac:dyDescent="0.2">
      <c r="A34" s="105">
        <v>4</v>
      </c>
      <c r="B34" s="105">
        <f t="shared" si="1"/>
        <v>0</v>
      </c>
      <c r="C34" s="105">
        <v>10</v>
      </c>
      <c r="D34" s="105"/>
      <c r="E34" s="260"/>
      <c r="F34" s="345">
        <f t="shared" si="7"/>
        <v>0</v>
      </c>
      <c r="G34" s="106">
        <f t="shared" si="7"/>
        <v>0</v>
      </c>
      <c r="H34" s="106">
        <f t="shared" si="7"/>
        <v>0</v>
      </c>
      <c r="I34" s="106">
        <f t="shared" si="7"/>
        <v>0</v>
      </c>
      <c r="J34" s="106">
        <f t="shared" si="7"/>
        <v>0</v>
      </c>
      <c r="K34" s="106">
        <f t="shared" si="7"/>
        <v>0</v>
      </c>
      <c r="L34" s="106">
        <f t="shared" si="7"/>
        <v>0</v>
      </c>
      <c r="M34" s="107">
        <f t="shared" si="7"/>
        <v>0</v>
      </c>
      <c r="N34" s="106">
        <f t="shared" si="7"/>
        <v>0</v>
      </c>
      <c r="O34" s="106">
        <f t="shared" si="7"/>
        <v>0</v>
      </c>
      <c r="P34" s="106"/>
      <c r="R34" s="186"/>
      <c r="S34" s="186"/>
      <c r="T34" s="106"/>
      <c r="U34" s="106" t="s">
        <v>455</v>
      </c>
      <c r="V34" s="106">
        <f>IF(U34&gt;0,(HLOOKUP(U34,$F$17:$O$19,3,FALSE)),(0))</f>
        <v>2</v>
      </c>
      <c r="W34" s="106">
        <f>IF(S34&gt;0,(VLOOKUP(S34,$A$10:$B$16,2,FALSE)),(0))</f>
        <v>0</v>
      </c>
      <c r="X34" s="106"/>
      <c r="Y34" s="350"/>
    </row>
    <row r="35" spans="1:25" x14ac:dyDescent="0.2">
      <c r="A35" s="105">
        <v>4</v>
      </c>
      <c r="B35" s="105">
        <f t="shared" si="1"/>
        <v>0</v>
      </c>
      <c r="C35" s="105">
        <v>5</v>
      </c>
      <c r="D35" s="105"/>
      <c r="E35" s="260"/>
      <c r="F35" s="345">
        <f t="shared" si="7"/>
        <v>0</v>
      </c>
      <c r="G35" s="106">
        <f t="shared" si="7"/>
        <v>0</v>
      </c>
      <c r="H35" s="106">
        <f t="shared" si="7"/>
        <v>0</v>
      </c>
      <c r="I35" s="106">
        <f t="shared" si="7"/>
        <v>0</v>
      </c>
      <c r="J35" s="106">
        <f t="shared" si="7"/>
        <v>0</v>
      </c>
      <c r="K35" s="106">
        <f t="shared" si="7"/>
        <v>0</v>
      </c>
      <c r="L35" s="106">
        <f t="shared" si="7"/>
        <v>0</v>
      </c>
      <c r="M35" s="107">
        <f t="shared" si="7"/>
        <v>0</v>
      </c>
      <c r="N35" s="106">
        <f t="shared" si="7"/>
        <v>0</v>
      </c>
      <c r="O35" s="106">
        <f t="shared" si="7"/>
        <v>0</v>
      </c>
      <c r="P35" s="106"/>
      <c r="R35" s="186"/>
      <c r="S35" s="186"/>
      <c r="T35" s="106"/>
      <c r="U35" s="106" t="s">
        <v>455</v>
      </c>
      <c r="V35" s="106">
        <f>IF(U35&gt;0,(HLOOKUP(U35,$F$17:$O$19,3,FALSE)),(0))</f>
        <v>2</v>
      </c>
      <c r="W35" s="106">
        <f>IF(S35&gt;0,(VLOOKUP(S35,$A$10:$B$16,2,FALSE)),(0))</f>
        <v>0</v>
      </c>
      <c r="X35" s="106"/>
      <c r="Y35" s="350"/>
    </row>
    <row r="36" spans="1:25" x14ac:dyDescent="0.2">
      <c r="A36" s="105">
        <v>4</v>
      </c>
      <c r="B36" s="105">
        <f t="shared" si="1"/>
        <v>0</v>
      </c>
      <c r="C36" s="105">
        <v>4</v>
      </c>
      <c r="D36" s="105"/>
      <c r="E36" s="260"/>
      <c r="F36" s="345">
        <f t="shared" si="7"/>
        <v>0</v>
      </c>
      <c r="G36" s="106">
        <f t="shared" si="7"/>
        <v>0</v>
      </c>
      <c r="H36" s="106">
        <f t="shared" si="7"/>
        <v>0</v>
      </c>
      <c r="I36" s="106">
        <f t="shared" si="7"/>
        <v>0</v>
      </c>
      <c r="J36" s="106">
        <f t="shared" si="7"/>
        <v>0</v>
      </c>
      <c r="K36" s="106">
        <f t="shared" si="7"/>
        <v>0</v>
      </c>
      <c r="L36" s="106">
        <f t="shared" si="7"/>
        <v>0</v>
      </c>
      <c r="M36" s="107">
        <f t="shared" si="7"/>
        <v>0</v>
      </c>
      <c r="N36" s="106">
        <f t="shared" si="7"/>
        <v>0</v>
      </c>
      <c r="O36" s="106">
        <f t="shared" si="7"/>
        <v>0</v>
      </c>
      <c r="P36" s="106"/>
      <c r="R36" s="186"/>
      <c r="S36" s="186"/>
      <c r="T36" s="106"/>
      <c r="U36" s="106" t="s">
        <v>455</v>
      </c>
      <c r="V36" s="106">
        <f>IF(U36&gt;0,(HLOOKUP(U36,$F$17:$O$19,3,FALSE)),(0))</f>
        <v>2</v>
      </c>
      <c r="W36" s="106">
        <f>IF(S36&gt;0,(VLOOKUP(S36,$A$10:$B$16,2,FALSE)),(0))</f>
        <v>0</v>
      </c>
      <c r="X36" s="106"/>
      <c r="Y36" s="350"/>
    </row>
    <row r="37" spans="1:25" x14ac:dyDescent="0.2">
      <c r="A37" s="105">
        <v>5</v>
      </c>
      <c r="B37" s="105">
        <f t="shared" si="1"/>
        <v>0</v>
      </c>
      <c r="C37" s="105">
        <v>20</v>
      </c>
      <c r="D37" s="105"/>
      <c r="E37" s="260"/>
      <c r="F37" s="345">
        <f t="shared" si="7"/>
        <v>0</v>
      </c>
      <c r="G37" s="106">
        <f t="shared" si="7"/>
        <v>0</v>
      </c>
      <c r="H37" s="106">
        <f t="shared" si="7"/>
        <v>0</v>
      </c>
      <c r="I37" s="106">
        <f t="shared" si="7"/>
        <v>0</v>
      </c>
      <c r="J37" s="106">
        <f t="shared" si="7"/>
        <v>0</v>
      </c>
      <c r="K37" s="106">
        <f t="shared" si="7"/>
        <v>0</v>
      </c>
      <c r="L37" s="106">
        <f t="shared" si="7"/>
        <v>0</v>
      </c>
      <c r="M37" s="107">
        <f t="shared" si="7"/>
        <v>0</v>
      </c>
      <c r="N37" s="106">
        <f t="shared" si="7"/>
        <v>0</v>
      </c>
      <c r="O37" s="106">
        <f t="shared" si="7"/>
        <v>0</v>
      </c>
      <c r="P37" s="106"/>
      <c r="R37" s="186"/>
      <c r="S37" s="186"/>
      <c r="T37" s="106"/>
      <c r="U37" s="106" t="s">
        <v>455</v>
      </c>
      <c r="V37" s="106">
        <f t="shared" si="6"/>
        <v>2</v>
      </c>
      <c r="W37" s="106">
        <f t="shared" si="8"/>
        <v>0</v>
      </c>
      <c r="X37" s="106"/>
      <c r="Y37" s="350"/>
    </row>
    <row r="38" spans="1:25" x14ac:dyDescent="0.2">
      <c r="A38" s="105">
        <v>5</v>
      </c>
      <c r="B38" s="105">
        <f t="shared" si="1"/>
        <v>0</v>
      </c>
      <c r="C38" s="105">
        <v>10</v>
      </c>
      <c r="D38" s="105"/>
      <c r="E38" s="260"/>
      <c r="F38" s="345">
        <f t="shared" si="7"/>
        <v>0</v>
      </c>
      <c r="G38" s="106">
        <f t="shared" si="7"/>
        <v>0</v>
      </c>
      <c r="H38" s="106">
        <f t="shared" si="7"/>
        <v>0</v>
      </c>
      <c r="I38" s="106">
        <f t="shared" si="7"/>
        <v>0</v>
      </c>
      <c r="J38" s="106">
        <f t="shared" si="7"/>
        <v>0</v>
      </c>
      <c r="K38" s="106">
        <f t="shared" si="7"/>
        <v>0</v>
      </c>
      <c r="L38" s="106">
        <f t="shared" si="7"/>
        <v>0</v>
      </c>
      <c r="M38" s="107">
        <f t="shared" si="7"/>
        <v>0</v>
      </c>
      <c r="N38" s="106">
        <f t="shared" si="7"/>
        <v>0</v>
      </c>
      <c r="O38" s="106">
        <f t="shared" si="7"/>
        <v>0</v>
      </c>
      <c r="P38" s="106"/>
      <c r="R38" s="186"/>
      <c r="S38" s="186"/>
      <c r="T38" s="106"/>
      <c r="U38" s="106" t="s">
        <v>455</v>
      </c>
      <c r="V38" s="106">
        <f t="shared" si="6"/>
        <v>2</v>
      </c>
      <c r="W38" s="106">
        <f t="shared" si="8"/>
        <v>0</v>
      </c>
      <c r="X38" s="106"/>
      <c r="Y38" s="350"/>
    </row>
    <row r="39" spans="1:25" x14ac:dyDescent="0.2">
      <c r="A39" s="105">
        <v>5</v>
      </c>
      <c r="B39" s="105">
        <f t="shared" si="1"/>
        <v>0</v>
      </c>
      <c r="C39" s="105">
        <v>5</v>
      </c>
      <c r="D39" s="105"/>
      <c r="E39" s="260"/>
      <c r="F39" s="345">
        <f t="shared" si="7"/>
        <v>0</v>
      </c>
      <c r="G39" s="106">
        <f t="shared" si="7"/>
        <v>0</v>
      </c>
      <c r="H39" s="106">
        <f t="shared" si="7"/>
        <v>0</v>
      </c>
      <c r="I39" s="106">
        <f t="shared" si="7"/>
        <v>0</v>
      </c>
      <c r="J39" s="106">
        <f t="shared" si="7"/>
        <v>0</v>
      </c>
      <c r="K39" s="106">
        <f t="shared" si="7"/>
        <v>0</v>
      </c>
      <c r="L39" s="106">
        <f t="shared" si="7"/>
        <v>0</v>
      </c>
      <c r="M39" s="107">
        <f t="shared" si="7"/>
        <v>0</v>
      </c>
      <c r="N39" s="106">
        <f t="shared" si="7"/>
        <v>0</v>
      </c>
      <c r="O39" s="106">
        <f t="shared" si="7"/>
        <v>0</v>
      </c>
      <c r="P39" s="106"/>
      <c r="R39" s="186"/>
      <c r="S39" s="186"/>
      <c r="T39" s="106"/>
      <c r="U39" s="106" t="s">
        <v>455</v>
      </c>
      <c r="V39" s="106">
        <f t="shared" si="6"/>
        <v>2</v>
      </c>
      <c r="W39" s="106">
        <f t="shared" si="8"/>
        <v>0</v>
      </c>
      <c r="X39" s="106"/>
      <c r="Y39" s="351"/>
    </row>
    <row r="40" spans="1:25" x14ac:dyDescent="0.2">
      <c r="A40" s="105">
        <v>5</v>
      </c>
      <c r="B40" s="105">
        <f t="shared" si="1"/>
        <v>0</v>
      </c>
      <c r="C40" s="105">
        <v>4</v>
      </c>
      <c r="D40" s="105"/>
      <c r="E40" s="260"/>
      <c r="F40" s="345">
        <f t="shared" si="7"/>
        <v>0</v>
      </c>
      <c r="G40" s="106">
        <f t="shared" si="7"/>
        <v>0</v>
      </c>
      <c r="H40" s="106">
        <f t="shared" si="7"/>
        <v>0</v>
      </c>
      <c r="I40" s="106">
        <f t="shared" si="7"/>
        <v>0</v>
      </c>
      <c r="J40" s="106">
        <f t="shared" si="7"/>
        <v>0</v>
      </c>
      <c r="K40" s="106">
        <f t="shared" si="7"/>
        <v>0</v>
      </c>
      <c r="L40" s="106">
        <f t="shared" si="7"/>
        <v>0</v>
      </c>
      <c r="M40" s="107">
        <f t="shared" si="7"/>
        <v>0</v>
      </c>
      <c r="N40" s="106">
        <f t="shared" si="7"/>
        <v>0</v>
      </c>
      <c r="O40" s="106">
        <f t="shared" si="7"/>
        <v>0</v>
      </c>
      <c r="P40" s="106"/>
      <c r="R40" s="186"/>
      <c r="S40" s="186"/>
      <c r="T40" s="106"/>
      <c r="U40" s="106" t="s">
        <v>455</v>
      </c>
      <c r="V40" s="106">
        <f t="shared" si="6"/>
        <v>2</v>
      </c>
      <c r="W40" s="106">
        <f t="shared" si="8"/>
        <v>0</v>
      </c>
      <c r="X40" s="106"/>
      <c r="Y40" s="351"/>
    </row>
    <row r="41" spans="1:25" x14ac:dyDescent="0.2">
      <c r="A41" s="105">
        <v>6</v>
      </c>
      <c r="B41" s="105">
        <f t="shared" si="1"/>
        <v>0</v>
      </c>
      <c r="C41" s="105">
        <v>20</v>
      </c>
      <c r="D41" s="105"/>
      <c r="E41" s="260"/>
      <c r="F41" s="345">
        <f t="shared" ref="F41:O50" si="9">-IF($A41&gt;F$19,0,IF(F$19&gt;$C41+$A41-1,0,IF($J$11=1,SYD($B41,$D41,$C41,F$19),SLN($B41,$D41,$C41))))</f>
        <v>0</v>
      </c>
      <c r="G41" s="106">
        <f t="shared" si="9"/>
        <v>0</v>
      </c>
      <c r="H41" s="106">
        <f t="shared" si="9"/>
        <v>0</v>
      </c>
      <c r="I41" s="106">
        <f t="shared" si="9"/>
        <v>0</v>
      </c>
      <c r="J41" s="106">
        <f t="shared" si="9"/>
        <v>0</v>
      </c>
      <c r="K41" s="106">
        <f t="shared" si="9"/>
        <v>0</v>
      </c>
      <c r="L41" s="106">
        <f t="shared" si="9"/>
        <v>0</v>
      </c>
      <c r="M41" s="107">
        <f t="shared" si="9"/>
        <v>0</v>
      </c>
      <c r="N41" s="106">
        <f t="shared" si="9"/>
        <v>0</v>
      </c>
      <c r="O41" s="106">
        <f t="shared" si="9"/>
        <v>0</v>
      </c>
      <c r="P41" s="106"/>
      <c r="R41" s="186"/>
      <c r="S41" s="186"/>
      <c r="T41" s="106"/>
      <c r="U41" s="106" t="s">
        <v>455</v>
      </c>
      <c r="V41" s="106">
        <f>IF(U41&gt;0,(HLOOKUP(U41,$F$17:$O$19,3,FALSE)),(0))</f>
        <v>2</v>
      </c>
      <c r="W41" s="106">
        <f>IF(S41&gt;0,(VLOOKUP(S41,$A$10:$B$16,2,FALSE)),(0))</f>
        <v>0</v>
      </c>
      <c r="X41" s="106"/>
      <c r="Y41" s="351"/>
    </row>
    <row r="42" spans="1:25" x14ac:dyDescent="0.2">
      <c r="A42" s="105">
        <v>6</v>
      </c>
      <c r="B42" s="105">
        <f t="shared" si="1"/>
        <v>0</v>
      </c>
      <c r="C42" s="105">
        <v>10</v>
      </c>
      <c r="D42" s="105"/>
      <c r="E42" s="260"/>
      <c r="F42" s="345">
        <f t="shared" si="9"/>
        <v>0</v>
      </c>
      <c r="G42" s="106">
        <f t="shared" si="9"/>
        <v>0</v>
      </c>
      <c r="H42" s="106">
        <f t="shared" si="9"/>
        <v>0</v>
      </c>
      <c r="I42" s="106">
        <f t="shared" si="9"/>
        <v>0</v>
      </c>
      <c r="J42" s="106">
        <f t="shared" si="9"/>
        <v>0</v>
      </c>
      <c r="K42" s="106">
        <f t="shared" si="9"/>
        <v>0</v>
      </c>
      <c r="L42" s="106">
        <f t="shared" si="9"/>
        <v>0</v>
      </c>
      <c r="M42" s="107">
        <f t="shared" si="9"/>
        <v>0</v>
      </c>
      <c r="N42" s="106">
        <f t="shared" si="9"/>
        <v>0</v>
      </c>
      <c r="O42" s="106">
        <f t="shared" si="9"/>
        <v>0</v>
      </c>
      <c r="P42" s="106"/>
      <c r="R42" s="186"/>
      <c r="S42" s="186"/>
      <c r="T42" s="106"/>
      <c r="U42" s="106" t="s">
        <v>455</v>
      </c>
      <c r="V42" s="106">
        <f>IF(U42&gt;0,(HLOOKUP(U42,$F$17:$O$19,3,FALSE)),(0))</f>
        <v>2</v>
      </c>
      <c r="W42" s="106">
        <f>IF(S42&gt;0,(VLOOKUP(S42,$A$10:$B$16,2,FALSE)),(0))</f>
        <v>0</v>
      </c>
      <c r="X42" s="106"/>
      <c r="Y42" s="351"/>
    </row>
    <row r="43" spans="1:25" x14ac:dyDescent="0.2">
      <c r="A43" s="105">
        <v>6</v>
      </c>
      <c r="B43" s="105">
        <f t="shared" si="1"/>
        <v>0</v>
      </c>
      <c r="C43" s="105">
        <v>5</v>
      </c>
      <c r="D43" s="105"/>
      <c r="E43" s="260"/>
      <c r="F43" s="345">
        <f t="shared" si="9"/>
        <v>0</v>
      </c>
      <c r="G43" s="106">
        <f t="shared" si="9"/>
        <v>0</v>
      </c>
      <c r="H43" s="106">
        <f t="shared" si="9"/>
        <v>0</v>
      </c>
      <c r="I43" s="106">
        <f t="shared" si="9"/>
        <v>0</v>
      </c>
      <c r="J43" s="106">
        <f t="shared" si="9"/>
        <v>0</v>
      </c>
      <c r="K43" s="106">
        <f t="shared" si="9"/>
        <v>0</v>
      </c>
      <c r="L43" s="106">
        <f t="shared" si="9"/>
        <v>0</v>
      </c>
      <c r="M43" s="107">
        <f t="shared" si="9"/>
        <v>0</v>
      </c>
      <c r="N43" s="106">
        <f t="shared" si="9"/>
        <v>0</v>
      </c>
      <c r="O43" s="106">
        <f t="shared" si="9"/>
        <v>0</v>
      </c>
      <c r="P43" s="106"/>
      <c r="R43" s="186"/>
      <c r="S43" s="186"/>
      <c r="T43" s="106"/>
      <c r="U43" s="106" t="s">
        <v>455</v>
      </c>
      <c r="V43" s="106">
        <f t="shared" ref="V43:V53" si="10">IF(U43&gt;0,(HLOOKUP(U43,$F$17:$O$19,3,FALSE)),(0))</f>
        <v>2</v>
      </c>
      <c r="W43" s="106">
        <f t="shared" ref="W43:W53" si="11">IF(S43&gt;0,(VLOOKUP(S43,$A$10:$B$16,2,FALSE)),(0))</f>
        <v>0</v>
      </c>
      <c r="X43" s="106"/>
      <c r="Y43" s="351"/>
    </row>
    <row r="44" spans="1:25" x14ac:dyDescent="0.2">
      <c r="A44" s="105">
        <v>6</v>
      </c>
      <c r="B44" s="105">
        <f t="shared" si="1"/>
        <v>0</v>
      </c>
      <c r="C44" s="105">
        <v>4</v>
      </c>
      <c r="D44" s="105"/>
      <c r="E44" s="260"/>
      <c r="F44" s="345">
        <f t="shared" si="9"/>
        <v>0</v>
      </c>
      <c r="G44" s="106">
        <f t="shared" si="9"/>
        <v>0</v>
      </c>
      <c r="H44" s="106">
        <f t="shared" si="9"/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7">
        <f t="shared" si="9"/>
        <v>0</v>
      </c>
      <c r="N44" s="106">
        <f t="shared" si="9"/>
        <v>0</v>
      </c>
      <c r="O44" s="106">
        <f t="shared" si="9"/>
        <v>0</v>
      </c>
      <c r="P44" s="106"/>
      <c r="R44" s="186"/>
      <c r="S44" s="186"/>
      <c r="T44" s="106"/>
      <c r="U44" s="106"/>
      <c r="V44" s="106">
        <f t="shared" si="10"/>
        <v>0</v>
      </c>
      <c r="W44" s="106">
        <f t="shared" si="11"/>
        <v>0</v>
      </c>
      <c r="X44" s="106"/>
      <c r="Y44" s="351"/>
    </row>
    <row r="45" spans="1:25" x14ac:dyDescent="0.2">
      <c r="A45" s="105">
        <v>7</v>
      </c>
      <c r="B45" s="105">
        <f t="shared" si="1"/>
        <v>0</v>
      </c>
      <c r="C45" s="105">
        <v>20</v>
      </c>
      <c r="D45" s="105"/>
      <c r="E45" s="260"/>
      <c r="F45" s="345">
        <f t="shared" si="9"/>
        <v>0</v>
      </c>
      <c r="G45" s="106">
        <f t="shared" si="9"/>
        <v>0</v>
      </c>
      <c r="H45" s="106">
        <f t="shared" si="9"/>
        <v>0</v>
      </c>
      <c r="I45" s="106">
        <f t="shared" si="9"/>
        <v>0</v>
      </c>
      <c r="J45" s="106">
        <f t="shared" si="9"/>
        <v>0</v>
      </c>
      <c r="K45" s="106">
        <f t="shared" si="9"/>
        <v>0</v>
      </c>
      <c r="L45" s="106">
        <f t="shared" si="9"/>
        <v>0</v>
      </c>
      <c r="M45" s="107">
        <f t="shared" si="9"/>
        <v>0</v>
      </c>
      <c r="N45" s="106">
        <f t="shared" si="9"/>
        <v>0</v>
      </c>
      <c r="O45" s="106">
        <f t="shared" si="9"/>
        <v>0</v>
      </c>
      <c r="P45" s="106"/>
      <c r="R45" s="186"/>
      <c r="S45" s="186"/>
      <c r="T45" s="106"/>
      <c r="U45" s="106"/>
      <c r="V45" s="106">
        <f t="shared" si="10"/>
        <v>0</v>
      </c>
      <c r="W45" s="106">
        <f t="shared" si="11"/>
        <v>0</v>
      </c>
      <c r="X45" s="106"/>
      <c r="Y45" s="351"/>
    </row>
    <row r="46" spans="1:25" x14ac:dyDescent="0.2">
      <c r="A46" s="105">
        <v>7</v>
      </c>
      <c r="B46" s="105">
        <f t="shared" si="1"/>
        <v>0</v>
      </c>
      <c r="C46" s="105">
        <v>10</v>
      </c>
      <c r="D46" s="105"/>
      <c r="E46" s="260"/>
      <c r="F46" s="345">
        <f t="shared" si="9"/>
        <v>0</v>
      </c>
      <c r="G46" s="106">
        <f t="shared" si="9"/>
        <v>0</v>
      </c>
      <c r="H46" s="106">
        <f t="shared" si="9"/>
        <v>0</v>
      </c>
      <c r="I46" s="106">
        <f t="shared" si="9"/>
        <v>0</v>
      </c>
      <c r="J46" s="106">
        <f t="shared" si="9"/>
        <v>0</v>
      </c>
      <c r="K46" s="106">
        <f t="shared" si="9"/>
        <v>0</v>
      </c>
      <c r="L46" s="106">
        <f t="shared" si="9"/>
        <v>0</v>
      </c>
      <c r="M46" s="107">
        <f t="shared" si="9"/>
        <v>0</v>
      </c>
      <c r="N46" s="106">
        <f t="shared" si="9"/>
        <v>0</v>
      </c>
      <c r="O46" s="106">
        <f t="shared" si="9"/>
        <v>0</v>
      </c>
      <c r="P46" s="106"/>
      <c r="R46" s="186"/>
      <c r="S46" s="186"/>
      <c r="T46" s="106"/>
      <c r="U46" s="106"/>
      <c r="V46" s="106">
        <f t="shared" si="10"/>
        <v>0</v>
      </c>
      <c r="W46" s="106">
        <f t="shared" si="11"/>
        <v>0</v>
      </c>
      <c r="X46" s="106"/>
      <c r="Y46" s="351"/>
    </row>
    <row r="47" spans="1:25" x14ac:dyDescent="0.2">
      <c r="A47" s="105">
        <v>7</v>
      </c>
      <c r="B47" s="105">
        <f t="shared" si="1"/>
        <v>0</v>
      </c>
      <c r="C47" s="105">
        <v>5</v>
      </c>
      <c r="D47" s="105"/>
      <c r="E47" s="260"/>
      <c r="F47" s="345">
        <f t="shared" si="9"/>
        <v>0</v>
      </c>
      <c r="G47" s="106">
        <f t="shared" si="9"/>
        <v>0</v>
      </c>
      <c r="H47" s="106">
        <f t="shared" si="9"/>
        <v>0</v>
      </c>
      <c r="I47" s="106">
        <f t="shared" si="9"/>
        <v>0</v>
      </c>
      <c r="J47" s="106">
        <f t="shared" si="9"/>
        <v>0</v>
      </c>
      <c r="K47" s="106">
        <f t="shared" si="9"/>
        <v>0</v>
      </c>
      <c r="L47" s="106">
        <f t="shared" si="9"/>
        <v>0</v>
      </c>
      <c r="M47" s="107">
        <f t="shared" si="9"/>
        <v>0</v>
      </c>
      <c r="N47" s="106">
        <f t="shared" si="9"/>
        <v>0</v>
      </c>
      <c r="O47" s="106">
        <f t="shared" si="9"/>
        <v>0</v>
      </c>
      <c r="P47" s="106"/>
      <c r="R47" s="186"/>
      <c r="S47" s="186"/>
      <c r="T47" s="106"/>
      <c r="U47" s="106"/>
      <c r="V47" s="106">
        <f t="shared" si="10"/>
        <v>0</v>
      </c>
      <c r="W47" s="106">
        <f t="shared" si="11"/>
        <v>0</v>
      </c>
      <c r="X47" s="106"/>
      <c r="Y47" s="351"/>
    </row>
    <row r="48" spans="1:25" x14ac:dyDescent="0.2">
      <c r="A48" s="105">
        <v>7</v>
      </c>
      <c r="B48" s="105">
        <f t="shared" si="1"/>
        <v>0</v>
      </c>
      <c r="C48" s="105">
        <v>4</v>
      </c>
      <c r="D48" s="105"/>
      <c r="E48" s="260"/>
      <c r="F48" s="345">
        <f t="shared" si="9"/>
        <v>0</v>
      </c>
      <c r="G48" s="106">
        <f t="shared" si="9"/>
        <v>0</v>
      </c>
      <c r="H48" s="106">
        <f t="shared" si="9"/>
        <v>0</v>
      </c>
      <c r="I48" s="106">
        <f t="shared" si="9"/>
        <v>0</v>
      </c>
      <c r="J48" s="106">
        <f t="shared" si="9"/>
        <v>0</v>
      </c>
      <c r="K48" s="106">
        <f t="shared" si="9"/>
        <v>0</v>
      </c>
      <c r="L48" s="106">
        <f t="shared" si="9"/>
        <v>0</v>
      </c>
      <c r="M48" s="107">
        <f t="shared" si="9"/>
        <v>0</v>
      </c>
      <c r="N48" s="106">
        <f t="shared" si="9"/>
        <v>0</v>
      </c>
      <c r="O48" s="106">
        <f t="shared" si="9"/>
        <v>0</v>
      </c>
      <c r="P48" s="106"/>
      <c r="R48" s="186"/>
      <c r="S48" s="186"/>
      <c r="T48" s="106"/>
      <c r="U48" s="106"/>
      <c r="V48" s="106">
        <f t="shared" si="10"/>
        <v>0</v>
      </c>
      <c r="W48" s="106">
        <f t="shared" si="11"/>
        <v>0</v>
      </c>
      <c r="X48" s="106"/>
      <c r="Y48" s="351"/>
    </row>
    <row r="49" spans="1:25" x14ac:dyDescent="0.2">
      <c r="A49" s="105">
        <v>8</v>
      </c>
      <c r="B49" s="105">
        <f t="shared" si="1"/>
        <v>0</v>
      </c>
      <c r="C49" s="105">
        <v>20</v>
      </c>
      <c r="D49" s="105"/>
      <c r="E49" s="260"/>
      <c r="F49" s="345">
        <f t="shared" si="9"/>
        <v>0</v>
      </c>
      <c r="G49" s="106">
        <f t="shared" si="9"/>
        <v>0</v>
      </c>
      <c r="H49" s="106">
        <f t="shared" si="9"/>
        <v>0</v>
      </c>
      <c r="I49" s="106">
        <f t="shared" si="9"/>
        <v>0</v>
      </c>
      <c r="J49" s="106">
        <f t="shared" si="9"/>
        <v>0</v>
      </c>
      <c r="K49" s="106">
        <f t="shared" si="9"/>
        <v>0</v>
      </c>
      <c r="L49" s="106">
        <f t="shared" si="9"/>
        <v>0</v>
      </c>
      <c r="M49" s="107">
        <f t="shared" si="9"/>
        <v>0</v>
      </c>
      <c r="N49" s="106">
        <f t="shared" si="9"/>
        <v>0</v>
      </c>
      <c r="O49" s="106">
        <f t="shared" si="9"/>
        <v>0</v>
      </c>
      <c r="P49" s="106"/>
      <c r="R49" s="186"/>
      <c r="S49" s="186"/>
      <c r="T49" s="106"/>
      <c r="U49" s="106"/>
      <c r="V49" s="106">
        <f t="shared" si="10"/>
        <v>0</v>
      </c>
      <c r="W49" s="106">
        <f t="shared" si="11"/>
        <v>0</v>
      </c>
      <c r="X49" s="106"/>
      <c r="Y49" s="351"/>
    </row>
    <row r="50" spans="1:25" x14ac:dyDescent="0.2">
      <c r="A50" s="105">
        <v>8</v>
      </c>
      <c r="B50" s="105">
        <f t="shared" si="1"/>
        <v>0</v>
      </c>
      <c r="C50" s="105">
        <v>10</v>
      </c>
      <c r="D50" s="105"/>
      <c r="E50" s="260"/>
      <c r="F50" s="345">
        <f t="shared" si="9"/>
        <v>0</v>
      </c>
      <c r="G50" s="106">
        <f t="shared" si="9"/>
        <v>0</v>
      </c>
      <c r="H50" s="106">
        <f t="shared" si="9"/>
        <v>0</v>
      </c>
      <c r="I50" s="106">
        <f t="shared" si="9"/>
        <v>0</v>
      </c>
      <c r="J50" s="106">
        <f t="shared" si="9"/>
        <v>0</v>
      </c>
      <c r="K50" s="106">
        <f t="shared" si="9"/>
        <v>0</v>
      </c>
      <c r="L50" s="106">
        <f t="shared" si="9"/>
        <v>0</v>
      </c>
      <c r="M50" s="107">
        <f t="shared" si="9"/>
        <v>0</v>
      </c>
      <c r="N50" s="106">
        <f t="shared" si="9"/>
        <v>0</v>
      </c>
      <c r="O50" s="106">
        <f t="shared" si="9"/>
        <v>0</v>
      </c>
      <c r="P50" s="106"/>
      <c r="R50" s="186"/>
      <c r="S50" s="186"/>
      <c r="T50" s="106"/>
      <c r="U50" s="106"/>
      <c r="V50" s="106">
        <f t="shared" si="10"/>
        <v>0</v>
      </c>
      <c r="W50" s="106">
        <f t="shared" si="11"/>
        <v>0</v>
      </c>
      <c r="X50" s="106"/>
      <c r="Y50" s="351"/>
    </row>
    <row r="51" spans="1:25" x14ac:dyDescent="0.2">
      <c r="A51" s="105">
        <v>8</v>
      </c>
      <c r="B51" s="105">
        <f t="shared" si="1"/>
        <v>0</v>
      </c>
      <c r="C51" s="105">
        <v>5</v>
      </c>
      <c r="D51" s="105"/>
      <c r="E51" s="260"/>
      <c r="F51" s="345">
        <f t="shared" ref="F51:O60" si="12">-IF($A51&gt;F$19,0,IF(F$19&gt;$C51+$A51-1,0,IF($J$11=1,SYD($B51,$D51,$C51,F$19),SLN($B51,$D51,$C51))))</f>
        <v>0</v>
      </c>
      <c r="G51" s="106">
        <f t="shared" si="12"/>
        <v>0</v>
      </c>
      <c r="H51" s="106">
        <f t="shared" si="12"/>
        <v>0</v>
      </c>
      <c r="I51" s="106">
        <f t="shared" si="12"/>
        <v>0</v>
      </c>
      <c r="J51" s="106">
        <f t="shared" si="12"/>
        <v>0</v>
      </c>
      <c r="K51" s="106">
        <f t="shared" si="12"/>
        <v>0</v>
      </c>
      <c r="L51" s="106">
        <f t="shared" si="12"/>
        <v>0</v>
      </c>
      <c r="M51" s="107">
        <f t="shared" si="12"/>
        <v>0</v>
      </c>
      <c r="N51" s="106">
        <f t="shared" si="12"/>
        <v>0</v>
      </c>
      <c r="O51" s="106">
        <f t="shared" si="12"/>
        <v>0</v>
      </c>
      <c r="P51" s="106"/>
      <c r="R51" s="186"/>
      <c r="S51" s="186"/>
      <c r="T51" s="106"/>
      <c r="U51" s="106"/>
      <c r="V51" s="106">
        <f t="shared" si="10"/>
        <v>0</v>
      </c>
      <c r="W51" s="106">
        <f t="shared" si="11"/>
        <v>0</v>
      </c>
      <c r="X51" s="106"/>
      <c r="Y51" s="351"/>
    </row>
    <row r="52" spans="1:25" x14ac:dyDescent="0.2">
      <c r="A52" s="105">
        <v>8</v>
      </c>
      <c r="B52" s="105">
        <f t="shared" si="1"/>
        <v>0</v>
      </c>
      <c r="C52" s="105">
        <v>4</v>
      </c>
      <c r="D52" s="105"/>
      <c r="E52" s="260"/>
      <c r="F52" s="345">
        <f t="shared" si="12"/>
        <v>0</v>
      </c>
      <c r="G52" s="106">
        <f t="shared" si="12"/>
        <v>0</v>
      </c>
      <c r="H52" s="106">
        <f t="shared" si="12"/>
        <v>0</v>
      </c>
      <c r="I52" s="106">
        <f t="shared" si="12"/>
        <v>0</v>
      </c>
      <c r="J52" s="106">
        <f t="shared" si="12"/>
        <v>0</v>
      </c>
      <c r="K52" s="106">
        <f t="shared" si="12"/>
        <v>0</v>
      </c>
      <c r="L52" s="106">
        <f t="shared" si="12"/>
        <v>0</v>
      </c>
      <c r="M52" s="107">
        <f t="shared" si="12"/>
        <v>0</v>
      </c>
      <c r="N52" s="106">
        <f t="shared" si="12"/>
        <v>0</v>
      </c>
      <c r="O52" s="106">
        <f t="shared" si="12"/>
        <v>0</v>
      </c>
      <c r="P52" s="106"/>
      <c r="R52" s="186"/>
      <c r="S52" s="186"/>
      <c r="T52" s="106"/>
      <c r="U52" s="106"/>
      <c r="V52" s="106">
        <f t="shared" si="10"/>
        <v>0</v>
      </c>
      <c r="W52" s="106">
        <f t="shared" si="11"/>
        <v>0</v>
      </c>
      <c r="X52" s="106"/>
      <c r="Y52" s="351"/>
    </row>
    <row r="53" spans="1:25" x14ac:dyDescent="0.2">
      <c r="A53" s="105">
        <v>9</v>
      </c>
      <c r="B53" s="105">
        <f t="shared" si="1"/>
        <v>0</v>
      </c>
      <c r="C53" s="105">
        <v>20</v>
      </c>
      <c r="D53" s="105"/>
      <c r="E53" s="260"/>
      <c r="F53" s="345">
        <f t="shared" si="12"/>
        <v>0</v>
      </c>
      <c r="G53" s="106">
        <f t="shared" si="12"/>
        <v>0</v>
      </c>
      <c r="H53" s="106">
        <f t="shared" si="12"/>
        <v>0</v>
      </c>
      <c r="I53" s="106">
        <f t="shared" si="12"/>
        <v>0</v>
      </c>
      <c r="J53" s="106">
        <f t="shared" si="12"/>
        <v>0</v>
      </c>
      <c r="K53" s="106">
        <f t="shared" si="12"/>
        <v>0</v>
      </c>
      <c r="L53" s="106">
        <f t="shared" si="12"/>
        <v>0</v>
      </c>
      <c r="M53" s="107">
        <f t="shared" si="12"/>
        <v>0</v>
      </c>
      <c r="N53" s="106">
        <f t="shared" si="12"/>
        <v>0</v>
      </c>
      <c r="O53" s="106">
        <f t="shared" si="12"/>
        <v>0</v>
      </c>
      <c r="P53" s="106"/>
      <c r="R53" s="186"/>
      <c r="S53" s="186"/>
      <c r="T53" s="106"/>
      <c r="U53" s="106"/>
      <c r="V53" s="106">
        <f t="shared" si="10"/>
        <v>0</v>
      </c>
      <c r="W53" s="106">
        <f t="shared" si="11"/>
        <v>0</v>
      </c>
      <c r="X53" s="106"/>
      <c r="Y53" s="351"/>
    </row>
    <row r="54" spans="1:25" x14ac:dyDescent="0.2">
      <c r="A54" s="105">
        <v>9</v>
      </c>
      <c r="B54" s="105">
        <f t="shared" si="1"/>
        <v>0</v>
      </c>
      <c r="C54" s="105">
        <v>10</v>
      </c>
      <c r="D54" s="105"/>
      <c r="E54" s="260"/>
      <c r="F54" s="345">
        <f t="shared" si="12"/>
        <v>0</v>
      </c>
      <c r="G54" s="106">
        <f t="shared" si="12"/>
        <v>0</v>
      </c>
      <c r="H54" s="106">
        <f t="shared" si="12"/>
        <v>0</v>
      </c>
      <c r="I54" s="106">
        <f t="shared" si="12"/>
        <v>0</v>
      </c>
      <c r="J54" s="106">
        <f t="shared" si="12"/>
        <v>0</v>
      </c>
      <c r="K54" s="106">
        <f t="shared" si="12"/>
        <v>0</v>
      </c>
      <c r="L54" s="106">
        <f t="shared" si="12"/>
        <v>0</v>
      </c>
      <c r="M54" s="107">
        <f t="shared" si="12"/>
        <v>0</v>
      </c>
      <c r="N54" s="106">
        <f t="shared" si="12"/>
        <v>0</v>
      </c>
      <c r="O54" s="106">
        <f t="shared" si="12"/>
        <v>0</v>
      </c>
      <c r="P54" s="106"/>
      <c r="R54" s="186"/>
      <c r="S54" s="186"/>
      <c r="T54" s="106"/>
      <c r="U54" s="106"/>
      <c r="V54" s="106">
        <f t="shared" ref="V54:V69" si="13">IF(U54&gt;0,(HLOOKUP(U54,$F$17:$O$19,3,FALSE)),(0))</f>
        <v>0</v>
      </c>
      <c r="W54" s="106">
        <f t="shared" ref="W54:W69" si="14">IF(S54&gt;0,(VLOOKUP(S54,$A$10:$B$16,2,FALSE)),(0))</f>
        <v>0</v>
      </c>
      <c r="X54" s="106"/>
      <c r="Y54" s="351"/>
    </row>
    <row r="55" spans="1:25" x14ac:dyDescent="0.2">
      <c r="A55" s="105">
        <v>9</v>
      </c>
      <c r="B55" s="105">
        <f t="shared" si="1"/>
        <v>0</v>
      </c>
      <c r="C55" s="105">
        <v>5</v>
      </c>
      <c r="D55" s="105"/>
      <c r="E55" s="260"/>
      <c r="F55" s="345">
        <f t="shared" si="12"/>
        <v>0</v>
      </c>
      <c r="G55" s="106">
        <f t="shared" si="12"/>
        <v>0</v>
      </c>
      <c r="H55" s="106">
        <f t="shared" si="12"/>
        <v>0</v>
      </c>
      <c r="I55" s="106">
        <f t="shared" si="12"/>
        <v>0</v>
      </c>
      <c r="J55" s="106">
        <f t="shared" si="12"/>
        <v>0</v>
      </c>
      <c r="K55" s="106">
        <f t="shared" si="12"/>
        <v>0</v>
      </c>
      <c r="L55" s="106">
        <f t="shared" si="12"/>
        <v>0</v>
      </c>
      <c r="M55" s="107">
        <f t="shared" si="12"/>
        <v>0</v>
      </c>
      <c r="N55" s="106">
        <f t="shared" si="12"/>
        <v>0</v>
      </c>
      <c r="O55" s="106">
        <f t="shared" si="12"/>
        <v>0</v>
      </c>
      <c r="P55" s="106"/>
      <c r="R55" s="186"/>
      <c r="S55" s="186"/>
      <c r="T55" s="106"/>
      <c r="U55" s="106"/>
      <c r="V55" s="106">
        <f t="shared" si="13"/>
        <v>0</v>
      </c>
      <c r="W55" s="106">
        <f t="shared" si="14"/>
        <v>0</v>
      </c>
      <c r="X55" s="106"/>
      <c r="Y55" s="351"/>
    </row>
    <row r="56" spans="1:25" x14ac:dyDescent="0.2">
      <c r="A56" s="105">
        <v>9</v>
      </c>
      <c r="B56" s="105">
        <f t="shared" si="1"/>
        <v>0</v>
      </c>
      <c r="C56" s="105">
        <v>4</v>
      </c>
      <c r="D56" s="105"/>
      <c r="E56" s="260"/>
      <c r="F56" s="345">
        <f t="shared" si="12"/>
        <v>0</v>
      </c>
      <c r="G56" s="106">
        <f t="shared" si="12"/>
        <v>0</v>
      </c>
      <c r="H56" s="106">
        <f t="shared" si="12"/>
        <v>0</v>
      </c>
      <c r="I56" s="106">
        <f t="shared" si="12"/>
        <v>0</v>
      </c>
      <c r="J56" s="106">
        <f t="shared" si="12"/>
        <v>0</v>
      </c>
      <c r="K56" s="106">
        <f t="shared" si="12"/>
        <v>0</v>
      </c>
      <c r="L56" s="106">
        <f t="shared" si="12"/>
        <v>0</v>
      </c>
      <c r="M56" s="107">
        <f t="shared" si="12"/>
        <v>0</v>
      </c>
      <c r="N56" s="106">
        <f t="shared" si="12"/>
        <v>0</v>
      </c>
      <c r="O56" s="106">
        <f t="shared" si="12"/>
        <v>0</v>
      </c>
      <c r="P56" s="106"/>
      <c r="R56" s="186"/>
      <c r="S56" s="186"/>
      <c r="T56" s="106"/>
      <c r="U56" s="106"/>
      <c r="V56" s="106">
        <f t="shared" si="13"/>
        <v>0</v>
      </c>
      <c r="W56" s="106">
        <f t="shared" si="14"/>
        <v>0</v>
      </c>
      <c r="X56" s="106"/>
      <c r="Y56" s="351"/>
    </row>
    <row r="57" spans="1:25" x14ac:dyDescent="0.2">
      <c r="A57" s="105">
        <v>10</v>
      </c>
      <c r="B57" s="105">
        <f t="shared" si="1"/>
        <v>0</v>
      </c>
      <c r="C57" s="105">
        <v>20</v>
      </c>
      <c r="D57" s="105"/>
      <c r="E57" s="260"/>
      <c r="F57" s="345">
        <f t="shared" si="12"/>
        <v>0</v>
      </c>
      <c r="G57" s="106">
        <f t="shared" si="12"/>
        <v>0</v>
      </c>
      <c r="H57" s="106">
        <f t="shared" si="12"/>
        <v>0</v>
      </c>
      <c r="I57" s="106">
        <f t="shared" si="12"/>
        <v>0</v>
      </c>
      <c r="J57" s="106">
        <f t="shared" si="12"/>
        <v>0</v>
      </c>
      <c r="K57" s="106">
        <f t="shared" si="12"/>
        <v>0</v>
      </c>
      <c r="L57" s="106">
        <f t="shared" si="12"/>
        <v>0</v>
      </c>
      <c r="M57" s="107">
        <f t="shared" si="12"/>
        <v>0</v>
      </c>
      <c r="N57" s="106">
        <f t="shared" si="12"/>
        <v>0</v>
      </c>
      <c r="O57" s="106">
        <f t="shared" si="12"/>
        <v>0</v>
      </c>
      <c r="P57" s="106"/>
      <c r="R57" s="186"/>
      <c r="S57" s="186"/>
      <c r="T57" s="106"/>
      <c r="U57" s="106"/>
      <c r="V57" s="106">
        <f t="shared" si="13"/>
        <v>0</v>
      </c>
      <c r="W57" s="106">
        <f t="shared" si="14"/>
        <v>0</v>
      </c>
      <c r="X57" s="106"/>
      <c r="Y57" s="351"/>
    </row>
    <row r="58" spans="1:25" x14ac:dyDescent="0.2">
      <c r="A58" s="105">
        <v>10</v>
      </c>
      <c r="B58" s="105">
        <f t="shared" si="1"/>
        <v>0</v>
      </c>
      <c r="C58" s="105">
        <v>10</v>
      </c>
      <c r="D58" s="105"/>
      <c r="E58" s="260"/>
      <c r="F58" s="345">
        <f t="shared" si="12"/>
        <v>0</v>
      </c>
      <c r="G58" s="106">
        <f t="shared" si="12"/>
        <v>0</v>
      </c>
      <c r="H58" s="106">
        <f t="shared" si="12"/>
        <v>0</v>
      </c>
      <c r="I58" s="106">
        <f t="shared" si="12"/>
        <v>0</v>
      </c>
      <c r="J58" s="106">
        <f t="shared" si="12"/>
        <v>0</v>
      </c>
      <c r="K58" s="106">
        <f t="shared" si="12"/>
        <v>0</v>
      </c>
      <c r="L58" s="106">
        <f t="shared" si="12"/>
        <v>0</v>
      </c>
      <c r="M58" s="107">
        <f t="shared" si="12"/>
        <v>0</v>
      </c>
      <c r="N58" s="106">
        <f t="shared" si="12"/>
        <v>0</v>
      </c>
      <c r="O58" s="106">
        <f t="shared" si="12"/>
        <v>0</v>
      </c>
      <c r="P58" s="106"/>
      <c r="R58" s="186"/>
      <c r="S58" s="186"/>
      <c r="T58" s="106"/>
      <c r="U58" s="106"/>
      <c r="V58" s="106">
        <f t="shared" si="13"/>
        <v>0</v>
      </c>
      <c r="W58" s="106">
        <f t="shared" si="14"/>
        <v>0</v>
      </c>
      <c r="X58" s="106"/>
      <c r="Y58" s="351"/>
    </row>
    <row r="59" spans="1:25" x14ac:dyDescent="0.2">
      <c r="A59" s="105">
        <v>10</v>
      </c>
      <c r="B59" s="105">
        <f t="shared" si="1"/>
        <v>0</v>
      </c>
      <c r="C59" s="105">
        <v>5</v>
      </c>
      <c r="D59" s="105"/>
      <c r="E59" s="260"/>
      <c r="F59" s="345">
        <f t="shared" si="12"/>
        <v>0</v>
      </c>
      <c r="G59" s="106">
        <f t="shared" si="12"/>
        <v>0</v>
      </c>
      <c r="H59" s="106">
        <f t="shared" si="12"/>
        <v>0</v>
      </c>
      <c r="I59" s="106">
        <f t="shared" si="12"/>
        <v>0</v>
      </c>
      <c r="J59" s="106">
        <f t="shared" si="12"/>
        <v>0</v>
      </c>
      <c r="K59" s="106">
        <f t="shared" si="12"/>
        <v>0</v>
      </c>
      <c r="L59" s="106">
        <f t="shared" si="12"/>
        <v>0</v>
      </c>
      <c r="M59" s="107">
        <f t="shared" si="12"/>
        <v>0</v>
      </c>
      <c r="N59" s="106">
        <f t="shared" si="12"/>
        <v>0</v>
      </c>
      <c r="O59" s="106">
        <f t="shared" si="12"/>
        <v>0</v>
      </c>
      <c r="P59" s="106"/>
      <c r="R59" s="186"/>
      <c r="S59" s="186"/>
      <c r="T59" s="106"/>
      <c r="U59" s="106"/>
      <c r="V59" s="106">
        <f t="shared" si="13"/>
        <v>0</v>
      </c>
      <c r="W59" s="106">
        <f t="shared" si="14"/>
        <v>0</v>
      </c>
      <c r="X59" s="106"/>
      <c r="Y59" s="351"/>
    </row>
    <row r="60" spans="1:25" x14ac:dyDescent="0.2">
      <c r="A60" s="105">
        <v>10</v>
      </c>
      <c r="B60" s="105">
        <f t="shared" si="1"/>
        <v>0</v>
      </c>
      <c r="C60" s="105">
        <v>4</v>
      </c>
      <c r="D60" s="105"/>
      <c r="E60" s="260"/>
      <c r="F60" s="345">
        <f t="shared" si="12"/>
        <v>0</v>
      </c>
      <c r="G60" s="106">
        <f t="shared" si="12"/>
        <v>0</v>
      </c>
      <c r="H60" s="106">
        <f t="shared" si="12"/>
        <v>0</v>
      </c>
      <c r="I60" s="106">
        <f t="shared" si="12"/>
        <v>0</v>
      </c>
      <c r="J60" s="106">
        <f t="shared" si="12"/>
        <v>0</v>
      </c>
      <c r="K60" s="106">
        <f t="shared" si="12"/>
        <v>0</v>
      </c>
      <c r="L60" s="106">
        <f t="shared" si="12"/>
        <v>0</v>
      </c>
      <c r="M60" s="107">
        <f t="shared" si="12"/>
        <v>0</v>
      </c>
      <c r="N60" s="106">
        <f t="shared" si="12"/>
        <v>0</v>
      </c>
      <c r="O60" s="106">
        <f t="shared" si="12"/>
        <v>0</v>
      </c>
      <c r="P60" s="106"/>
      <c r="R60" s="186"/>
      <c r="S60" s="186"/>
      <c r="T60" s="106"/>
      <c r="U60" s="106"/>
      <c r="V60" s="106">
        <f t="shared" si="13"/>
        <v>0</v>
      </c>
      <c r="W60" s="106">
        <f t="shared" si="14"/>
        <v>0</v>
      </c>
      <c r="X60" s="106"/>
      <c r="Y60" s="351"/>
    </row>
    <row r="61" spans="1:25" x14ac:dyDescent="0.2">
      <c r="A61" s="41"/>
      <c r="B61" s="44"/>
      <c r="C61" s="34"/>
      <c r="D61" s="79"/>
      <c r="E61" s="27"/>
      <c r="F61" s="263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3"/>
      <c r="R61" s="37"/>
      <c r="S61" s="37"/>
      <c r="T61" s="27"/>
      <c r="U61" s="27"/>
      <c r="V61" s="27">
        <f t="shared" si="13"/>
        <v>0</v>
      </c>
      <c r="W61" s="27">
        <f t="shared" si="14"/>
        <v>0</v>
      </c>
      <c r="X61" s="27"/>
    </row>
    <row r="62" spans="1:25" x14ac:dyDescent="0.2">
      <c r="A62" s="35"/>
      <c r="B62" s="105">
        <f>SUM(B21:B40)</f>
        <v>33946429.391579621</v>
      </c>
      <c r="C62" s="37" t="s">
        <v>368</v>
      </c>
      <c r="D62" s="494">
        <f>B62+SUM(F62:I62)</f>
        <v>21330820.878315926</v>
      </c>
      <c r="E62" s="27"/>
      <c r="F62" s="483">
        <f>SUM(F21:F60)</f>
        <v>-2603333.8783159237</v>
      </c>
      <c r="G62" s="312">
        <f t="shared" ref="G62:O62" si="15">SUM(G21:G60)</f>
        <v>-3337424.8783159237</v>
      </c>
      <c r="H62" s="312">
        <f t="shared" si="15"/>
        <v>-3337424.8783159237</v>
      </c>
      <c r="I62" s="312">
        <f t="shared" si="15"/>
        <v>-3337424.8783159237</v>
      </c>
      <c r="J62" s="312">
        <f t="shared" si="15"/>
        <v>-3337424.8783159237</v>
      </c>
      <c r="K62" s="312">
        <f t="shared" si="15"/>
        <v>-1797181</v>
      </c>
      <c r="L62" s="312">
        <f t="shared" si="15"/>
        <v>-1797181</v>
      </c>
      <c r="M62" s="282">
        <f t="shared" si="15"/>
        <v>-1797181</v>
      </c>
      <c r="N62" s="312">
        <f t="shared" si="15"/>
        <v>-1797181</v>
      </c>
      <c r="O62" s="312">
        <f t="shared" si="15"/>
        <v>-1797181</v>
      </c>
      <c r="P62" s="312"/>
      <c r="Q62" s="198"/>
      <c r="R62" s="588"/>
      <c r="S62" s="588"/>
      <c r="T62" s="312"/>
      <c r="U62" s="312"/>
      <c r="V62" s="312">
        <f t="shared" si="13"/>
        <v>0</v>
      </c>
      <c r="W62" s="312">
        <f t="shared" si="14"/>
        <v>0</v>
      </c>
      <c r="X62" s="312"/>
    </row>
    <row r="63" spans="1:25" x14ac:dyDescent="0.2">
      <c r="A63" s="35"/>
      <c r="B63" s="37"/>
      <c r="C63" s="37"/>
      <c r="D63" s="27"/>
      <c r="E63" s="27"/>
      <c r="F63" s="263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198"/>
      <c r="R63" s="37"/>
      <c r="S63" s="37"/>
      <c r="T63" s="27"/>
      <c r="U63" s="27"/>
      <c r="V63" s="27">
        <f t="shared" si="13"/>
        <v>0</v>
      </c>
      <c r="W63" s="27">
        <f t="shared" si="14"/>
        <v>0</v>
      </c>
      <c r="X63" s="27"/>
    </row>
    <row r="64" spans="1:25" x14ac:dyDescent="0.2">
      <c r="A64" s="105" t="s">
        <v>25</v>
      </c>
      <c r="B64" s="105"/>
      <c r="C64" s="105"/>
      <c r="D64" s="105"/>
      <c r="E64" s="260"/>
      <c r="F64" s="483">
        <f>F62</f>
        <v>-2603333.8783159237</v>
      </c>
      <c r="G64" s="312">
        <f t="shared" ref="G64:O64" si="16">G62</f>
        <v>-3337424.8783159237</v>
      </c>
      <c r="H64" s="312">
        <f t="shared" si="16"/>
        <v>-3337424.8783159237</v>
      </c>
      <c r="I64" s="312">
        <f t="shared" si="16"/>
        <v>-3337424.8783159237</v>
      </c>
      <c r="J64" s="312">
        <f t="shared" si="16"/>
        <v>-3337424.8783159237</v>
      </c>
      <c r="K64" s="312">
        <f t="shared" si="16"/>
        <v>-1797181</v>
      </c>
      <c r="L64" s="312">
        <f t="shared" si="16"/>
        <v>-1797181</v>
      </c>
      <c r="M64" s="282">
        <f t="shared" si="16"/>
        <v>-1797181</v>
      </c>
      <c r="N64" s="312">
        <f t="shared" si="16"/>
        <v>-1797181</v>
      </c>
      <c r="O64" s="312">
        <f t="shared" si="16"/>
        <v>-1797181</v>
      </c>
      <c r="P64" s="312"/>
      <c r="Q64" s="198"/>
      <c r="R64" s="588"/>
      <c r="S64" s="588"/>
      <c r="T64" s="312"/>
      <c r="U64" s="312"/>
      <c r="V64" s="312">
        <f t="shared" si="13"/>
        <v>0</v>
      </c>
      <c r="W64" s="312">
        <f t="shared" si="14"/>
        <v>0</v>
      </c>
      <c r="X64" s="312"/>
    </row>
    <row r="65" spans="1:25" x14ac:dyDescent="0.2">
      <c r="A65" s="105" t="s">
        <v>26</v>
      </c>
      <c r="B65" s="105"/>
      <c r="C65" s="105"/>
      <c r="D65" s="105"/>
      <c r="E65" s="260"/>
      <c r="F65" s="483"/>
      <c r="G65" s="312"/>
      <c r="H65" s="312"/>
      <c r="I65" s="312"/>
      <c r="J65" s="312"/>
      <c r="K65" s="312"/>
      <c r="L65" s="312"/>
      <c r="M65" s="282"/>
      <c r="N65" s="312"/>
      <c r="O65" s="312"/>
      <c r="P65" s="312"/>
      <c r="Q65" s="198"/>
      <c r="R65" s="588"/>
      <c r="S65" s="588"/>
      <c r="T65" s="312"/>
      <c r="U65" s="312"/>
      <c r="V65" s="312">
        <f t="shared" si="13"/>
        <v>0</v>
      </c>
      <c r="W65" s="312">
        <f t="shared" si="14"/>
        <v>0</v>
      </c>
      <c r="X65" s="312"/>
    </row>
    <row r="66" spans="1:25" x14ac:dyDescent="0.2">
      <c r="A66" s="42"/>
      <c r="B66" s="43"/>
      <c r="C66" s="43"/>
      <c r="D66" s="27"/>
      <c r="E66" s="27"/>
      <c r="F66" s="263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98"/>
      <c r="R66" s="37"/>
      <c r="S66" s="37"/>
      <c r="T66" s="27"/>
      <c r="U66" s="27"/>
      <c r="V66" s="27">
        <f t="shared" si="13"/>
        <v>0</v>
      </c>
      <c r="W66" s="27">
        <f t="shared" si="14"/>
        <v>0</v>
      </c>
      <c r="X66" s="27"/>
    </row>
    <row r="67" spans="1:25" ht="13.5" thickBot="1" x14ac:dyDescent="0.25">
      <c r="A67" s="105" t="s">
        <v>27</v>
      </c>
      <c r="B67" s="105"/>
      <c r="C67" s="105"/>
      <c r="D67" s="105"/>
      <c r="E67" s="260"/>
      <c r="F67" s="483">
        <f>IF($J$14=1,F64,F65)</f>
        <v>-2603333.8783159237</v>
      </c>
      <c r="G67" s="312">
        <f>IF($J$14=1,G64,G65)</f>
        <v>-3337424.8783159237</v>
      </c>
      <c r="H67" s="312">
        <f>IF($J$14=1,H64,H65)</f>
        <v>-3337424.8783159237</v>
      </c>
      <c r="I67" s="312">
        <f>IF($J$14=1,I64,I65)</f>
        <v>-3337424.8783159237</v>
      </c>
      <c r="J67" s="312">
        <f t="shared" ref="J67:O67" si="17">IF($J$14=1,J64,J65)</f>
        <v>-3337424.8783159237</v>
      </c>
      <c r="K67" s="312">
        <f t="shared" si="17"/>
        <v>-1797181</v>
      </c>
      <c r="L67" s="312">
        <f t="shared" si="17"/>
        <v>-1797181</v>
      </c>
      <c r="M67" s="282">
        <f t="shared" si="17"/>
        <v>-1797181</v>
      </c>
      <c r="N67" s="312">
        <f t="shared" si="17"/>
        <v>-1797181</v>
      </c>
      <c r="O67" s="312">
        <f t="shared" si="17"/>
        <v>-1797181</v>
      </c>
      <c r="P67" s="312"/>
      <c r="Q67" s="198"/>
      <c r="R67" s="312"/>
      <c r="S67" s="312"/>
      <c r="T67" s="312"/>
      <c r="U67" s="312"/>
      <c r="V67" s="312">
        <f t="shared" si="13"/>
        <v>0</v>
      </c>
      <c r="W67" s="312">
        <f t="shared" si="14"/>
        <v>0</v>
      </c>
      <c r="X67" s="312"/>
    </row>
    <row r="68" spans="1:25" ht="13.5" thickBot="1" x14ac:dyDescent="0.25">
      <c r="A68" s="42"/>
      <c r="B68" s="43"/>
      <c r="C68" s="43"/>
      <c r="D68" s="27"/>
      <c r="E68" s="27"/>
      <c r="F68" s="263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198"/>
      <c r="R68" s="601"/>
      <c r="S68" s="601"/>
      <c r="T68" s="602"/>
      <c r="U68" s="603"/>
      <c r="V68" s="603">
        <f t="shared" si="13"/>
        <v>0</v>
      </c>
      <c r="W68" s="603">
        <f t="shared" si="14"/>
        <v>0</v>
      </c>
      <c r="X68" s="602"/>
    </row>
    <row r="69" spans="1:25" ht="13.5" thickBot="1" x14ac:dyDescent="0.25">
      <c r="A69" s="35"/>
      <c r="B69" s="37"/>
      <c r="C69" s="37"/>
      <c r="D69" s="40" t="s">
        <v>28</v>
      </c>
      <c r="E69" s="27"/>
      <c r="F69" s="263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98"/>
      <c r="R69" s="601"/>
      <c r="S69" s="601"/>
      <c r="T69" s="602"/>
      <c r="U69" s="603"/>
      <c r="V69" s="603">
        <f t="shared" si="13"/>
        <v>0</v>
      </c>
      <c r="W69" s="603">
        <f t="shared" si="14"/>
        <v>0</v>
      </c>
      <c r="X69" s="602"/>
    </row>
    <row r="70" spans="1:25" ht="13.5" thickBot="1" x14ac:dyDescent="0.25">
      <c r="A70" s="105" t="s">
        <v>29</v>
      </c>
      <c r="B70" s="105"/>
      <c r="C70" s="105"/>
      <c r="D70" s="105">
        <v>20</v>
      </c>
      <c r="E70" s="260"/>
      <c r="F70" s="345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7">
        <v>0</v>
      </c>
      <c r="N70" s="106">
        <v>0</v>
      </c>
      <c r="O70" s="106">
        <v>0</v>
      </c>
      <c r="P70" s="106"/>
      <c r="Q70" s="3"/>
      <c r="R70" s="601"/>
      <c r="S70" s="601"/>
      <c r="T70" s="602"/>
      <c r="U70" s="603"/>
      <c r="V70" s="603">
        <f t="shared" ref="V70:V76" si="18">IF(U70&gt;0,(HLOOKUP(U70,$F$17:$O$19,3,FALSE)),(0))</f>
        <v>0</v>
      </c>
      <c r="W70" s="603">
        <f t="shared" ref="W70:W76" si="19">IF(S70&gt;0,(VLOOKUP(S70,$A$10:$B$16,2,FALSE)),(0))</f>
        <v>0</v>
      </c>
      <c r="X70" s="602"/>
      <c r="Y70" s="351"/>
    </row>
    <row r="71" spans="1:25" ht="13.5" thickBot="1" x14ac:dyDescent="0.25">
      <c r="A71" s="105" t="s">
        <v>30</v>
      </c>
      <c r="B71" s="105"/>
      <c r="C71" s="105"/>
      <c r="D71" s="105"/>
      <c r="E71" s="260"/>
      <c r="F71" s="345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7">
        <v>0</v>
      </c>
      <c r="N71" s="106">
        <v>0</v>
      </c>
      <c r="O71" s="106">
        <v>0</v>
      </c>
      <c r="P71" s="106"/>
      <c r="Q71" s="3"/>
      <c r="R71" s="601"/>
      <c r="S71" s="601"/>
      <c r="T71" s="602"/>
      <c r="U71" s="603"/>
      <c r="V71" s="603">
        <f t="shared" si="18"/>
        <v>0</v>
      </c>
      <c r="W71" s="603">
        <f t="shared" si="19"/>
        <v>0</v>
      </c>
      <c r="X71" s="602"/>
      <c r="Y71" s="351"/>
    </row>
    <row r="72" spans="1:25" ht="13.5" thickBot="1" x14ac:dyDescent="0.25">
      <c r="A72" s="35"/>
      <c r="B72" s="37"/>
      <c r="C72" s="37"/>
      <c r="D72" s="28" t="s">
        <v>31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3"/>
      <c r="R72" s="598"/>
      <c r="S72" s="598"/>
      <c r="T72" s="599"/>
      <c r="U72" s="600"/>
      <c r="V72" s="600">
        <f t="shared" si="18"/>
        <v>0</v>
      </c>
      <c r="W72" s="600">
        <f t="shared" si="19"/>
        <v>0</v>
      </c>
      <c r="X72" s="599"/>
      <c r="Y72" s="351"/>
    </row>
    <row r="73" spans="1:25" ht="13.5" thickBot="1" x14ac:dyDescent="0.25">
      <c r="A73" s="39" t="s">
        <v>32</v>
      </c>
      <c r="B73" s="37"/>
      <c r="C73" s="37"/>
      <c r="D73" s="34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3"/>
      <c r="R73" s="598"/>
      <c r="S73" s="598"/>
      <c r="T73" s="599"/>
      <c r="U73" s="600"/>
      <c r="V73" s="600">
        <f t="shared" si="18"/>
        <v>0</v>
      </c>
      <c r="W73" s="600">
        <f t="shared" si="19"/>
        <v>0</v>
      </c>
      <c r="X73" s="599"/>
      <c r="Y73" s="351"/>
    </row>
    <row r="74" spans="1:25" ht="13.5" thickBot="1" x14ac:dyDescent="0.25">
      <c r="A74" s="42" t="s">
        <v>71</v>
      </c>
      <c r="B74" s="37"/>
      <c r="C74" s="3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"/>
      <c r="R74" s="598"/>
      <c r="S74" s="598"/>
      <c r="T74" s="599"/>
      <c r="U74" s="600"/>
      <c r="V74" s="600">
        <f t="shared" si="18"/>
        <v>0</v>
      </c>
      <c r="W74" s="600">
        <f t="shared" si="19"/>
        <v>0</v>
      </c>
      <c r="X74" s="599"/>
      <c r="Y74" s="351"/>
    </row>
    <row r="75" spans="1:25" ht="13.5" thickBot="1" x14ac:dyDescent="0.25">
      <c r="A75" s="42" t="s">
        <v>72</v>
      </c>
      <c r="B75" s="37"/>
      <c r="C75" s="3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3"/>
      <c r="R75" s="598"/>
      <c r="S75" s="598"/>
      <c r="T75" s="599"/>
      <c r="U75" s="600"/>
      <c r="V75" s="600">
        <f t="shared" si="18"/>
        <v>0</v>
      </c>
      <c r="W75" s="600">
        <f t="shared" si="19"/>
        <v>0</v>
      </c>
      <c r="X75" s="599"/>
      <c r="Y75" s="351"/>
    </row>
    <row r="76" spans="1:25" ht="13.5" thickBot="1" x14ac:dyDescent="0.25">
      <c r="A76" s="42" t="s">
        <v>73</v>
      </c>
      <c r="B76" s="37"/>
      <c r="C76" s="3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3"/>
      <c r="R76" s="598"/>
      <c r="S76" s="598"/>
      <c r="T76" s="599"/>
      <c r="U76" s="600"/>
      <c r="V76" s="600">
        <f t="shared" si="18"/>
        <v>0</v>
      </c>
      <c r="W76" s="600">
        <f t="shared" si="19"/>
        <v>0</v>
      </c>
      <c r="X76" s="599"/>
      <c r="Y76" s="351"/>
    </row>
    <row r="77" spans="1:2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82"/>
      <c r="S77" s="3"/>
      <c r="T77" s="19"/>
      <c r="U77" s="56"/>
      <c r="V77" s="183"/>
      <c r="W77" s="184"/>
      <c r="X77" s="56"/>
    </row>
    <row r="78" spans="1:25" x14ac:dyDescent="0.2">
      <c r="R78" s="82"/>
      <c r="S78" s="3"/>
      <c r="T78" s="19"/>
      <c r="U78" s="56"/>
      <c r="V78" s="185"/>
      <c r="W78" s="185"/>
      <c r="X78" s="185"/>
    </row>
    <row r="79" spans="1:25" x14ac:dyDescent="0.2">
      <c r="R79" s="82"/>
      <c r="S79" s="3"/>
      <c r="T79" s="19"/>
      <c r="U79" s="56"/>
      <c r="V79" s="183"/>
      <c r="W79" s="184"/>
      <c r="X79" s="56"/>
    </row>
    <row r="80" spans="1:25" x14ac:dyDescent="0.2">
      <c r="R80" s="82"/>
      <c r="S80" s="3"/>
      <c r="T80" s="19"/>
      <c r="U80" s="56"/>
      <c r="V80" s="183"/>
      <c r="W80" s="184"/>
      <c r="X80" s="56"/>
    </row>
    <row r="81" spans="18:24" x14ac:dyDescent="0.2">
      <c r="R81" s="82"/>
      <c r="S81" s="3"/>
      <c r="T81" s="19"/>
      <c r="U81" s="56"/>
      <c r="V81" s="183"/>
      <c r="W81" s="184"/>
      <c r="X81" s="56"/>
    </row>
    <row r="82" spans="18:24" x14ac:dyDescent="0.2">
      <c r="R82" s="82"/>
      <c r="S82" s="3"/>
      <c r="T82" s="19"/>
      <c r="U82" s="56"/>
      <c r="V82" s="183"/>
      <c r="W82" s="184"/>
      <c r="X82" s="56"/>
    </row>
    <row r="83" spans="18:24" x14ac:dyDescent="0.2">
      <c r="R83" s="82"/>
      <c r="S83" s="3"/>
      <c r="T83" s="19"/>
      <c r="U83" s="56"/>
      <c r="V83" s="183"/>
      <c r="W83" s="184"/>
      <c r="X83" s="56"/>
    </row>
    <row r="84" spans="18:24" x14ac:dyDescent="0.2">
      <c r="R84" s="82"/>
      <c r="S84" s="3"/>
      <c r="T84" s="19"/>
      <c r="U84" s="56"/>
      <c r="V84" s="183"/>
      <c r="W84" s="184"/>
      <c r="X84" s="56"/>
    </row>
    <row r="85" spans="18:24" x14ac:dyDescent="0.2">
      <c r="R85" s="82"/>
      <c r="S85" s="3"/>
      <c r="T85" s="19"/>
      <c r="U85" s="56"/>
      <c r="V85" s="183"/>
      <c r="W85" s="184"/>
      <c r="X85" s="56"/>
    </row>
    <row r="86" spans="18:24" x14ac:dyDescent="0.2">
      <c r="R86" s="82"/>
      <c r="S86" s="3"/>
      <c r="T86" s="19"/>
      <c r="U86" s="56"/>
      <c r="V86" s="183"/>
      <c r="W86" s="184"/>
      <c r="X86" s="56"/>
    </row>
    <row r="87" spans="18:24" x14ac:dyDescent="0.2">
      <c r="R87" s="82"/>
      <c r="S87" s="3"/>
      <c r="T87" s="19"/>
      <c r="U87" s="56"/>
      <c r="V87" s="183"/>
      <c r="W87" s="184"/>
      <c r="X87" s="56"/>
    </row>
    <row r="88" spans="18:24" x14ac:dyDescent="0.2">
      <c r="R88" s="82"/>
      <c r="S88" s="3"/>
      <c r="T88" s="19"/>
      <c r="U88" s="56"/>
      <c r="V88" s="183"/>
      <c r="W88" s="184"/>
      <c r="X88" s="56"/>
    </row>
    <row r="89" spans="18:24" x14ac:dyDescent="0.2">
      <c r="R89" s="82"/>
      <c r="S89" s="3"/>
      <c r="T89" s="19"/>
      <c r="U89" s="56"/>
      <c r="V89" s="183"/>
      <c r="W89" s="184"/>
      <c r="X89" s="56"/>
    </row>
    <row r="90" spans="18:24" x14ac:dyDescent="0.2">
      <c r="R90" s="82"/>
      <c r="S90" s="3"/>
      <c r="T90" s="19"/>
      <c r="U90" s="56"/>
      <c r="V90" s="183"/>
      <c r="W90" s="184"/>
      <c r="X90" s="56"/>
    </row>
    <row r="91" spans="18:24" x14ac:dyDescent="0.2">
      <c r="R91" s="82"/>
      <c r="S91" s="3"/>
      <c r="T91" s="19"/>
      <c r="U91" s="56"/>
      <c r="V91" s="183"/>
      <c r="W91" s="184"/>
      <c r="X91" s="56"/>
    </row>
    <row r="92" spans="18:24" x14ac:dyDescent="0.2">
      <c r="R92" s="82"/>
      <c r="S92" s="3"/>
      <c r="T92" s="19"/>
      <c r="U92" s="56"/>
      <c r="V92" s="183"/>
      <c r="W92" s="184"/>
      <c r="X92" s="56"/>
    </row>
    <row r="93" spans="18:24" x14ac:dyDescent="0.2">
      <c r="R93" s="82"/>
      <c r="S93" s="3"/>
      <c r="T93" s="19"/>
      <c r="U93" s="56"/>
      <c r="V93" s="183"/>
      <c r="W93" s="184"/>
      <c r="X93" s="56"/>
    </row>
    <row r="94" spans="18:24" x14ac:dyDescent="0.2">
      <c r="R94" s="82"/>
      <c r="S94" s="3"/>
      <c r="T94" s="19"/>
      <c r="U94" s="56"/>
      <c r="V94" s="183"/>
      <c r="W94" s="184"/>
      <c r="X94" s="56"/>
    </row>
    <row r="95" spans="18:24" x14ac:dyDescent="0.2">
      <c r="R95" s="82"/>
      <c r="S95" s="3"/>
      <c r="T95" s="19"/>
      <c r="U95" s="56"/>
      <c r="V95" s="183"/>
      <c r="W95" s="184"/>
      <c r="X95" s="56"/>
    </row>
    <row r="96" spans="18:24" x14ac:dyDescent="0.2">
      <c r="R96" s="82"/>
      <c r="S96" s="3"/>
      <c r="T96" s="19"/>
      <c r="U96" s="56"/>
      <c r="V96" s="183"/>
      <c r="W96" s="184"/>
      <c r="X96" s="56"/>
    </row>
    <row r="97" spans="18:24" x14ac:dyDescent="0.2">
      <c r="R97" s="82"/>
      <c r="S97" s="3"/>
      <c r="T97" s="19"/>
      <c r="U97" s="56"/>
      <c r="V97" s="183"/>
      <c r="W97" s="184"/>
      <c r="X97" s="56"/>
    </row>
    <row r="98" spans="18:24" x14ac:dyDescent="0.2">
      <c r="R98" s="82"/>
      <c r="S98" s="3"/>
      <c r="T98" s="19"/>
      <c r="U98" s="56"/>
      <c r="V98" s="183"/>
      <c r="W98" s="184"/>
      <c r="X98" s="56"/>
    </row>
    <row r="99" spans="18:24" x14ac:dyDescent="0.2">
      <c r="R99" s="82"/>
      <c r="S99" s="3"/>
      <c r="T99" s="19"/>
      <c r="U99" s="56"/>
      <c r="V99" s="183"/>
      <c r="W99" s="184"/>
      <c r="X99" s="56"/>
    </row>
    <row r="100" spans="18:24" x14ac:dyDescent="0.2">
      <c r="R100" s="82"/>
      <c r="S100" s="3"/>
      <c r="T100" s="19"/>
      <c r="U100" s="56"/>
      <c r="V100" s="183"/>
      <c r="W100" s="184"/>
      <c r="X100" s="56"/>
    </row>
    <row r="101" spans="18:24" x14ac:dyDescent="0.2">
      <c r="R101" s="82"/>
      <c r="S101" s="3"/>
      <c r="T101" s="19"/>
      <c r="U101" s="56"/>
      <c r="V101" s="183"/>
      <c r="W101" s="184"/>
      <c r="X101" s="56"/>
    </row>
    <row r="102" spans="18:24" x14ac:dyDescent="0.2">
      <c r="R102" s="82"/>
      <c r="S102" s="3"/>
      <c r="T102" s="19"/>
      <c r="U102" s="56"/>
      <c r="V102" s="183"/>
      <c r="W102" s="184"/>
      <c r="X102" s="56"/>
    </row>
    <row r="103" spans="18:24" x14ac:dyDescent="0.2">
      <c r="R103" s="82"/>
      <c r="S103" s="3"/>
      <c r="T103" s="19"/>
      <c r="U103" s="56"/>
      <c r="V103" s="183"/>
      <c r="W103" s="184"/>
      <c r="X103" s="56"/>
    </row>
    <row r="104" spans="18:24" x14ac:dyDescent="0.2">
      <c r="R104" s="82"/>
      <c r="S104" s="3"/>
      <c r="T104" s="19"/>
      <c r="U104" s="56"/>
      <c r="V104" s="183"/>
      <c r="W104" s="184"/>
      <c r="X104" s="56"/>
    </row>
    <row r="105" spans="18:24" x14ac:dyDescent="0.2">
      <c r="R105" s="82"/>
      <c r="S105" s="3"/>
      <c r="T105" s="19"/>
      <c r="U105" s="56"/>
      <c r="V105" s="183"/>
      <c r="W105" s="184"/>
      <c r="X105" s="56"/>
    </row>
    <row r="106" spans="18:24" x14ac:dyDescent="0.2">
      <c r="R106" s="82"/>
      <c r="S106" s="3"/>
      <c r="T106" s="19"/>
      <c r="U106" s="56"/>
      <c r="V106" s="183"/>
      <c r="W106" s="184"/>
      <c r="X106" s="56"/>
    </row>
    <row r="107" spans="18:24" x14ac:dyDescent="0.2">
      <c r="R107" s="82"/>
      <c r="S107" s="3"/>
      <c r="T107" s="19"/>
      <c r="U107" s="56"/>
      <c r="V107" s="183"/>
      <c r="W107" s="184"/>
      <c r="X107" s="56"/>
    </row>
    <row r="108" spans="18:24" x14ac:dyDescent="0.2">
      <c r="R108" s="82"/>
      <c r="S108" s="3"/>
      <c r="T108" s="19"/>
      <c r="U108" s="56"/>
      <c r="V108" s="183"/>
      <c r="W108" s="184"/>
      <c r="X108" s="56"/>
    </row>
    <row r="109" spans="18:24" x14ac:dyDescent="0.2">
      <c r="R109" s="82"/>
      <c r="S109" s="3"/>
      <c r="T109" s="19"/>
      <c r="U109" s="56"/>
      <c r="V109" s="183"/>
      <c r="W109" s="184"/>
      <c r="X109" s="56"/>
    </row>
    <row r="110" spans="18:24" x14ac:dyDescent="0.2">
      <c r="R110" s="3"/>
      <c r="S110" s="3"/>
      <c r="T110" s="3"/>
      <c r="U110" s="3"/>
      <c r="V110" s="3"/>
      <c r="W110" s="3"/>
      <c r="X110" s="3"/>
    </row>
    <row r="111" spans="18:24" x14ac:dyDescent="0.2">
      <c r="R111" s="3"/>
      <c r="S111" s="3"/>
      <c r="T111" s="3"/>
      <c r="U111" s="3"/>
      <c r="V111" s="3"/>
      <c r="W111" s="3"/>
      <c r="X111" s="3"/>
    </row>
    <row r="112" spans="18:24" x14ac:dyDescent="0.2">
      <c r="R112" s="3"/>
      <c r="S112" s="3"/>
      <c r="T112" s="3"/>
      <c r="U112" s="3"/>
      <c r="V112" s="3"/>
      <c r="W112" s="3"/>
      <c r="X112" s="3"/>
    </row>
    <row r="113" spans="18:24" x14ac:dyDescent="0.2">
      <c r="R113" s="3"/>
      <c r="S113" s="3"/>
      <c r="T113" s="3"/>
      <c r="U113" s="3"/>
      <c r="V113" s="3"/>
      <c r="W113" s="3"/>
      <c r="X113" s="3"/>
    </row>
    <row r="114" spans="18:24" x14ac:dyDescent="0.2">
      <c r="R114" s="3"/>
      <c r="S114" s="3"/>
      <c r="T114" s="3"/>
      <c r="U114" s="3"/>
      <c r="V114" s="3"/>
      <c r="W114" s="3"/>
      <c r="X114" s="3"/>
    </row>
    <row r="115" spans="18:24" x14ac:dyDescent="0.2">
      <c r="R115" s="3"/>
      <c r="S115" s="3"/>
      <c r="T115" s="3"/>
      <c r="U115" s="3"/>
      <c r="V115" s="3"/>
      <c r="W115" s="3"/>
      <c r="X115" s="3"/>
    </row>
    <row r="116" spans="18:24" x14ac:dyDescent="0.2">
      <c r="R116" s="3"/>
      <c r="S116" s="3"/>
      <c r="T116" s="3"/>
      <c r="U116" s="3"/>
      <c r="V116" s="3"/>
      <c r="W116" s="3"/>
      <c r="X116" s="3"/>
    </row>
    <row r="117" spans="18:24" x14ac:dyDescent="0.2">
      <c r="R117" s="3"/>
      <c r="S117" s="3"/>
      <c r="T117" s="3"/>
      <c r="U117" s="3"/>
      <c r="V117" s="3"/>
      <c r="W117" s="3"/>
      <c r="X117" s="3"/>
    </row>
    <row r="118" spans="18:24" x14ac:dyDescent="0.2">
      <c r="R118" s="3"/>
      <c r="S118" s="3"/>
      <c r="T118" s="3"/>
      <c r="U118" s="3"/>
      <c r="V118" s="3"/>
      <c r="W118" s="3"/>
      <c r="X118" s="3"/>
    </row>
    <row r="119" spans="18:24" x14ac:dyDescent="0.2">
      <c r="R119" s="3"/>
      <c r="S119" s="3"/>
      <c r="T119" s="3"/>
      <c r="U119" s="3"/>
      <c r="V119" s="3"/>
      <c r="W119" s="3"/>
      <c r="X119" s="3"/>
    </row>
  </sheetData>
  <mergeCells count="5">
    <mergeCell ref="J10:L10"/>
    <mergeCell ref="N10:P10"/>
    <mergeCell ref="J13:L13"/>
    <mergeCell ref="A1:B3"/>
    <mergeCell ref="O12:P12"/>
  </mergeCells>
  <dataValidations count="2">
    <dataValidation type="list" allowBlank="1" showInputMessage="1" showErrorMessage="1" sqref="J14:J15 J11 N12">
      <formula1>"0,1"</formula1>
    </dataValidation>
    <dataValidation type="list" allowBlank="1" showInputMessage="1" showErrorMessage="1" sqref="S8:S9 S21:S109">
      <formula1>$A$10:$A$16</formula1>
    </dataValidation>
  </dataValidation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R18"/>
  <sheetViews>
    <sheetView zoomScaleNormal="100" zoomScalePageLayoutView="85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A4" sqref="A4:XFD4"/>
    </sheetView>
  </sheetViews>
  <sheetFormatPr defaultColWidth="8.85546875" defaultRowHeight="12.75" x14ac:dyDescent="0.2"/>
  <cols>
    <col min="1" max="1" width="29.42578125" style="45" customWidth="1"/>
    <col min="2" max="2" width="11.28515625" style="45" customWidth="1"/>
    <col min="3" max="122" width="11.7109375" style="45" customWidth="1"/>
    <col min="123" max="132" width="16.42578125" style="78" customWidth="1"/>
    <col min="133" max="183" width="8.85546875" style="78"/>
    <col min="184" max="184" width="19.85546875" style="78" bestFit="1" customWidth="1"/>
    <col min="185" max="187" width="0" style="78" hidden="1" customWidth="1"/>
    <col min="188" max="200" width="13.42578125" style="78" customWidth="1"/>
    <col min="201" max="201" width="2.7109375" style="78" customWidth="1"/>
    <col min="202" max="214" width="13.42578125" style="78" customWidth="1"/>
    <col min="215" max="215" width="2.7109375" style="78" customWidth="1"/>
    <col min="216" max="228" width="13.42578125" style="78" customWidth="1"/>
    <col min="229" max="229" width="2.7109375" style="78" customWidth="1"/>
    <col min="230" max="242" width="13.42578125" style="78" customWidth="1"/>
    <col min="243" max="243" width="2.7109375" style="78" customWidth="1"/>
    <col min="244" max="252" width="13.42578125" style="78" customWidth="1"/>
    <col min="253" max="256" width="13.42578125" style="45" customWidth="1"/>
    <col min="257" max="257" width="2.7109375" style="45" customWidth="1"/>
    <col min="258" max="439" width="8.85546875" style="45"/>
    <col min="440" max="440" width="19.85546875" style="45" bestFit="1" customWidth="1"/>
    <col min="441" max="443" width="0" style="45" hidden="1" customWidth="1"/>
    <col min="444" max="456" width="13.42578125" style="45" customWidth="1"/>
    <col min="457" max="457" width="2.7109375" style="45" customWidth="1"/>
    <col min="458" max="470" width="13.42578125" style="45" customWidth="1"/>
    <col min="471" max="471" width="2.7109375" style="45" customWidth="1"/>
    <col min="472" max="484" width="13.42578125" style="45" customWidth="1"/>
    <col min="485" max="485" width="2.7109375" style="45" customWidth="1"/>
    <col min="486" max="498" width="13.42578125" style="45" customWidth="1"/>
    <col min="499" max="499" width="2.7109375" style="45" customWidth="1"/>
    <col min="500" max="512" width="13.42578125" style="45" customWidth="1"/>
    <col min="513" max="513" width="2.7109375" style="45" customWidth="1"/>
    <col min="514" max="695" width="8.85546875" style="45"/>
    <col min="696" max="696" width="19.85546875" style="45" bestFit="1" customWidth="1"/>
    <col min="697" max="699" width="0" style="45" hidden="1" customWidth="1"/>
    <col min="700" max="712" width="13.42578125" style="45" customWidth="1"/>
    <col min="713" max="713" width="2.7109375" style="45" customWidth="1"/>
    <col min="714" max="726" width="13.42578125" style="45" customWidth="1"/>
    <col min="727" max="727" width="2.7109375" style="45" customWidth="1"/>
    <col min="728" max="740" width="13.42578125" style="45" customWidth="1"/>
    <col min="741" max="741" width="2.7109375" style="45" customWidth="1"/>
    <col min="742" max="754" width="13.42578125" style="45" customWidth="1"/>
    <col min="755" max="755" width="2.7109375" style="45" customWidth="1"/>
    <col min="756" max="768" width="13.42578125" style="45" customWidth="1"/>
    <col min="769" max="769" width="2.7109375" style="45" customWidth="1"/>
    <col min="770" max="951" width="8.85546875" style="45"/>
    <col min="952" max="952" width="19.85546875" style="45" bestFit="1" customWidth="1"/>
    <col min="953" max="955" width="0" style="45" hidden="1" customWidth="1"/>
    <col min="956" max="968" width="13.42578125" style="45" customWidth="1"/>
    <col min="969" max="969" width="2.7109375" style="45" customWidth="1"/>
    <col min="970" max="982" width="13.42578125" style="45" customWidth="1"/>
    <col min="983" max="983" width="2.7109375" style="45" customWidth="1"/>
    <col min="984" max="996" width="13.42578125" style="45" customWidth="1"/>
    <col min="997" max="997" width="2.7109375" style="45" customWidth="1"/>
    <col min="998" max="1010" width="13.42578125" style="45" customWidth="1"/>
    <col min="1011" max="1011" width="2.7109375" style="45" customWidth="1"/>
    <col min="1012" max="1024" width="13.42578125" style="45" customWidth="1"/>
    <col min="1025" max="1025" width="2.7109375" style="45" customWidth="1"/>
    <col min="1026" max="1207" width="8.85546875" style="45"/>
    <col min="1208" max="1208" width="19.85546875" style="45" bestFit="1" customWidth="1"/>
    <col min="1209" max="1211" width="0" style="45" hidden="1" customWidth="1"/>
    <col min="1212" max="1224" width="13.42578125" style="45" customWidth="1"/>
    <col min="1225" max="1225" width="2.7109375" style="45" customWidth="1"/>
    <col min="1226" max="1238" width="13.42578125" style="45" customWidth="1"/>
    <col min="1239" max="1239" width="2.7109375" style="45" customWidth="1"/>
    <col min="1240" max="1252" width="13.42578125" style="45" customWidth="1"/>
    <col min="1253" max="1253" width="2.7109375" style="45" customWidth="1"/>
    <col min="1254" max="1266" width="13.42578125" style="45" customWidth="1"/>
    <col min="1267" max="1267" width="2.7109375" style="45" customWidth="1"/>
    <col min="1268" max="1280" width="13.42578125" style="45" customWidth="1"/>
    <col min="1281" max="1281" width="2.7109375" style="45" customWidth="1"/>
    <col min="1282" max="1463" width="8.85546875" style="45"/>
    <col min="1464" max="1464" width="19.85546875" style="45" bestFit="1" customWidth="1"/>
    <col min="1465" max="1467" width="0" style="45" hidden="1" customWidth="1"/>
    <col min="1468" max="1480" width="13.42578125" style="45" customWidth="1"/>
    <col min="1481" max="1481" width="2.7109375" style="45" customWidth="1"/>
    <col min="1482" max="1494" width="13.42578125" style="45" customWidth="1"/>
    <col min="1495" max="1495" width="2.7109375" style="45" customWidth="1"/>
    <col min="1496" max="1508" width="13.42578125" style="45" customWidth="1"/>
    <col min="1509" max="1509" width="2.7109375" style="45" customWidth="1"/>
    <col min="1510" max="1522" width="13.42578125" style="45" customWidth="1"/>
    <col min="1523" max="1523" width="2.7109375" style="45" customWidth="1"/>
    <col min="1524" max="1536" width="13.42578125" style="45" customWidth="1"/>
    <col min="1537" max="1537" width="2.7109375" style="45" customWidth="1"/>
    <col min="1538" max="1719" width="8.85546875" style="45"/>
    <col min="1720" max="1720" width="19.85546875" style="45" bestFit="1" customWidth="1"/>
    <col min="1721" max="1723" width="0" style="45" hidden="1" customWidth="1"/>
    <col min="1724" max="1736" width="13.42578125" style="45" customWidth="1"/>
    <col min="1737" max="1737" width="2.7109375" style="45" customWidth="1"/>
    <col min="1738" max="1750" width="13.42578125" style="45" customWidth="1"/>
    <col min="1751" max="1751" width="2.7109375" style="45" customWidth="1"/>
    <col min="1752" max="1764" width="13.42578125" style="45" customWidth="1"/>
    <col min="1765" max="1765" width="2.7109375" style="45" customWidth="1"/>
    <col min="1766" max="1778" width="13.42578125" style="45" customWidth="1"/>
    <col min="1779" max="1779" width="2.7109375" style="45" customWidth="1"/>
    <col min="1780" max="1792" width="13.42578125" style="45" customWidth="1"/>
    <col min="1793" max="1793" width="2.7109375" style="45" customWidth="1"/>
    <col min="1794" max="1975" width="8.85546875" style="45"/>
    <col min="1976" max="1976" width="19.85546875" style="45" bestFit="1" customWidth="1"/>
    <col min="1977" max="1979" width="0" style="45" hidden="1" customWidth="1"/>
    <col min="1980" max="1992" width="13.42578125" style="45" customWidth="1"/>
    <col min="1993" max="1993" width="2.7109375" style="45" customWidth="1"/>
    <col min="1994" max="2006" width="13.42578125" style="45" customWidth="1"/>
    <col min="2007" max="2007" width="2.7109375" style="45" customWidth="1"/>
    <col min="2008" max="2020" width="13.42578125" style="45" customWidth="1"/>
    <col min="2021" max="2021" width="2.7109375" style="45" customWidth="1"/>
    <col min="2022" max="2034" width="13.42578125" style="45" customWidth="1"/>
    <col min="2035" max="2035" width="2.7109375" style="45" customWidth="1"/>
    <col min="2036" max="2048" width="13.42578125" style="45" customWidth="1"/>
    <col min="2049" max="2049" width="2.7109375" style="45" customWidth="1"/>
    <col min="2050" max="2231" width="8.85546875" style="45"/>
    <col min="2232" max="2232" width="19.85546875" style="45" bestFit="1" customWidth="1"/>
    <col min="2233" max="2235" width="0" style="45" hidden="1" customWidth="1"/>
    <col min="2236" max="2248" width="13.42578125" style="45" customWidth="1"/>
    <col min="2249" max="2249" width="2.7109375" style="45" customWidth="1"/>
    <col min="2250" max="2262" width="13.42578125" style="45" customWidth="1"/>
    <col min="2263" max="2263" width="2.7109375" style="45" customWidth="1"/>
    <col min="2264" max="2276" width="13.42578125" style="45" customWidth="1"/>
    <col min="2277" max="2277" width="2.7109375" style="45" customWidth="1"/>
    <col min="2278" max="2290" width="13.42578125" style="45" customWidth="1"/>
    <col min="2291" max="2291" width="2.7109375" style="45" customWidth="1"/>
    <col min="2292" max="2304" width="13.42578125" style="45" customWidth="1"/>
    <col min="2305" max="2305" width="2.7109375" style="45" customWidth="1"/>
    <col min="2306" max="2487" width="8.85546875" style="45"/>
    <col min="2488" max="2488" width="19.85546875" style="45" bestFit="1" customWidth="1"/>
    <col min="2489" max="2491" width="0" style="45" hidden="1" customWidth="1"/>
    <col min="2492" max="2504" width="13.42578125" style="45" customWidth="1"/>
    <col min="2505" max="2505" width="2.7109375" style="45" customWidth="1"/>
    <col min="2506" max="2518" width="13.42578125" style="45" customWidth="1"/>
    <col min="2519" max="2519" width="2.7109375" style="45" customWidth="1"/>
    <col min="2520" max="2532" width="13.42578125" style="45" customWidth="1"/>
    <col min="2533" max="2533" width="2.7109375" style="45" customWidth="1"/>
    <col min="2534" max="2546" width="13.42578125" style="45" customWidth="1"/>
    <col min="2547" max="2547" width="2.7109375" style="45" customWidth="1"/>
    <col min="2548" max="2560" width="13.42578125" style="45" customWidth="1"/>
    <col min="2561" max="2561" width="2.7109375" style="45" customWidth="1"/>
    <col min="2562" max="2743" width="8.85546875" style="45"/>
    <col min="2744" max="2744" width="19.85546875" style="45" bestFit="1" customWidth="1"/>
    <col min="2745" max="2747" width="0" style="45" hidden="1" customWidth="1"/>
    <col min="2748" max="2760" width="13.42578125" style="45" customWidth="1"/>
    <col min="2761" max="2761" width="2.7109375" style="45" customWidth="1"/>
    <col min="2762" max="2774" width="13.42578125" style="45" customWidth="1"/>
    <col min="2775" max="2775" width="2.7109375" style="45" customWidth="1"/>
    <col min="2776" max="2788" width="13.42578125" style="45" customWidth="1"/>
    <col min="2789" max="2789" width="2.7109375" style="45" customWidth="1"/>
    <col min="2790" max="2802" width="13.42578125" style="45" customWidth="1"/>
    <col min="2803" max="2803" width="2.7109375" style="45" customWidth="1"/>
    <col min="2804" max="2816" width="13.42578125" style="45" customWidth="1"/>
    <col min="2817" max="2817" width="2.7109375" style="45" customWidth="1"/>
    <col min="2818" max="2999" width="8.85546875" style="45"/>
    <col min="3000" max="3000" width="19.85546875" style="45" bestFit="1" customWidth="1"/>
    <col min="3001" max="3003" width="0" style="45" hidden="1" customWidth="1"/>
    <col min="3004" max="3016" width="13.42578125" style="45" customWidth="1"/>
    <col min="3017" max="3017" width="2.7109375" style="45" customWidth="1"/>
    <col min="3018" max="3030" width="13.42578125" style="45" customWidth="1"/>
    <col min="3031" max="3031" width="2.7109375" style="45" customWidth="1"/>
    <col min="3032" max="3044" width="13.42578125" style="45" customWidth="1"/>
    <col min="3045" max="3045" width="2.7109375" style="45" customWidth="1"/>
    <col min="3046" max="3058" width="13.42578125" style="45" customWidth="1"/>
    <col min="3059" max="3059" width="2.7109375" style="45" customWidth="1"/>
    <col min="3060" max="3072" width="13.42578125" style="45" customWidth="1"/>
    <col min="3073" max="3073" width="2.7109375" style="45" customWidth="1"/>
    <col min="3074" max="3255" width="8.85546875" style="45"/>
    <col min="3256" max="3256" width="19.85546875" style="45" bestFit="1" customWidth="1"/>
    <col min="3257" max="3259" width="0" style="45" hidden="1" customWidth="1"/>
    <col min="3260" max="3272" width="13.42578125" style="45" customWidth="1"/>
    <col min="3273" max="3273" width="2.7109375" style="45" customWidth="1"/>
    <col min="3274" max="3286" width="13.42578125" style="45" customWidth="1"/>
    <col min="3287" max="3287" width="2.7109375" style="45" customWidth="1"/>
    <col min="3288" max="3300" width="13.42578125" style="45" customWidth="1"/>
    <col min="3301" max="3301" width="2.7109375" style="45" customWidth="1"/>
    <col min="3302" max="3314" width="13.42578125" style="45" customWidth="1"/>
    <col min="3315" max="3315" width="2.7109375" style="45" customWidth="1"/>
    <col min="3316" max="3328" width="13.42578125" style="45" customWidth="1"/>
    <col min="3329" max="3329" width="2.7109375" style="45" customWidth="1"/>
    <col min="3330" max="3511" width="8.85546875" style="45"/>
    <col min="3512" max="3512" width="19.85546875" style="45" bestFit="1" customWidth="1"/>
    <col min="3513" max="3515" width="0" style="45" hidden="1" customWidth="1"/>
    <col min="3516" max="3528" width="13.42578125" style="45" customWidth="1"/>
    <col min="3529" max="3529" width="2.7109375" style="45" customWidth="1"/>
    <col min="3530" max="3542" width="13.42578125" style="45" customWidth="1"/>
    <col min="3543" max="3543" width="2.7109375" style="45" customWidth="1"/>
    <col min="3544" max="3556" width="13.42578125" style="45" customWidth="1"/>
    <col min="3557" max="3557" width="2.7109375" style="45" customWidth="1"/>
    <col min="3558" max="3570" width="13.42578125" style="45" customWidth="1"/>
    <col min="3571" max="3571" width="2.7109375" style="45" customWidth="1"/>
    <col min="3572" max="3584" width="13.42578125" style="45" customWidth="1"/>
    <col min="3585" max="3585" width="2.7109375" style="45" customWidth="1"/>
    <col min="3586" max="3767" width="8.85546875" style="45"/>
    <col min="3768" max="3768" width="19.85546875" style="45" bestFit="1" customWidth="1"/>
    <col min="3769" max="3771" width="0" style="45" hidden="1" customWidth="1"/>
    <col min="3772" max="3784" width="13.42578125" style="45" customWidth="1"/>
    <col min="3785" max="3785" width="2.7109375" style="45" customWidth="1"/>
    <col min="3786" max="3798" width="13.42578125" style="45" customWidth="1"/>
    <col min="3799" max="3799" width="2.7109375" style="45" customWidth="1"/>
    <col min="3800" max="3812" width="13.42578125" style="45" customWidth="1"/>
    <col min="3813" max="3813" width="2.7109375" style="45" customWidth="1"/>
    <col min="3814" max="3826" width="13.42578125" style="45" customWidth="1"/>
    <col min="3827" max="3827" width="2.7109375" style="45" customWidth="1"/>
    <col min="3828" max="3840" width="13.42578125" style="45" customWidth="1"/>
    <col min="3841" max="3841" width="2.7109375" style="45" customWidth="1"/>
    <col min="3842" max="4023" width="8.85546875" style="45"/>
    <col min="4024" max="4024" width="19.85546875" style="45" bestFit="1" customWidth="1"/>
    <col min="4025" max="4027" width="0" style="45" hidden="1" customWidth="1"/>
    <col min="4028" max="4040" width="13.42578125" style="45" customWidth="1"/>
    <col min="4041" max="4041" width="2.7109375" style="45" customWidth="1"/>
    <col min="4042" max="4054" width="13.42578125" style="45" customWidth="1"/>
    <col min="4055" max="4055" width="2.7109375" style="45" customWidth="1"/>
    <col min="4056" max="4068" width="13.42578125" style="45" customWidth="1"/>
    <col min="4069" max="4069" width="2.7109375" style="45" customWidth="1"/>
    <col min="4070" max="4082" width="13.42578125" style="45" customWidth="1"/>
    <col min="4083" max="4083" width="2.7109375" style="45" customWidth="1"/>
    <col min="4084" max="4096" width="13.42578125" style="45" customWidth="1"/>
    <col min="4097" max="4097" width="2.7109375" style="45" customWidth="1"/>
    <col min="4098" max="4279" width="8.85546875" style="45"/>
    <col min="4280" max="4280" width="19.85546875" style="45" bestFit="1" customWidth="1"/>
    <col min="4281" max="4283" width="0" style="45" hidden="1" customWidth="1"/>
    <col min="4284" max="4296" width="13.42578125" style="45" customWidth="1"/>
    <col min="4297" max="4297" width="2.7109375" style="45" customWidth="1"/>
    <col min="4298" max="4310" width="13.42578125" style="45" customWidth="1"/>
    <col min="4311" max="4311" width="2.7109375" style="45" customWidth="1"/>
    <col min="4312" max="4324" width="13.42578125" style="45" customWidth="1"/>
    <col min="4325" max="4325" width="2.7109375" style="45" customWidth="1"/>
    <col min="4326" max="4338" width="13.42578125" style="45" customWidth="1"/>
    <col min="4339" max="4339" width="2.7109375" style="45" customWidth="1"/>
    <col min="4340" max="4352" width="13.42578125" style="45" customWidth="1"/>
    <col min="4353" max="4353" width="2.7109375" style="45" customWidth="1"/>
    <col min="4354" max="4535" width="8.85546875" style="45"/>
    <col min="4536" max="4536" width="19.85546875" style="45" bestFit="1" customWidth="1"/>
    <col min="4537" max="4539" width="0" style="45" hidden="1" customWidth="1"/>
    <col min="4540" max="4552" width="13.42578125" style="45" customWidth="1"/>
    <col min="4553" max="4553" width="2.7109375" style="45" customWidth="1"/>
    <col min="4554" max="4566" width="13.42578125" style="45" customWidth="1"/>
    <col min="4567" max="4567" width="2.7109375" style="45" customWidth="1"/>
    <col min="4568" max="4580" width="13.42578125" style="45" customWidth="1"/>
    <col min="4581" max="4581" width="2.7109375" style="45" customWidth="1"/>
    <col min="4582" max="4594" width="13.42578125" style="45" customWidth="1"/>
    <col min="4595" max="4595" width="2.7109375" style="45" customWidth="1"/>
    <col min="4596" max="4608" width="13.42578125" style="45" customWidth="1"/>
    <col min="4609" max="4609" width="2.7109375" style="45" customWidth="1"/>
    <col min="4610" max="4791" width="8.85546875" style="45"/>
    <col min="4792" max="4792" width="19.85546875" style="45" bestFit="1" customWidth="1"/>
    <col min="4793" max="4795" width="0" style="45" hidden="1" customWidth="1"/>
    <col min="4796" max="4808" width="13.42578125" style="45" customWidth="1"/>
    <col min="4809" max="4809" width="2.7109375" style="45" customWidth="1"/>
    <col min="4810" max="4822" width="13.42578125" style="45" customWidth="1"/>
    <col min="4823" max="4823" width="2.7109375" style="45" customWidth="1"/>
    <col min="4824" max="4836" width="13.42578125" style="45" customWidth="1"/>
    <col min="4837" max="4837" width="2.7109375" style="45" customWidth="1"/>
    <col min="4838" max="4850" width="13.42578125" style="45" customWidth="1"/>
    <col min="4851" max="4851" width="2.7109375" style="45" customWidth="1"/>
    <col min="4852" max="4864" width="13.42578125" style="45" customWidth="1"/>
    <col min="4865" max="4865" width="2.7109375" style="45" customWidth="1"/>
    <col min="4866" max="5047" width="8.85546875" style="45"/>
    <col min="5048" max="5048" width="19.85546875" style="45" bestFit="1" customWidth="1"/>
    <col min="5049" max="5051" width="0" style="45" hidden="1" customWidth="1"/>
    <col min="5052" max="5064" width="13.42578125" style="45" customWidth="1"/>
    <col min="5065" max="5065" width="2.7109375" style="45" customWidth="1"/>
    <col min="5066" max="5078" width="13.42578125" style="45" customWidth="1"/>
    <col min="5079" max="5079" width="2.7109375" style="45" customWidth="1"/>
    <col min="5080" max="5092" width="13.42578125" style="45" customWidth="1"/>
    <col min="5093" max="5093" width="2.7109375" style="45" customWidth="1"/>
    <col min="5094" max="5106" width="13.42578125" style="45" customWidth="1"/>
    <col min="5107" max="5107" width="2.7109375" style="45" customWidth="1"/>
    <col min="5108" max="5120" width="13.42578125" style="45" customWidth="1"/>
    <col min="5121" max="5121" width="2.7109375" style="45" customWidth="1"/>
    <col min="5122" max="5303" width="8.85546875" style="45"/>
    <col min="5304" max="5304" width="19.85546875" style="45" bestFit="1" customWidth="1"/>
    <col min="5305" max="5307" width="0" style="45" hidden="1" customWidth="1"/>
    <col min="5308" max="5320" width="13.42578125" style="45" customWidth="1"/>
    <col min="5321" max="5321" width="2.7109375" style="45" customWidth="1"/>
    <col min="5322" max="5334" width="13.42578125" style="45" customWidth="1"/>
    <col min="5335" max="5335" width="2.7109375" style="45" customWidth="1"/>
    <col min="5336" max="5348" width="13.42578125" style="45" customWidth="1"/>
    <col min="5349" max="5349" width="2.7109375" style="45" customWidth="1"/>
    <col min="5350" max="5362" width="13.42578125" style="45" customWidth="1"/>
    <col min="5363" max="5363" width="2.7109375" style="45" customWidth="1"/>
    <col min="5364" max="5376" width="13.42578125" style="45" customWidth="1"/>
    <col min="5377" max="5377" width="2.7109375" style="45" customWidth="1"/>
    <col min="5378" max="5559" width="8.85546875" style="45"/>
    <col min="5560" max="5560" width="19.85546875" style="45" bestFit="1" customWidth="1"/>
    <col min="5561" max="5563" width="0" style="45" hidden="1" customWidth="1"/>
    <col min="5564" max="5576" width="13.42578125" style="45" customWidth="1"/>
    <col min="5577" max="5577" width="2.7109375" style="45" customWidth="1"/>
    <col min="5578" max="5590" width="13.42578125" style="45" customWidth="1"/>
    <col min="5591" max="5591" width="2.7109375" style="45" customWidth="1"/>
    <col min="5592" max="5604" width="13.42578125" style="45" customWidth="1"/>
    <col min="5605" max="5605" width="2.7109375" style="45" customWidth="1"/>
    <col min="5606" max="5618" width="13.42578125" style="45" customWidth="1"/>
    <col min="5619" max="5619" width="2.7109375" style="45" customWidth="1"/>
    <col min="5620" max="5632" width="13.42578125" style="45" customWidth="1"/>
    <col min="5633" max="5633" width="2.7109375" style="45" customWidth="1"/>
    <col min="5634" max="5815" width="8.85546875" style="45"/>
    <col min="5816" max="5816" width="19.85546875" style="45" bestFit="1" customWidth="1"/>
    <col min="5817" max="5819" width="0" style="45" hidden="1" customWidth="1"/>
    <col min="5820" max="5832" width="13.42578125" style="45" customWidth="1"/>
    <col min="5833" max="5833" width="2.7109375" style="45" customWidth="1"/>
    <col min="5834" max="5846" width="13.42578125" style="45" customWidth="1"/>
    <col min="5847" max="5847" width="2.7109375" style="45" customWidth="1"/>
    <col min="5848" max="5860" width="13.42578125" style="45" customWidth="1"/>
    <col min="5861" max="5861" width="2.7109375" style="45" customWidth="1"/>
    <col min="5862" max="5874" width="13.42578125" style="45" customWidth="1"/>
    <col min="5875" max="5875" width="2.7109375" style="45" customWidth="1"/>
    <col min="5876" max="5888" width="13.42578125" style="45" customWidth="1"/>
    <col min="5889" max="5889" width="2.7109375" style="45" customWidth="1"/>
    <col min="5890" max="6071" width="8.85546875" style="45"/>
    <col min="6072" max="6072" width="19.85546875" style="45" bestFit="1" customWidth="1"/>
    <col min="6073" max="6075" width="0" style="45" hidden="1" customWidth="1"/>
    <col min="6076" max="6088" width="13.42578125" style="45" customWidth="1"/>
    <col min="6089" max="6089" width="2.7109375" style="45" customWidth="1"/>
    <col min="6090" max="6102" width="13.42578125" style="45" customWidth="1"/>
    <col min="6103" max="6103" width="2.7109375" style="45" customWidth="1"/>
    <col min="6104" max="6116" width="13.42578125" style="45" customWidth="1"/>
    <col min="6117" max="6117" width="2.7109375" style="45" customWidth="1"/>
    <col min="6118" max="6130" width="13.42578125" style="45" customWidth="1"/>
    <col min="6131" max="6131" width="2.7109375" style="45" customWidth="1"/>
    <col min="6132" max="6144" width="13.42578125" style="45" customWidth="1"/>
    <col min="6145" max="6145" width="2.7109375" style="45" customWidth="1"/>
    <col min="6146" max="6327" width="8.85546875" style="45"/>
    <col min="6328" max="6328" width="19.85546875" style="45" bestFit="1" customWidth="1"/>
    <col min="6329" max="6331" width="0" style="45" hidden="1" customWidth="1"/>
    <col min="6332" max="6344" width="13.42578125" style="45" customWidth="1"/>
    <col min="6345" max="6345" width="2.7109375" style="45" customWidth="1"/>
    <col min="6346" max="6358" width="13.42578125" style="45" customWidth="1"/>
    <col min="6359" max="6359" width="2.7109375" style="45" customWidth="1"/>
    <col min="6360" max="6372" width="13.42578125" style="45" customWidth="1"/>
    <col min="6373" max="6373" width="2.7109375" style="45" customWidth="1"/>
    <col min="6374" max="6386" width="13.42578125" style="45" customWidth="1"/>
    <col min="6387" max="6387" width="2.7109375" style="45" customWidth="1"/>
    <col min="6388" max="6400" width="13.42578125" style="45" customWidth="1"/>
    <col min="6401" max="6401" width="2.7109375" style="45" customWidth="1"/>
    <col min="6402" max="6583" width="8.85546875" style="45"/>
    <col min="6584" max="6584" width="19.85546875" style="45" bestFit="1" customWidth="1"/>
    <col min="6585" max="6587" width="0" style="45" hidden="1" customWidth="1"/>
    <col min="6588" max="6600" width="13.42578125" style="45" customWidth="1"/>
    <col min="6601" max="6601" width="2.7109375" style="45" customWidth="1"/>
    <col min="6602" max="6614" width="13.42578125" style="45" customWidth="1"/>
    <col min="6615" max="6615" width="2.7109375" style="45" customWidth="1"/>
    <col min="6616" max="6628" width="13.42578125" style="45" customWidth="1"/>
    <col min="6629" max="6629" width="2.7109375" style="45" customWidth="1"/>
    <col min="6630" max="6642" width="13.42578125" style="45" customWidth="1"/>
    <col min="6643" max="6643" width="2.7109375" style="45" customWidth="1"/>
    <col min="6644" max="6656" width="13.42578125" style="45" customWidth="1"/>
    <col min="6657" max="6657" width="2.7109375" style="45" customWidth="1"/>
    <col min="6658" max="6839" width="8.85546875" style="45"/>
    <col min="6840" max="6840" width="19.85546875" style="45" bestFit="1" customWidth="1"/>
    <col min="6841" max="6843" width="0" style="45" hidden="1" customWidth="1"/>
    <col min="6844" max="6856" width="13.42578125" style="45" customWidth="1"/>
    <col min="6857" max="6857" width="2.7109375" style="45" customWidth="1"/>
    <col min="6858" max="6870" width="13.42578125" style="45" customWidth="1"/>
    <col min="6871" max="6871" width="2.7109375" style="45" customWidth="1"/>
    <col min="6872" max="6884" width="13.42578125" style="45" customWidth="1"/>
    <col min="6885" max="6885" width="2.7109375" style="45" customWidth="1"/>
    <col min="6886" max="6898" width="13.42578125" style="45" customWidth="1"/>
    <col min="6899" max="6899" width="2.7109375" style="45" customWidth="1"/>
    <col min="6900" max="6912" width="13.42578125" style="45" customWidth="1"/>
    <col min="6913" max="6913" width="2.7109375" style="45" customWidth="1"/>
    <col min="6914" max="7095" width="8.85546875" style="45"/>
    <col min="7096" max="7096" width="19.85546875" style="45" bestFit="1" customWidth="1"/>
    <col min="7097" max="7099" width="0" style="45" hidden="1" customWidth="1"/>
    <col min="7100" max="7112" width="13.42578125" style="45" customWidth="1"/>
    <col min="7113" max="7113" width="2.7109375" style="45" customWidth="1"/>
    <col min="7114" max="7126" width="13.42578125" style="45" customWidth="1"/>
    <col min="7127" max="7127" width="2.7109375" style="45" customWidth="1"/>
    <col min="7128" max="7140" width="13.42578125" style="45" customWidth="1"/>
    <col min="7141" max="7141" width="2.7109375" style="45" customWidth="1"/>
    <col min="7142" max="7154" width="13.42578125" style="45" customWidth="1"/>
    <col min="7155" max="7155" width="2.7109375" style="45" customWidth="1"/>
    <col min="7156" max="7168" width="13.42578125" style="45" customWidth="1"/>
    <col min="7169" max="7169" width="2.7109375" style="45" customWidth="1"/>
    <col min="7170" max="7351" width="8.85546875" style="45"/>
    <col min="7352" max="7352" width="19.85546875" style="45" bestFit="1" customWidth="1"/>
    <col min="7353" max="7355" width="0" style="45" hidden="1" customWidth="1"/>
    <col min="7356" max="7368" width="13.42578125" style="45" customWidth="1"/>
    <col min="7369" max="7369" width="2.7109375" style="45" customWidth="1"/>
    <col min="7370" max="7382" width="13.42578125" style="45" customWidth="1"/>
    <col min="7383" max="7383" width="2.7109375" style="45" customWidth="1"/>
    <col min="7384" max="7396" width="13.42578125" style="45" customWidth="1"/>
    <col min="7397" max="7397" width="2.7109375" style="45" customWidth="1"/>
    <col min="7398" max="7410" width="13.42578125" style="45" customWidth="1"/>
    <col min="7411" max="7411" width="2.7109375" style="45" customWidth="1"/>
    <col min="7412" max="7424" width="13.42578125" style="45" customWidth="1"/>
    <col min="7425" max="7425" width="2.7109375" style="45" customWidth="1"/>
    <col min="7426" max="7607" width="8.85546875" style="45"/>
    <col min="7608" max="7608" width="19.85546875" style="45" bestFit="1" customWidth="1"/>
    <col min="7609" max="7611" width="0" style="45" hidden="1" customWidth="1"/>
    <col min="7612" max="7624" width="13.42578125" style="45" customWidth="1"/>
    <col min="7625" max="7625" width="2.7109375" style="45" customWidth="1"/>
    <col min="7626" max="7638" width="13.42578125" style="45" customWidth="1"/>
    <col min="7639" max="7639" width="2.7109375" style="45" customWidth="1"/>
    <col min="7640" max="7652" width="13.42578125" style="45" customWidth="1"/>
    <col min="7653" max="7653" width="2.7109375" style="45" customWidth="1"/>
    <col min="7654" max="7666" width="13.42578125" style="45" customWidth="1"/>
    <col min="7667" max="7667" width="2.7109375" style="45" customWidth="1"/>
    <col min="7668" max="7680" width="13.42578125" style="45" customWidth="1"/>
    <col min="7681" max="7681" width="2.7109375" style="45" customWidth="1"/>
    <col min="7682" max="7863" width="8.85546875" style="45"/>
    <col min="7864" max="7864" width="19.85546875" style="45" bestFit="1" customWidth="1"/>
    <col min="7865" max="7867" width="0" style="45" hidden="1" customWidth="1"/>
    <col min="7868" max="7880" width="13.42578125" style="45" customWidth="1"/>
    <col min="7881" max="7881" width="2.7109375" style="45" customWidth="1"/>
    <col min="7882" max="7894" width="13.42578125" style="45" customWidth="1"/>
    <col min="7895" max="7895" width="2.7109375" style="45" customWidth="1"/>
    <col min="7896" max="7908" width="13.42578125" style="45" customWidth="1"/>
    <col min="7909" max="7909" width="2.7109375" style="45" customWidth="1"/>
    <col min="7910" max="7922" width="13.42578125" style="45" customWidth="1"/>
    <col min="7923" max="7923" width="2.7109375" style="45" customWidth="1"/>
    <col min="7924" max="7936" width="13.42578125" style="45" customWidth="1"/>
    <col min="7937" max="7937" width="2.7109375" style="45" customWidth="1"/>
    <col min="7938" max="8119" width="8.85546875" style="45"/>
    <col min="8120" max="8120" width="19.85546875" style="45" bestFit="1" customWidth="1"/>
    <col min="8121" max="8123" width="0" style="45" hidden="1" customWidth="1"/>
    <col min="8124" max="8136" width="13.42578125" style="45" customWidth="1"/>
    <col min="8137" max="8137" width="2.7109375" style="45" customWidth="1"/>
    <col min="8138" max="8150" width="13.42578125" style="45" customWidth="1"/>
    <col min="8151" max="8151" width="2.7109375" style="45" customWidth="1"/>
    <col min="8152" max="8164" width="13.42578125" style="45" customWidth="1"/>
    <col min="8165" max="8165" width="2.7109375" style="45" customWidth="1"/>
    <col min="8166" max="8178" width="13.42578125" style="45" customWidth="1"/>
    <col min="8179" max="8179" width="2.7109375" style="45" customWidth="1"/>
    <col min="8180" max="8192" width="13.42578125" style="45" customWidth="1"/>
    <col min="8193" max="8193" width="2.7109375" style="45" customWidth="1"/>
    <col min="8194" max="8375" width="8.85546875" style="45"/>
    <col min="8376" max="8376" width="19.85546875" style="45" bestFit="1" customWidth="1"/>
    <col min="8377" max="8379" width="0" style="45" hidden="1" customWidth="1"/>
    <col min="8380" max="8392" width="13.42578125" style="45" customWidth="1"/>
    <col min="8393" max="8393" width="2.7109375" style="45" customWidth="1"/>
    <col min="8394" max="8406" width="13.42578125" style="45" customWidth="1"/>
    <col min="8407" max="8407" width="2.7109375" style="45" customWidth="1"/>
    <col min="8408" max="8420" width="13.42578125" style="45" customWidth="1"/>
    <col min="8421" max="8421" width="2.7109375" style="45" customWidth="1"/>
    <col min="8422" max="8434" width="13.42578125" style="45" customWidth="1"/>
    <col min="8435" max="8435" width="2.7109375" style="45" customWidth="1"/>
    <col min="8436" max="8448" width="13.42578125" style="45" customWidth="1"/>
    <col min="8449" max="8449" width="2.7109375" style="45" customWidth="1"/>
    <col min="8450" max="8631" width="8.85546875" style="45"/>
    <col min="8632" max="8632" width="19.85546875" style="45" bestFit="1" customWidth="1"/>
    <col min="8633" max="8635" width="0" style="45" hidden="1" customWidth="1"/>
    <col min="8636" max="8648" width="13.42578125" style="45" customWidth="1"/>
    <col min="8649" max="8649" width="2.7109375" style="45" customWidth="1"/>
    <col min="8650" max="8662" width="13.42578125" style="45" customWidth="1"/>
    <col min="8663" max="8663" width="2.7109375" style="45" customWidth="1"/>
    <col min="8664" max="8676" width="13.42578125" style="45" customWidth="1"/>
    <col min="8677" max="8677" width="2.7109375" style="45" customWidth="1"/>
    <col min="8678" max="8690" width="13.42578125" style="45" customWidth="1"/>
    <col min="8691" max="8691" width="2.7109375" style="45" customWidth="1"/>
    <col min="8692" max="8704" width="13.42578125" style="45" customWidth="1"/>
    <col min="8705" max="8705" width="2.7109375" style="45" customWidth="1"/>
    <col min="8706" max="8887" width="8.85546875" style="45"/>
    <col min="8888" max="8888" width="19.85546875" style="45" bestFit="1" customWidth="1"/>
    <col min="8889" max="8891" width="0" style="45" hidden="1" customWidth="1"/>
    <col min="8892" max="8904" width="13.42578125" style="45" customWidth="1"/>
    <col min="8905" max="8905" width="2.7109375" style="45" customWidth="1"/>
    <col min="8906" max="8918" width="13.42578125" style="45" customWidth="1"/>
    <col min="8919" max="8919" width="2.7109375" style="45" customWidth="1"/>
    <col min="8920" max="8932" width="13.42578125" style="45" customWidth="1"/>
    <col min="8933" max="8933" width="2.7109375" style="45" customWidth="1"/>
    <col min="8934" max="8946" width="13.42578125" style="45" customWidth="1"/>
    <col min="8947" max="8947" width="2.7109375" style="45" customWidth="1"/>
    <col min="8948" max="8960" width="13.42578125" style="45" customWidth="1"/>
    <col min="8961" max="8961" width="2.7109375" style="45" customWidth="1"/>
    <col min="8962" max="9143" width="8.85546875" style="45"/>
    <col min="9144" max="9144" width="19.85546875" style="45" bestFit="1" customWidth="1"/>
    <col min="9145" max="9147" width="0" style="45" hidden="1" customWidth="1"/>
    <col min="9148" max="9160" width="13.42578125" style="45" customWidth="1"/>
    <col min="9161" max="9161" width="2.7109375" style="45" customWidth="1"/>
    <col min="9162" max="9174" width="13.42578125" style="45" customWidth="1"/>
    <col min="9175" max="9175" width="2.7109375" style="45" customWidth="1"/>
    <col min="9176" max="9188" width="13.42578125" style="45" customWidth="1"/>
    <col min="9189" max="9189" width="2.7109375" style="45" customWidth="1"/>
    <col min="9190" max="9202" width="13.42578125" style="45" customWidth="1"/>
    <col min="9203" max="9203" width="2.7109375" style="45" customWidth="1"/>
    <col min="9204" max="9216" width="13.42578125" style="45" customWidth="1"/>
    <col min="9217" max="9217" width="2.7109375" style="45" customWidth="1"/>
    <col min="9218" max="9399" width="8.85546875" style="45"/>
    <col min="9400" max="9400" width="19.85546875" style="45" bestFit="1" customWidth="1"/>
    <col min="9401" max="9403" width="0" style="45" hidden="1" customWidth="1"/>
    <col min="9404" max="9416" width="13.42578125" style="45" customWidth="1"/>
    <col min="9417" max="9417" width="2.7109375" style="45" customWidth="1"/>
    <col min="9418" max="9430" width="13.42578125" style="45" customWidth="1"/>
    <col min="9431" max="9431" width="2.7109375" style="45" customWidth="1"/>
    <col min="9432" max="9444" width="13.42578125" style="45" customWidth="1"/>
    <col min="9445" max="9445" width="2.7109375" style="45" customWidth="1"/>
    <col min="9446" max="9458" width="13.42578125" style="45" customWidth="1"/>
    <col min="9459" max="9459" width="2.7109375" style="45" customWidth="1"/>
    <col min="9460" max="9472" width="13.42578125" style="45" customWidth="1"/>
    <col min="9473" max="9473" width="2.7109375" style="45" customWidth="1"/>
    <col min="9474" max="9655" width="8.85546875" style="45"/>
    <col min="9656" max="9656" width="19.85546875" style="45" bestFit="1" customWidth="1"/>
    <col min="9657" max="9659" width="0" style="45" hidden="1" customWidth="1"/>
    <col min="9660" max="9672" width="13.42578125" style="45" customWidth="1"/>
    <col min="9673" max="9673" width="2.7109375" style="45" customWidth="1"/>
    <col min="9674" max="9686" width="13.42578125" style="45" customWidth="1"/>
    <col min="9687" max="9687" width="2.7109375" style="45" customWidth="1"/>
    <col min="9688" max="9700" width="13.42578125" style="45" customWidth="1"/>
    <col min="9701" max="9701" width="2.7109375" style="45" customWidth="1"/>
    <col min="9702" max="9714" width="13.42578125" style="45" customWidth="1"/>
    <col min="9715" max="9715" width="2.7109375" style="45" customWidth="1"/>
    <col min="9716" max="9728" width="13.42578125" style="45" customWidth="1"/>
    <col min="9729" max="9729" width="2.7109375" style="45" customWidth="1"/>
    <col min="9730" max="9911" width="8.85546875" style="45"/>
    <col min="9912" max="9912" width="19.85546875" style="45" bestFit="1" customWidth="1"/>
    <col min="9913" max="9915" width="0" style="45" hidden="1" customWidth="1"/>
    <col min="9916" max="9928" width="13.42578125" style="45" customWidth="1"/>
    <col min="9929" max="9929" width="2.7109375" style="45" customWidth="1"/>
    <col min="9930" max="9942" width="13.42578125" style="45" customWidth="1"/>
    <col min="9943" max="9943" width="2.7109375" style="45" customWidth="1"/>
    <col min="9944" max="9956" width="13.42578125" style="45" customWidth="1"/>
    <col min="9957" max="9957" width="2.7109375" style="45" customWidth="1"/>
    <col min="9958" max="9970" width="13.42578125" style="45" customWidth="1"/>
    <col min="9971" max="9971" width="2.7109375" style="45" customWidth="1"/>
    <col min="9972" max="9984" width="13.42578125" style="45" customWidth="1"/>
    <col min="9985" max="9985" width="2.7109375" style="45" customWidth="1"/>
    <col min="9986" max="10167" width="8.85546875" style="45"/>
    <col min="10168" max="10168" width="19.85546875" style="45" bestFit="1" customWidth="1"/>
    <col min="10169" max="10171" width="0" style="45" hidden="1" customWidth="1"/>
    <col min="10172" max="10184" width="13.42578125" style="45" customWidth="1"/>
    <col min="10185" max="10185" width="2.7109375" style="45" customWidth="1"/>
    <col min="10186" max="10198" width="13.42578125" style="45" customWidth="1"/>
    <col min="10199" max="10199" width="2.7109375" style="45" customWidth="1"/>
    <col min="10200" max="10212" width="13.42578125" style="45" customWidth="1"/>
    <col min="10213" max="10213" width="2.7109375" style="45" customWidth="1"/>
    <col min="10214" max="10226" width="13.42578125" style="45" customWidth="1"/>
    <col min="10227" max="10227" width="2.7109375" style="45" customWidth="1"/>
    <col min="10228" max="10240" width="13.42578125" style="45" customWidth="1"/>
    <col min="10241" max="10241" width="2.7109375" style="45" customWidth="1"/>
    <col min="10242" max="10423" width="8.85546875" style="45"/>
    <col min="10424" max="10424" width="19.85546875" style="45" bestFit="1" customWidth="1"/>
    <col min="10425" max="10427" width="0" style="45" hidden="1" customWidth="1"/>
    <col min="10428" max="10440" width="13.42578125" style="45" customWidth="1"/>
    <col min="10441" max="10441" width="2.7109375" style="45" customWidth="1"/>
    <col min="10442" max="10454" width="13.42578125" style="45" customWidth="1"/>
    <col min="10455" max="10455" width="2.7109375" style="45" customWidth="1"/>
    <col min="10456" max="10468" width="13.42578125" style="45" customWidth="1"/>
    <col min="10469" max="10469" width="2.7109375" style="45" customWidth="1"/>
    <col min="10470" max="10482" width="13.42578125" style="45" customWidth="1"/>
    <col min="10483" max="10483" width="2.7109375" style="45" customWidth="1"/>
    <col min="10484" max="10496" width="13.42578125" style="45" customWidth="1"/>
    <col min="10497" max="10497" width="2.7109375" style="45" customWidth="1"/>
    <col min="10498" max="10679" width="8.85546875" style="45"/>
    <col min="10680" max="10680" width="19.85546875" style="45" bestFit="1" customWidth="1"/>
    <col min="10681" max="10683" width="0" style="45" hidden="1" customWidth="1"/>
    <col min="10684" max="10696" width="13.42578125" style="45" customWidth="1"/>
    <col min="10697" max="10697" width="2.7109375" style="45" customWidth="1"/>
    <col min="10698" max="10710" width="13.42578125" style="45" customWidth="1"/>
    <col min="10711" max="10711" width="2.7109375" style="45" customWidth="1"/>
    <col min="10712" max="10724" width="13.42578125" style="45" customWidth="1"/>
    <col min="10725" max="10725" width="2.7109375" style="45" customWidth="1"/>
    <col min="10726" max="10738" width="13.42578125" style="45" customWidth="1"/>
    <col min="10739" max="10739" width="2.7109375" style="45" customWidth="1"/>
    <col min="10740" max="10752" width="13.42578125" style="45" customWidth="1"/>
    <col min="10753" max="10753" width="2.7109375" style="45" customWidth="1"/>
    <col min="10754" max="10935" width="8.85546875" style="45"/>
    <col min="10936" max="10936" width="19.85546875" style="45" bestFit="1" customWidth="1"/>
    <col min="10937" max="10939" width="0" style="45" hidden="1" customWidth="1"/>
    <col min="10940" max="10952" width="13.42578125" style="45" customWidth="1"/>
    <col min="10953" max="10953" width="2.7109375" style="45" customWidth="1"/>
    <col min="10954" max="10966" width="13.42578125" style="45" customWidth="1"/>
    <col min="10967" max="10967" width="2.7109375" style="45" customWidth="1"/>
    <col min="10968" max="10980" width="13.42578125" style="45" customWidth="1"/>
    <col min="10981" max="10981" width="2.7109375" style="45" customWidth="1"/>
    <col min="10982" max="10994" width="13.42578125" style="45" customWidth="1"/>
    <col min="10995" max="10995" width="2.7109375" style="45" customWidth="1"/>
    <col min="10996" max="11008" width="13.42578125" style="45" customWidth="1"/>
    <col min="11009" max="11009" width="2.7109375" style="45" customWidth="1"/>
    <col min="11010" max="11191" width="8.85546875" style="45"/>
    <col min="11192" max="11192" width="19.85546875" style="45" bestFit="1" customWidth="1"/>
    <col min="11193" max="11195" width="0" style="45" hidden="1" customWidth="1"/>
    <col min="11196" max="11208" width="13.42578125" style="45" customWidth="1"/>
    <col min="11209" max="11209" width="2.7109375" style="45" customWidth="1"/>
    <col min="11210" max="11222" width="13.42578125" style="45" customWidth="1"/>
    <col min="11223" max="11223" width="2.7109375" style="45" customWidth="1"/>
    <col min="11224" max="11236" width="13.42578125" style="45" customWidth="1"/>
    <col min="11237" max="11237" width="2.7109375" style="45" customWidth="1"/>
    <col min="11238" max="11250" width="13.42578125" style="45" customWidth="1"/>
    <col min="11251" max="11251" width="2.7109375" style="45" customWidth="1"/>
    <col min="11252" max="11264" width="13.42578125" style="45" customWidth="1"/>
    <col min="11265" max="11265" width="2.7109375" style="45" customWidth="1"/>
    <col min="11266" max="11447" width="8.85546875" style="45"/>
    <col min="11448" max="11448" width="19.85546875" style="45" bestFit="1" customWidth="1"/>
    <col min="11449" max="11451" width="0" style="45" hidden="1" customWidth="1"/>
    <col min="11452" max="11464" width="13.42578125" style="45" customWidth="1"/>
    <col min="11465" max="11465" width="2.7109375" style="45" customWidth="1"/>
    <col min="11466" max="11478" width="13.42578125" style="45" customWidth="1"/>
    <col min="11479" max="11479" width="2.7109375" style="45" customWidth="1"/>
    <col min="11480" max="11492" width="13.42578125" style="45" customWidth="1"/>
    <col min="11493" max="11493" width="2.7109375" style="45" customWidth="1"/>
    <col min="11494" max="11506" width="13.42578125" style="45" customWidth="1"/>
    <col min="11507" max="11507" width="2.7109375" style="45" customWidth="1"/>
    <col min="11508" max="11520" width="13.42578125" style="45" customWidth="1"/>
    <col min="11521" max="11521" width="2.7109375" style="45" customWidth="1"/>
    <col min="11522" max="11703" width="8.85546875" style="45"/>
    <col min="11704" max="11704" width="19.85546875" style="45" bestFit="1" customWidth="1"/>
    <col min="11705" max="11707" width="0" style="45" hidden="1" customWidth="1"/>
    <col min="11708" max="11720" width="13.42578125" style="45" customWidth="1"/>
    <col min="11721" max="11721" width="2.7109375" style="45" customWidth="1"/>
    <col min="11722" max="11734" width="13.42578125" style="45" customWidth="1"/>
    <col min="11735" max="11735" width="2.7109375" style="45" customWidth="1"/>
    <col min="11736" max="11748" width="13.42578125" style="45" customWidth="1"/>
    <col min="11749" max="11749" width="2.7109375" style="45" customWidth="1"/>
    <col min="11750" max="11762" width="13.42578125" style="45" customWidth="1"/>
    <col min="11763" max="11763" width="2.7109375" style="45" customWidth="1"/>
    <col min="11764" max="11776" width="13.42578125" style="45" customWidth="1"/>
    <col min="11777" max="11777" width="2.7109375" style="45" customWidth="1"/>
    <col min="11778" max="11959" width="8.85546875" style="45"/>
    <col min="11960" max="11960" width="19.85546875" style="45" bestFit="1" customWidth="1"/>
    <col min="11961" max="11963" width="0" style="45" hidden="1" customWidth="1"/>
    <col min="11964" max="11976" width="13.42578125" style="45" customWidth="1"/>
    <col min="11977" max="11977" width="2.7109375" style="45" customWidth="1"/>
    <col min="11978" max="11990" width="13.42578125" style="45" customWidth="1"/>
    <col min="11991" max="11991" width="2.7109375" style="45" customWidth="1"/>
    <col min="11992" max="12004" width="13.42578125" style="45" customWidth="1"/>
    <col min="12005" max="12005" width="2.7109375" style="45" customWidth="1"/>
    <col min="12006" max="12018" width="13.42578125" style="45" customWidth="1"/>
    <col min="12019" max="12019" width="2.7109375" style="45" customWidth="1"/>
    <col min="12020" max="12032" width="13.42578125" style="45" customWidth="1"/>
    <col min="12033" max="12033" width="2.7109375" style="45" customWidth="1"/>
    <col min="12034" max="12215" width="8.85546875" style="45"/>
    <col min="12216" max="12216" width="19.85546875" style="45" bestFit="1" customWidth="1"/>
    <col min="12217" max="12219" width="0" style="45" hidden="1" customWidth="1"/>
    <col min="12220" max="12232" width="13.42578125" style="45" customWidth="1"/>
    <col min="12233" max="12233" width="2.7109375" style="45" customWidth="1"/>
    <col min="12234" max="12246" width="13.42578125" style="45" customWidth="1"/>
    <col min="12247" max="12247" width="2.7109375" style="45" customWidth="1"/>
    <col min="12248" max="12260" width="13.42578125" style="45" customWidth="1"/>
    <col min="12261" max="12261" width="2.7109375" style="45" customWidth="1"/>
    <col min="12262" max="12274" width="13.42578125" style="45" customWidth="1"/>
    <col min="12275" max="12275" width="2.7109375" style="45" customWidth="1"/>
    <col min="12276" max="12288" width="13.42578125" style="45" customWidth="1"/>
    <col min="12289" max="12289" width="2.7109375" style="45" customWidth="1"/>
    <col min="12290" max="12471" width="8.85546875" style="45"/>
    <col min="12472" max="12472" width="19.85546875" style="45" bestFit="1" customWidth="1"/>
    <col min="12473" max="12475" width="0" style="45" hidden="1" customWidth="1"/>
    <col min="12476" max="12488" width="13.42578125" style="45" customWidth="1"/>
    <col min="12489" max="12489" width="2.7109375" style="45" customWidth="1"/>
    <col min="12490" max="12502" width="13.42578125" style="45" customWidth="1"/>
    <col min="12503" max="12503" width="2.7109375" style="45" customWidth="1"/>
    <col min="12504" max="12516" width="13.42578125" style="45" customWidth="1"/>
    <col min="12517" max="12517" width="2.7109375" style="45" customWidth="1"/>
    <col min="12518" max="12530" width="13.42578125" style="45" customWidth="1"/>
    <col min="12531" max="12531" width="2.7109375" style="45" customWidth="1"/>
    <col min="12532" max="12544" width="13.42578125" style="45" customWidth="1"/>
    <col min="12545" max="12545" width="2.7109375" style="45" customWidth="1"/>
    <col min="12546" max="12727" width="8.85546875" style="45"/>
    <col min="12728" max="12728" width="19.85546875" style="45" bestFit="1" customWidth="1"/>
    <col min="12729" max="12731" width="0" style="45" hidden="1" customWidth="1"/>
    <col min="12732" max="12744" width="13.42578125" style="45" customWidth="1"/>
    <col min="12745" max="12745" width="2.7109375" style="45" customWidth="1"/>
    <col min="12746" max="12758" width="13.42578125" style="45" customWidth="1"/>
    <col min="12759" max="12759" width="2.7109375" style="45" customWidth="1"/>
    <col min="12760" max="12772" width="13.42578125" style="45" customWidth="1"/>
    <col min="12773" max="12773" width="2.7109375" style="45" customWidth="1"/>
    <col min="12774" max="12786" width="13.42578125" style="45" customWidth="1"/>
    <col min="12787" max="12787" width="2.7109375" style="45" customWidth="1"/>
    <col min="12788" max="12800" width="13.42578125" style="45" customWidth="1"/>
    <col min="12801" max="12801" width="2.7109375" style="45" customWidth="1"/>
    <col min="12802" max="12983" width="8.85546875" style="45"/>
    <col min="12984" max="12984" width="19.85546875" style="45" bestFit="1" customWidth="1"/>
    <col min="12985" max="12987" width="0" style="45" hidden="1" customWidth="1"/>
    <col min="12988" max="13000" width="13.42578125" style="45" customWidth="1"/>
    <col min="13001" max="13001" width="2.7109375" style="45" customWidth="1"/>
    <col min="13002" max="13014" width="13.42578125" style="45" customWidth="1"/>
    <col min="13015" max="13015" width="2.7109375" style="45" customWidth="1"/>
    <col min="13016" max="13028" width="13.42578125" style="45" customWidth="1"/>
    <col min="13029" max="13029" width="2.7109375" style="45" customWidth="1"/>
    <col min="13030" max="13042" width="13.42578125" style="45" customWidth="1"/>
    <col min="13043" max="13043" width="2.7109375" style="45" customWidth="1"/>
    <col min="13044" max="13056" width="13.42578125" style="45" customWidth="1"/>
    <col min="13057" max="13057" width="2.7109375" style="45" customWidth="1"/>
    <col min="13058" max="13239" width="8.85546875" style="45"/>
    <col min="13240" max="13240" width="19.85546875" style="45" bestFit="1" customWidth="1"/>
    <col min="13241" max="13243" width="0" style="45" hidden="1" customWidth="1"/>
    <col min="13244" max="13256" width="13.42578125" style="45" customWidth="1"/>
    <col min="13257" max="13257" width="2.7109375" style="45" customWidth="1"/>
    <col min="13258" max="13270" width="13.42578125" style="45" customWidth="1"/>
    <col min="13271" max="13271" width="2.7109375" style="45" customWidth="1"/>
    <col min="13272" max="13284" width="13.42578125" style="45" customWidth="1"/>
    <col min="13285" max="13285" width="2.7109375" style="45" customWidth="1"/>
    <col min="13286" max="13298" width="13.42578125" style="45" customWidth="1"/>
    <col min="13299" max="13299" width="2.7109375" style="45" customWidth="1"/>
    <col min="13300" max="13312" width="13.42578125" style="45" customWidth="1"/>
    <col min="13313" max="13313" width="2.7109375" style="45" customWidth="1"/>
    <col min="13314" max="13495" width="8.85546875" style="45"/>
    <col min="13496" max="13496" width="19.85546875" style="45" bestFit="1" customWidth="1"/>
    <col min="13497" max="13499" width="0" style="45" hidden="1" customWidth="1"/>
    <col min="13500" max="13512" width="13.42578125" style="45" customWidth="1"/>
    <col min="13513" max="13513" width="2.7109375" style="45" customWidth="1"/>
    <col min="13514" max="13526" width="13.42578125" style="45" customWidth="1"/>
    <col min="13527" max="13527" width="2.7109375" style="45" customWidth="1"/>
    <col min="13528" max="13540" width="13.42578125" style="45" customWidth="1"/>
    <col min="13541" max="13541" width="2.7109375" style="45" customWidth="1"/>
    <col min="13542" max="13554" width="13.42578125" style="45" customWidth="1"/>
    <col min="13555" max="13555" width="2.7109375" style="45" customWidth="1"/>
    <col min="13556" max="13568" width="13.42578125" style="45" customWidth="1"/>
    <col min="13569" max="13569" width="2.7109375" style="45" customWidth="1"/>
    <col min="13570" max="13751" width="8.85546875" style="45"/>
    <col min="13752" max="13752" width="19.85546875" style="45" bestFit="1" customWidth="1"/>
    <col min="13753" max="13755" width="0" style="45" hidden="1" customWidth="1"/>
    <col min="13756" max="13768" width="13.42578125" style="45" customWidth="1"/>
    <col min="13769" max="13769" width="2.7109375" style="45" customWidth="1"/>
    <col min="13770" max="13782" width="13.42578125" style="45" customWidth="1"/>
    <col min="13783" max="13783" width="2.7109375" style="45" customWidth="1"/>
    <col min="13784" max="13796" width="13.42578125" style="45" customWidth="1"/>
    <col min="13797" max="13797" width="2.7109375" style="45" customWidth="1"/>
    <col min="13798" max="13810" width="13.42578125" style="45" customWidth="1"/>
    <col min="13811" max="13811" width="2.7109375" style="45" customWidth="1"/>
    <col min="13812" max="13824" width="13.42578125" style="45" customWidth="1"/>
    <col min="13825" max="13825" width="2.7109375" style="45" customWidth="1"/>
    <col min="13826" max="14007" width="8.85546875" style="45"/>
    <col min="14008" max="14008" width="19.85546875" style="45" bestFit="1" customWidth="1"/>
    <col min="14009" max="14011" width="0" style="45" hidden="1" customWidth="1"/>
    <col min="14012" max="14024" width="13.42578125" style="45" customWidth="1"/>
    <col min="14025" max="14025" width="2.7109375" style="45" customWidth="1"/>
    <col min="14026" max="14038" width="13.42578125" style="45" customWidth="1"/>
    <col min="14039" max="14039" width="2.7109375" style="45" customWidth="1"/>
    <col min="14040" max="14052" width="13.42578125" style="45" customWidth="1"/>
    <col min="14053" max="14053" width="2.7109375" style="45" customWidth="1"/>
    <col min="14054" max="14066" width="13.42578125" style="45" customWidth="1"/>
    <col min="14067" max="14067" width="2.7109375" style="45" customWidth="1"/>
    <col min="14068" max="14080" width="13.42578125" style="45" customWidth="1"/>
    <col min="14081" max="14081" width="2.7109375" style="45" customWidth="1"/>
    <col min="14082" max="14263" width="8.85546875" style="45"/>
    <col min="14264" max="14264" width="19.85546875" style="45" bestFit="1" customWidth="1"/>
    <col min="14265" max="14267" width="0" style="45" hidden="1" customWidth="1"/>
    <col min="14268" max="14280" width="13.42578125" style="45" customWidth="1"/>
    <col min="14281" max="14281" width="2.7109375" style="45" customWidth="1"/>
    <col min="14282" max="14294" width="13.42578125" style="45" customWidth="1"/>
    <col min="14295" max="14295" width="2.7109375" style="45" customWidth="1"/>
    <col min="14296" max="14308" width="13.42578125" style="45" customWidth="1"/>
    <col min="14309" max="14309" width="2.7109375" style="45" customWidth="1"/>
    <col min="14310" max="14322" width="13.42578125" style="45" customWidth="1"/>
    <col min="14323" max="14323" width="2.7109375" style="45" customWidth="1"/>
    <col min="14324" max="14336" width="13.42578125" style="45" customWidth="1"/>
    <col min="14337" max="14337" width="2.7109375" style="45" customWidth="1"/>
    <col min="14338" max="14519" width="8.85546875" style="45"/>
    <col min="14520" max="14520" width="19.85546875" style="45" bestFit="1" customWidth="1"/>
    <col min="14521" max="14523" width="0" style="45" hidden="1" customWidth="1"/>
    <col min="14524" max="14536" width="13.42578125" style="45" customWidth="1"/>
    <col min="14537" max="14537" width="2.7109375" style="45" customWidth="1"/>
    <col min="14538" max="14550" width="13.42578125" style="45" customWidth="1"/>
    <col min="14551" max="14551" width="2.7109375" style="45" customWidth="1"/>
    <col min="14552" max="14564" width="13.42578125" style="45" customWidth="1"/>
    <col min="14565" max="14565" width="2.7109375" style="45" customWidth="1"/>
    <col min="14566" max="14578" width="13.42578125" style="45" customWidth="1"/>
    <col min="14579" max="14579" width="2.7109375" style="45" customWidth="1"/>
    <col min="14580" max="14592" width="13.42578125" style="45" customWidth="1"/>
    <col min="14593" max="14593" width="2.7109375" style="45" customWidth="1"/>
    <col min="14594" max="14775" width="8.85546875" style="45"/>
    <col min="14776" max="14776" width="19.85546875" style="45" bestFit="1" customWidth="1"/>
    <col min="14777" max="14779" width="0" style="45" hidden="1" customWidth="1"/>
    <col min="14780" max="14792" width="13.42578125" style="45" customWidth="1"/>
    <col min="14793" max="14793" width="2.7109375" style="45" customWidth="1"/>
    <col min="14794" max="14806" width="13.42578125" style="45" customWidth="1"/>
    <col min="14807" max="14807" width="2.7109375" style="45" customWidth="1"/>
    <col min="14808" max="14820" width="13.42578125" style="45" customWidth="1"/>
    <col min="14821" max="14821" width="2.7109375" style="45" customWidth="1"/>
    <col min="14822" max="14834" width="13.42578125" style="45" customWidth="1"/>
    <col min="14835" max="14835" width="2.7109375" style="45" customWidth="1"/>
    <col min="14836" max="14848" width="13.42578125" style="45" customWidth="1"/>
    <col min="14849" max="14849" width="2.7109375" style="45" customWidth="1"/>
    <col min="14850" max="15031" width="8.85546875" style="45"/>
    <col min="15032" max="15032" width="19.85546875" style="45" bestFit="1" customWidth="1"/>
    <col min="15033" max="15035" width="0" style="45" hidden="1" customWidth="1"/>
    <col min="15036" max="15048" width="13.42578125" style="45" customWidth="1"/>
    <col min="15049" max="15049" width="2.7109375" style="45" customWidth="1"/>
    <col min="15050" max="15062" width="13.42578125" style="45" customWidth="1"/>
    <col min="15063" max="15063" width="2.7109375" style="45" customWidth="1"/>
    <col min="15064" max="15076" width="13.42578125" style="45" customWidth="1"/>
    <col min="15077" max="15077" width="2.7109375" style="45" customWidth="1"/>
    <col min="15078" max="15090" width="13.42578125" style="45" customWidth="1"/>
    <col min="15091" max="15091" width="2.7109375" style="45" customWidth="1"/>
    <col min="15092" max="15104" width="13.42578125" style="45" customWidth="1"/>
    <col min="15105" max="15105" width="2.7109375" style="45" customWidth="1"/>
    <col min="15106" max="15287" width="8.85546875" style="45"/>
    <col min="15288" max="15288" width="19.85546875" style="45" bestFit="1" customWidth="1"/>
    <col min="15289" max="15291" width="0" style="45" hidden="1" customWidth="1"/>
    <col min="15292" max="15304" width="13.42578125" style="45" customWidth="1"/>
    <col min="15305" max="15305" width="2.7109375" style="45" customWidth="1"/>
    <col min="15306" max="15318" width="13.42578125" style="45" customWidth="1"/>
    <col min="15319" max="15319" width="2.7109375" style="45" customWidth="1"/>
    <col min="15320" max="15332" width="13.42578125" style="45" customWidth="1"/>
    <col min="15333" max="15333" width="2.7109375" style="45" customWidth="1"/>
    <col min="15334" max="15346" width="13.42578125" style="45" customWidth="1"/>
    <col min="15347" max="15347" width="2.7109375" style="45" customWidth="1"/>
    <col min="15348" max="15360" width="13.42578125" style="45" customWidth="1"/>
    <col min="15361" max="15361" width="2.7109375" style="45" customWidth="1"/>
    <col min="15362" max="15543" width="8.85546875" style="45"/>
    <col min="15544" max="15544" width="19.85546875" style="45" bestFit="1" customWidth="1"/>
    <col min="15545" max="15547" width="0" style="45" hidden="1" customWidth="1"/>
    <col min="15548" max="15560" width="13.42578125" style="45" customWidth="1"/>
    <col min="15561" max="15561" width="2.7109375" style="45" customWidth="1"/>
    <col min="15562" max="15574" width="13.42578125" style="45" customWidth="1"/>
    <col min="15575" max="15575" width="2.7109375" style="45" customWidth="1"/>
    <col min="15576" max="15588" width="13.42578125" style="45" customWidth="1"/>
    <col min="15589" max="15589" width="2.7109375" style="45" customWidth="1"/>
    <col min="15590" max="15602" width="13.42578125" style="45" customWidth="1"/>
    <col min="15603" max="15603" width="2.7109375" style="45" customWidth="1"/>
    <col min="15604" max="15616" width="13.42578125" style="45" customWidth="1"/>
    <col min="15617" max="15617" width="2.7109375" style="45" customWidth="1"/>
    <col min="15618" max="15799" width="8.85546875" style="45"/>
    <col min="15800" max="15800" width="19.85546875" style="45" bestFit="1" customWidth="1"/>
    <col min="15801" max="15803" width="0" style="45" hidden="1" customWidth="1"/>
    <col min="15804" max="15816" width="13.42578125" style="45" customWidth="1"/>
    <col min="15817" max="15817" width="2.7109375" style="45" customWidth="1"/>
    <col min="15818" max="15830" width="13.42578125" style="45" customWidth="1"/>
    <col min="15831" max="15831" width="2.7109375" style="45" customWidth="1"/>
    <col min="15832" max="15844" width="13.42578125" style="45" customWidth="1"/>
    <col min="15845" max="15845" width="2.7109375" style="45" customWidth="1"/>
    <col min="15846" max="15858" width="13.42578125" style="45" customWidth="1"/>
    <col min="15859" max="15859" width="2.7109375" style="45" customWidth="1"/>
    <col min="15860" max="15872" width="13.42578125" style="45" customWidth="1"/>
    <col min="15873" max="15873" width="2.7109375" style="45" customWidth="1"/>
    <col min="15874" max="16055" width="8.85546875" style="45"/>
    <col min="16056" max="16056" width="19.85546875" style="45" bestFit="1" customWidth="1"/>
    <col min="16057" max="16059" width="0" style="45" hidden="1" customWidth="1"/>
    <col min="16060" max="16072" width="13.42578125" style="45" customWidth="1"/>
    <col min="16073" max="16073" width="2.7109375" style="45" customWidth="1"/>
    <col min="16074" max="16086" width="13.42578125" style="45" customWidth="1"/>
    <col min="16087" max="16087" width="2.7109375" style="45" customWidth="1"/>
    <col min="16088" max="16100" width="13.42578125" style="45" customWidth="1"/>
    <col min="16101" max="16101" width="2.7109375" style="45" customWidth="1"/>
    <col min="16102" max="16114" width="13.42578125" style="45" customWidth="1"/>
    <col min="16115" max="16115" width="2.7109375" style="45" customWidth="1"/>
    <col min="16116" max="16128" width="13.42578125" style="45" customWidth="1"/>
    <col min="16129" max="16129" width="2.7109375" style="45" customWidth="1"/>
    <col min="16130" max="16384" width="8.85546875" style="45"/>
  </cols>
  <sheetData>
    <row r="1" spans="1:252" ht="12.75" customHeight="1" x14ac:dyDescent="0.2">
      <c r="A1" s="1345" t="s">
        <v>184</v>
      </c>
      <c r="B1" s="1345"/>
      <c r="C1" s="69"/>
      <c r="O1" s="69"/>
    </row>
    <row r="2" spans="1:252" s="49" customFormat="1" ht="32.25" customHeight="1" x14ac:dyDescent="0.3">
      <c r="A2" s="1345"/>
      <c r="B2" s="1345"/>
      <c r="C2" s="1353" t="s">
        <v>454</v>
      </c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43" t="s">
        <v>455</v>
      </c>
      <c r="P2" s="1340"/>
      <c r="Q2" s="1340"/>
      <c r="R2" s="1340"/>
      <c r="S2" s="1340"/>
      <c r="T2" s="1340"/>
      <c r="U2" s="1340"/>
      <c r="V2" s="1340"/>
      <c r="W2" s="1340"/>
      <c r="X2" s="1340"/>
      <c r="Y2" s="1340"/>
      <c r="Z2" s="1340"/>
      <c r="AA2" s="1343" t="s">
        <v>456</v>
      </c>
      <c r="AB2" s="1340"/>
      <c r="AC2" s="1340"/>
      <c r="AD2" s="1340"/>
      <c r="AE2" s="1340"/>
      <c r="AF2" s="1340"/>
      <c r="AG2" s="1340"/>
      <c r="AH2" s="1340"/>
      <c r="AI2" s="1340"/>
      <c r="AJ2" s="1340"/>
      <c r="AK2" s="1340"/>
      <c r="AL2" s="1340"/>
      <c r="AM2" s="1352" t="s">
        <v>457</v>
      </c>
      <c r="AN2" s="1352"/>
      <c r="AO2" s="1352"/>
      <c r="AP2" s="1352"/>
      <c r="AQ2" s="1352"/>
      <c r="AR2" s="1352"/>
      <c r="AS2" s="1352"/>
      <c r="AT2" s="1352"/>
      <c r="AU2" s="1352"/>
      <c r="AV2" s="1352"/>
      <c r="AW2" s="1352"/>
      <c r="AX2" s="1352"/>
      <c r="AY2" s="1352" t="s">
        <v>458</v>
      </c>
      <c r="AZ2" s="1352"/>
      <c r="BA2" s="1352"/>
      <c r="BB2" s="1352"/>
      <c r="BC2" s="1352"/>
      <c r="BD2" s="1352"/>
      <c r="BE2" s="1352"/>
      <c r="BF2" s="1352"/>
      <c r="BG2" s="1352"/>
      <c r="BH2" s="1352"/>
      <c r="BI2" s="1352"/>
      <c r="BJ2" s="1352"/>
      <c r="BK2" s="1352" t="s">
        <v>459</v>
      </c>
      <c r="BL2" s="1352"/>
      <c r="BM2" s="1352"/>
      <c r="BN2" s="1352"/>
      <c r="BO2" s="1352"/>
      <c r="BP2" s="1352"/>
      <c r="BQ2" s="1352"/>
      <c r="BR2" s="1352"/>
      <c r="BS2" s="1352"/>
      <c r="BT2" s="1352"/>
      <c r="BU2" s="1352"/>
      <c r="BV2" s="1352"/>
      <c r="BW2" s="1352" t="s">
        <v>460</v>
      </c>
      <c r="BX2" s="1352"/>
      <c r="BY2" s="1352"/>
      <c r="BZ2" s="1352"/>
      <c r="CA2" s="1352"/>
      <c r="CB2" s="1352"/>
      <c r="CC2" s="1352"/>
      <c r="CD2" s="1352"/>
      <c r="CE2" s="1352"/>
      <c r="CF2" s="1352"/>
      <c r="CG2" s="1352"/>
      <c r="CH2" s="1352"/>
      <c r="CI2" s="1352" t="s">
        <v>461</v>
      </c>
      <c r="CJ2" s="1352"/>
      <c r="CK2" s="1352"/>
      <c r="CL2" s="1352"/>
      <c r="CM2" s="1352"/>
      <c r="CN2" s="1352"/>
      <c r="CO2" s="1352"/>
      <c r="CP2" s="1352"/>
      <c r="CQ2" s="1352"/>
      <c r="CR2" s="1352"/>
      <c r="CS2" s="1352"/>
      <c r="CT2" s="1352"/>
      <c r="CU2" s="1352" t="s">
        <v>462</v>
      </c>
      <c r="CV2" s="1352"/>
      <c r="CW2" s="1352"/>
      <c r="CX2" s="1352"/>
      <c r="CY2" s="1352"/>
      <c r="CZ2" s="1352"/>
      <c r="DA2" s="1352"/>
      <c r="DB2" s="1352"/>
      <c r="DC2" s="1352"/>
      <c r="DD2" s="1352"/>
      <c r="DE2" s="1352"/>
      <c r="DF2" s="1352"/>
      <c r="DG2" s="1352" t="s">
        <v>463</v>
      </c>
      <c r="DH2" s="1352"/>
      <c r="DI2" s="1352"/>
      <c r="DJ2" s="1352"/>
      <c r="DK2" s="1352"/>
      <c r="DL2" s="1352"/>
      <c r="DM2" s="1352"/>
      <c r="DN2" s="1352"/>
      <c r="DO2" s="1352"/>
      <c r="DP2" s="1352"/>
      <c r="DQ2" s="1352"/>
      <c r="DR2" s="1352"/>
      <c r="DS2" s="191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</row>
    <row r="3" spans="1:252" ht="12.75" customHeight="1" x14ac:dyDescent="0.25">
      <c r="A3" s="1345"/>
      <c r="B3" s="1345"/>
      <c r="C3" s="495" t="s">
        <v>174</v>
      </c>
      <c r="D3" s="495" t="s">
        <v>175</v>
      </c>
      <c r="E3" s="495" t="s">
        <v>176</v>
      </c>
      <c r="F3" s="495" t="s">
        <v>177</v>
      </c>
      <c r="G3" s="495" t="s">
        <v>166</v>
      </c>
      <c r="H3" s="495" t="s">
        <v>167</v>
      </c>
      <c r="I3" s="495" t="s">
        <v>168</v>
      </c>
      <c r="J3" s="495" t="s">
        <v>169</v>
      </c>
      <c r="K3" s="495" t="s">
        <v>170</v>
      </c>
      <c r="L3" s="495" t="s">
        <v>171</v>
      </c>
      <c r="M3" s="495" t="s">
        <v>172</v>
      </c>
      <c r="N3" s="495" t="s">
        <v>173</v>
      </c>
      <c r="O3" s="546" t="s">
        <v>174</v>
      </c>
      <c r="P3" s="270" t="s">
        <v>175</v>
      </c>
      <c r="Q3" s="270" t="s">
        <v>176</v>
      </c>
      <c r="R3" s="270" t="s">
        <v>177</v>
      </c>
      <c r="S3" s="270" t="s">
        <v>166</v>
      </c>
      <c r="T3" s="270" t="s">
        <v>167</v>
      </c>
      <c r="U3" s="270" t="s">
        <v>168</v>
      </c>
      <c r="V3" s="270" t="s">
        <v>169</v>
      </c>
      <c r="W3" s="270" t="s">
        <v>170</v>
      </c>
      <c r="X3" s="270" t="s">
        <v>171</v>
      </c>
      <c r="Y3" s="270" t="s">
        <v>172</v>
      </c>
      <c r="Z3" s="270" t="s">
        <v>173</v>
      </c>
      <c r="AA3" s="270" t="s">
        <v>174</v>
      </c>
      <c r="AB3" s="270" t="s">
        <v>175</v>
      </c>
      <c r="AC3" s="270" t="s">
        <v>176</v>
      </c>
      <c r="AD3" s="270" t="s">
        <v>177</v>
      </c>
      <c r="AE3" s="270" t="s">
        <v>166</v>
      </c>
      <c r="AF3" s="270" t="s">
        <v>167</v>
      </c>
      <c r="AG3" s="270" t="s">
        <v>168</v>
      </c>
      <c r="AH3" s="270" t="s">
        <v>169</v>
      </c>
      <c r="AI3" s="270" t="s">
        <v>170</v>
      </c>
      <c r="AJ3" s="270" t="s">
        <v>171</v>
      </c>
      <c r="AK3" s="270" t="s">
        <v>172</v>
      </c>
      <c r="AL3" s="270" t="s">
        <v>173</v>
      </c>
      <c r="AM3" s="270" t="s">
        <v>174</v>
      </c>
      <c r="AN3" s="270" t="s">
        <v>175</v>
      </c>
      <c r="AO3" s="270" t="s">
        <v>176</v>
      </c>
      <c r="AP3" s="270" t="s">
        <v>177</v>
      </c>
      <c r="AQ3" s="270" t="s">
        <v>166</v>
      </c>
      <c r="AR3" s="270" t="s">
        <v>167</v>
      </c>
      <c r="AS3" s="270" t="s">
        <v>168</v>
      </c>
      <c r="AT3" s="270" t="s">
        <v>169</v>
      </c>
      <c r="AU3" s="270" t="s">
        <v>170</v>
      </c>
      <c r="AV3" s="270" t="s">
        <v>171</v>
      </c>
      <c r="AW3" s="270" t="s">
        <v>172</v>
      </c>
      <c r="AX3" s="270" t="s">
        <v>173</v>
      </c>
      <c r="AY3" s="270" t="s">
        <v>174</v>
      </c>
      <c r="AZ3" s="270" t="s">
        <v>175</v>
      </c>
      <c r="BA3" s="270" t="s">
        <v>176</v>
      </c>
      <c r="BB3" s="270" t="s">
        <v>177</v>
      </c>
      <c r="BC3" s="270" t="s">
        <v>166</v>
      </c>
      <c r="BD3" s="270" t="s">
        <v>167</v>
      </c>
      <c r="BE3" s="270" t="s">
        <v>168</v>
      </c>
      <c r="BF3" s="270" t="s">
        <v>169</v>
      </c>
      <c r="BG3" s="270" t="s">
        <v>170</v>
      </c>
      <c r="BH3" s="270" t="s">
        <v>171</v>
      </c>
      <c r="BI3" s="270" t="s">
        <v>172</v>
      </c>
      <c r="BJ3" s="270" t="s">
        <v>173</v>
      </c>
      <c r="BK3" s="270" t="s">
        <v>174</v>
      </c>
      <c r="BL3" s="270" t="s">
        <v>175</v>
      </c>
      <c r="BM3" s="270" t="s">
        <v>176</v>
      </c>
      <c r="BN3" s="270" t="s">
        <v>177</v>
      </c>
      <c r="BO3" s="270" t="s">
        <v>166</v>
      </c>
      <c r="BP3" s="270" t="s">
        <v>167</v>
      </c>
      <c r="BQ3" s="270" t="s">
        <v>168</v>
      </c>
      <c r="BR3" s="270" t="s">
        <v>169</v>
      </c>
      <c r="BS3" s="270" t="s">
        <v>170</v>
      </c>
      <c r="BT3" s="270" t="s">
        <v>171</v>
      </c>
      <c r="BU3" s="270" t="s">
        <v>172</v>
      </c>
      <c r="BV3" s="270" t="s">
        <v>173</v>
      </c>
      <c r="BW3" s="270" t="s">
        <v>174</v>
      </c>
      <c r="BX3" s="270" t="s">
        <v>175</v>
      </c>
      <c r="BY3" s="270" t="s">
        <v>176</v>
      </c>
      <c r="BZ3" s="270" t="s">
        <v>177</v>
      </c>
      <c r="CA3" s="270" t="s">
        <v>166</v>
      </c>
      <c r="CB3" s="270" t="s">
        <v>167</v>
      </c>
      <c r="CC3" s="270" t="s">
        <v>168</v>
      </c>
      <c r="CD3" s="270" t="s">
        <v>169</v>
      </c>
      <c r="CE3" s="270" t="s">
        <v>170</v>
      </c>
      <c r="CF3" s="270" t="s">
        <v>171</v>
      </c>
      <c r="CG3" s="270" t="s">
        <v>172</v>
      </c>
      <c r="CH3" s="270" t="s">
        <v>173</v>
      </c>
      <c r="CI3" s="270" t="s">
        <v>174</v>
      </c>
      <c r="CJ3" s="270" t="s">
        <v>175</v>
      </c>
      <c r="CK3" s="270" t="s">
        <v>176</v>
      </c>
      <c r="CL3" s="270" t="s">
        <v>177</v>
      </c>
      <c r="CM3" s="270" t="s">
        <v>166</v>
      </c>
      <c r="CN3" s="270" t="s">
        <v>167</v>
      </c>
      <c r="CO3" s="270" t="s">
        <v>168</v>
      </c>
      <c r="CP3" s="270" t="s">
        <v>169</v>
      </c>
      <c r="CQ3" s="270" t="s">
        <v>170</v>
      </c>
      <c r="CR3" s="270" t="s">
        <v>171</v>
      </c>
      <c r="CS3" s="270" t="s">
        <v>172</v>
      </c>
      <c r="CT3" s="270" t="s">
        <v>173</v>
      </c>
      <c r="CU3" s="270" t="s">
        <v>174</v>
      </c>
      <c r="CV3" s="270" t="s">
        <v>175</v>
      </c>
      <c r="CW3" s="270" t="s">
        <v>176</v>
      </c>
      <c r="CX3" s="270" t="s">
        <v>177</v>
      </c>
      <c r="CY3" s="270" t="s">
        <v>166</v>
      </c>
      <c r="CZ3" s="270" t="s">
        <v>167</v>
      </c>
      <c r="DA3" s="270" t="s">
        <v>168</v>
      </c>
      <c r="DB3" s="270" t="s">
        <v>169</v>
      </c>
      <c r="DC3" s="270" t="s">
        <v>170</v>
      </c>
      <c r="DD3" s="270" t="s">
        <v>171</v>
      </c>
      <c r="DE3" s="270" t="s">
        <v>172</v>
      </c>
      <c r="DF3" s="270" t="s">
        <v>173</v>
      </c>
      <c r="DG3" s="270" t="s">
        <v>174</v>
      </c>
      <c r="DH3" s="270" t="s">
        <v>175</v>
      </c>
      <c r="DI3" s="270" t="s">
        <v>176</v>
      </c>
      <c r="DJ3" s="270" t="s">
        <v>177</v>
      </c>
      <c r="DK3" s="270" t="s">
        <v>166</v>
      </c>
      <c r="DL3" s="270" t="s">
        <v>167</v>
      </c>
      <c r="DM3" s="270" t="s">
        <v>168</v>
      </c>
      <c r="DN3" s="270" t="s">
        <v>169</v>
      </c>
      <c r="DO3" s="270" t="s">
        <v>170</v>
      </c>
      <c r="DP3" s="270" t="s">
        <v>171</v>
      </c>
      <c r="DQ3" s="270" t="s">
        <v>172</v>
      </c>
      <c r="DR3" s="270" t="s">
        <v>173</v>
      </c>
      <c r="DS3" s="193"/>
    </row>
    <row r="4" spans="1:252" hidden="1" x14ac:dyDescent="0.2">
      <c r="A4" s="130" t="s">
        <v>93</v>
      </c>
      <c r="B4" s="131"/>
      <c r="C4" s="76">
        <f>Assumptions!$E8</f>
        <v>0.1</v>
      </c>
      <c r="D4" s="76">
        <f>Assumptions!$E8</f>
        <v>0.1</v>
      </c>
      <c r="E4" s="76">
        <f>Assumptions!$E8</f>
        <v>0.1</v>
      </c>
      <c r="F4" s="76">
        <f>Assumptions!$E8</f>
        <v>0.1</v>
      </c>
      <c r="G4" s="76">
        <f>Assumptions!$E8</f>
        <v>0.1</v>
      </c>
      <c r="H4" s="76">
        <f>Assumptions!$E8</f>
        <v>0.1</v>
      </c>
      <c r="I4" s="76">
        <f>Assumptions!$E8</f>
        <v>0.1</v>
      </c>
      <c r="J4" s="76">
        <f>Assumptions!$E8</f>
        <v>0.1</v>
      </c>
      <c r="K4" s="76">
        <f>Assumptions!$E8</f>
        <v>0.1</v>
      </c>
      <c r="L4" s="76">
        <f>Assumptions!$E8</f>
        <v>0.1</v>
      </c>
      <c r="M4" s="76">
        <f>Assumptions!$E8</f>
        <v>0.1</v>
      </c>
      <c r="N4" s="76">
        <f>Assumptions!$E8</f>
        <v>0.1</v>
      </c>
      <c r="O4" s="76">
        <f>Assumptions!$F8</f>
        <v>0.1</v>
      </c>
      <c r="P4" s="76">
        <f>Assumptions!$F8</f>
        <v>0.1</v>
      </c>
      <c r="Q4" s="76">
        <f>Assumptions!$F8</f>
        <v>0.1</v>
      </c>
      <c r="R4" s="76">
        <f>Assumptions!$F8</f>
        <v>0.1</v>
      </c>
      <c r="S4" s="76">
        <f>Assumptions!$F8</f>
        <v>0.1</v>
      </c>
      <c r="T4" s="76">
        <f>Assumptions!$F8</f>
        <v>0.1</v>
      </c>
      <c r="U4" s="76">
        <f>Assumptions!$F8</f>
        <v>0.1</v>
      </c>
      <c r="V4" s="76">
        <f>Assumptions!$F8</f>
        <v>0.1</v>
      </c>
      <c r="W4" s="76">
        <f>Assumptions!$F8</f>
        <v>0.1</v>
      </c>
      <c r="X4" s="76">
        <f>Assumptions!$F8</f>
        <v>0.1</v>
      </c>
      <c r="Y4" s="76">
        <f>Assumptions!$F8</f>
        <v>0.1</v>
      </c>
      <c r="Z4" s="76">
        <f>Assumptions!$F8</f>
        <v>0.1</v>
      </c>
      <c r="AA4" s="76">
        <f>Assumptions!$G8</f>
        <v>0.1</v>
      </c>
      <c r="AB4" s="76">
        <f>Assumptions!$G8</f>
        <v>0.1</v>
      </c>
      <c r="AC4" s="76">
        <f>Assumptions!$G8</f>
        <v>0.1</v>
      </c>
      <c r="AD4" s="76">
        <f>Assumptions!$G8</f>
        <v>0.1</v>
      </c>
      <c r="AE4" s="76">
        <f>Assumptions!$G8</f>
        <v>0.1</v>
      </c>
      <c r="AF4" s="76">
        <f>Assumptions!$G8</f>
        <v>0.1</v>
      </c>
      <c r="AG4" s="76">
        <f>Assumptions!$G8</f>
        <v>0.1</v>
      </c>
      <c r="AH4" s="76">
        <f>Assumptions!$G8</f>
        <v>0.1</v>
      </c>
      <c r="AI4" s="76">
        <f>Assumptions!$G8</f>
        <v>0.1</v>
      </c>
      <c r="AJ4" s="76">
        <f>Assumptions!$G8</f>
        <v>0.1</v>
      </c>
      <c r="AK4" s="76">
        <f>Assumptions!$G8</f>
        <v>0.1</v>
      </c>
      <c r="AL4" s="76">
        <f>Assumptions!$G8</f>
        <v>0.1</v>
      </c>
      <c r="AM4" s="76">
        <f>Assumptions!$H8</f>
        <v>0.1</v>
      </c>
      <c r="AN4" s="76">
        <f>Assumptions!$G8</f>
        <v>0.1</v>
      </c>
      <c r="AO4" s="76">
        <f>Assumptions!$G8</f>
        <v>0.1</v>
      </c>
      <c r="AP4" s="76">
        <f>Assumptions!$G8</f>
        <v>0.1</v>
      </c>
      <c r="AQ4" s="76">
        <f>Assumptions!$G8</f>
        <v>0.1</v>
      </c>
      <c r="AR4" s="76">
        <f>Assumptions!$G8</f>
        <v>0.1</v>
      </c>
      <c r="AS4" s="76">
        <f>Assumptions!$G8</f>
        <v>0.1</v>
      </c>
      <c r="AT4" s="76">
        <f>Assumptions!$G8</f>
        <v>0.1</v>
      </c>
      <c r="AU4" s="76">
        <f>Assumptions!$G8</f>
        <v>0.1</v>
      </c>
      <c r="AV4" s="76">
        <f>Assumptions!$G8</f>
        <v>0.1</v>
      </c>
      <c r="AW4" s="76">
        <f>Assumptions!$G8</f>
        <v>0.1</v>
      </c>
      <c r="AX4" s="76">
        <f>Assumptions!$G8</f>
        <v>0.1</v>
      </c>
      <c r="AY4" s="76">
        <f>Assumptions!$I8</f>
        <v>0.1</v>
      </c>
      <c r="AZ4" s="76">
        <f>Assumptions!$I8</f>
        <v>0.1</v>
      </c>
      <c r="BA4" s="76">
        <f>Assumptions!$I8</f>
        <v>0.1</v>
      </c>
      <c r="BB4" s="76">
        <f>Assumptions!$I8</f>
        <v>0.1</v>
      </c>
      <c r="BC4" s="76">
        <f>Assumptions!$I8</f>
        <v>0.1</v>
      </c>
      <c r="BD4" s="76">
        <f>Assumptions!$I8</f>
        <v>0.1</v>
      </c>
      <c r="BE4" s="76">
        <f>Assumptions!$I8</f>
        <v>0.1</v>
      </c>
      <c r="BF4" s="76">
        <f>Assumptions!$I8</f>
        <v>0.1</v>
      </c>
      <c r="BG4" s="76">
        <f>Assumptions!$I8</f>
        <v>0.1</v>
      </c>
      <c r="BH4" s="76">
        <f>Assumptions!$I8</f>
        <v>0.1</v>
      </c>
      <c r="BI4" s="76">
        <f>Assumptions!$I8</f>
        <v>0.1</v>
      </c>
      <c r="BJ4" s="76">
        <f>Assumptions!$I8</f>
        <v>0.1</v>
      </c>
      <c r="BK4" s="76">
        <f>Assumptions!$J8</f>
        <v>0.1</v>
      </c>
      <c r="BL4" s="76">
        <f>Assumptions!$J8</f>
        <v>0.1</v>
      </c>
      <c r="BM4" s="76">
        <f>Assumptions!$J8</f>
        <v>0.1</v>
      </c>
      <c r="BN4" s="76">
        <f>Assumptions!$J8</f>
        <v>0.1</v>
      </c>
      <c r="BO4" s="76">
        <f>Assumptions!$J8</f>
        <v>0.1</v>
      </c>
      <c r="BP4" s="76">
        <f>Assumptions!$J8</f>
        <v>0.1</v>
      </c>
      <c r="BQ4" s="76">
        <f>Assumptions!$J8</f>
        <v>0.1</v>
      </c>
      <c r="BR4" s="76">
        <f>Assumptions!$J8</f>
        <v>0.1</v>
      </c>
      <c r="BS4" s="76">
        <f>Assumptions!$J8</f>
        <v>0.1</v>
      </c>
      <c r="BT4" s="76">
        <f>Assumptions!$J8</f>
        <v>0.1</v>
      </c>
      <c r="BU4" s="76">
        <f>Assumptions!$J8</f>
        <v>0.1</v>
      </c>
      <c r="BV4" s="76">
        <f>Assumptions!$J8</f>
        <v>0.1</v>
      </c>
      <c r="BW4" s="76">
        <f>Assumptions!$K8</f>
        <v>0.1</v>
      </c>
      <c r="BX4" s="76">
        <f>Assumptions!$K8</f>
        <v>0.1</v>
      </c>
      <c r="BY4" s="76">
        <f>Assumptions!$K8</f>
        <v>0.1</v>
      </c>
      <c r="BZ4" s="76">
        <f>Assumptions!$K8</f>
        <v>0.1</v>
      </c>
      <c r="CA4" s="76">
        <f>Assumptions!$K8</f>
        <v>0.1</v>
      </c>
      <c r="CB4" s="76">
        <f>Assumptions!$K8</f>
        <v>0.1</v>
      </c>
      <c r="CC4" s="76">
        <f>Assumptions!$K8</f>
        <v>0.1</v>
      </c>
      <c r="CD4" s="76">
        <f>Assumptions!$K8</f>
        <v>0.1</v>
      </c>
      <c r="CE4" s="76">
        <f>Assumptions!$K8</f>
        <v>0.1</v>
      </c>
      <c r="CF4" s="76">
        <f>Assumptions!$K8</f>
        <v>0.1</v>
      </c>
      <c r="CG4" s="76">
        <f>Assumptions!$K8</f>
        <v>0.1</v>
      </c>
      <c r="CH4" s="76">
        <f>Assumptions!$K8</f>
        <v>0.1</v>
      </c>
      <c r="CI4" s="76">
        <f>Assumptions!$L8</f>
        <v>0.1</v>
      </c>
      <c r="CJ4" s="76">
        <f>Assumptions!$L8</f>
        <v>0.1</v>
      </c>
      <c r="CK4" s="76">
        <f>Assumptions!$L8</f>
        <v>0.1</v>
      </c>
      <c r="CL4" s="76">
        <f>Assumptions!$L8</f>
        <v>0.1</v>
      </c>
      <c r="CM4" s="76">
        <f>Assumptions!$L8</f>
        <v>0.1</v>
      </c>
      <c r="CN4" s="76">
        <f>Assumptions!$L8</f>
        <v>0.1</v>
      </c>
      <c r="CO4" s="76">
        <f>Assumptions!$L8</f>
        <v>0.1</v>
      </c>
      <c r="CP4" s="76">
        <f>Assumptions!$L8</f>
        <v>0.1</v>
      </c>
      <c r="CQ4" s="76">
        <f>Assumptions!$L8</f>
        <v>0.1</v>
      </c>
      <c r="CR4" s="76">
        <f>Assumptions!$L8</f>
        <v>0.1</v>
      </c>
      <c r="CS4" s="76">
        <f>Assumptions!$L8</f>
        <v>0.1</v>
      </c>
      <c r="CT4" s="76">
        <f>Assumptions!$L8</f>
        <v>0.1</v>
      </c>
      <c r="CU4" s="76">
        <f>Assumptions!$M8</f>
        <v>0.1</v>
      </c>
      <c r="CV4" s="76">
        <f>Assumptions!$M8</f>
        <v>0.1</v>
      </c>
      <c r="CW4" s="76">
        <f>Assumptions!$M8</f>
        <v>0.1</v>
      </c>
      <c r="CX4" s="76">
        <f>Assumptions!$M8</f>
        <v>0.1</v>
      </c>
      <c r="CY4" s="76">
        <f>Assumptions!$M8</f>
        <v>0.1</v>
      </c>
      <c r="CZ4" s="76">
        <f>Assumptions!$M8</f>
        <v>0.1</v>
      </c>
      <c r="DA4" s="76">
        <f>Assumptions!$M8</f>
        <v>0.1</v>
      </c>
      <c r="DB4" s="76">
        <f>Assumptions!$M8</f>
        <v>0.1</v>
      </c>
      <c r="DC4" s="76">
        <f>Assumptions!$M8</f>
        <v>0.1</v>
      </c>
      <c r="DD4" s="76">
        <f>Assumptions!$M8</f>
        <v>0.1</v>
      </c>
      <c r="DE4" s="76">
        <f>Assumptions!$M8</f>
        <v>0.1</v>
      </c>
      <c r="DF4" s="76">
        <f>Assumptions!$M8</f>
        <v>0.1</v>
      </c>
      <c r="DG4" s="76">
        <f>Assumptions!$N8</f>
        <v>0.1</v>
      </c>
      <c r="DH4" s="76">
        <f>Assumptions!$N8</f>
        <v>0.1</v>
      </c>
      <c r="DI4" s="76">
        <f>Assumptions!$N8</f>
        <v>0.1</v>
      </c>
      <c r="DJ4" s="76">
        <f>Assumptions!$N8</f>
        <v>0.1</v>
      </c>
      <c r="DK4" s="76">
        <f>Assumptions!$N8</f>
        <v>0.1</v>
      </c>
      <c r="DL4" s="76">
        <f>Assumptions!$N8</f>
        <v>0.1</v>
      </c>
      <c r="DM4" s="76">
        <f>Assumptions!$N8</f>
        <v>0.1</v>
      </c>
      <c r="DN4" s="76">
        <f>Assumptions!$N8</f>
        <v>0.1</v>
      </c>
      <c r="DO4" s="76">
        <f>Assumptions!$N8</f>
        <v>0.1</v>
      </c>
      <c r="DP4" s="76">
        <f>Assumptions!$N8</f>
        <v>0.1</v>
      </c>
      <c r="DQ4" s="76">
        <f>Assumptions!$N8</f>
        <v>0.1</v>
      </c>
      <c r="DR4" s="76">
        <f>Assumptions!$N8</f>
        <v>0.1</v>
      </c>
    </row>
    <row r="5" spans="1:252" x14ac:dyDescent="0.2">
      <c r="A5" s="78"/>
      <c r="B5" s="78"/>
    </row>
    <row r="6" spans="1:252" ht="26.25" customHeight="1" x14ac:dyDescent="0.3">
      <c r="A6" s="132" t="s">
        <v>141</v>
      </c>
      <c r="B6" s="7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</row>
    <row r="7" spans="1:252" s="50" customFormat="1" ht="13.5" thickBot="1" x14ac:dyDescent="0.25">
      <c r="A7" s="134" t="s">
        <v>137</v>
      </c>
      <c r="B7" s="135"/>
      <c r="C7" s="577">
        <v>0</v>
      </c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97"/>
      <c r="O7" s="107">
        <v>0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8"/>
      <c r="AA7" s="107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8"/>
      <c r="AM7" s="107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8"/>
      <c r="AY7" s="107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8"/>
      <c r="BK7" s="107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8"/>
      <c r="BW7" s="107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8"/>
      <c r="CI7" s="107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8"/>
      <c r="CU7" s="107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8"/>
      <c r="DG7" s="107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</row>
    <row r="8" spans="1:252" x14ac:dyDescent="0.2">
      <c r="A8" s="134" t="s">
        <v>138</v>
      </c>
      <c r="B8" s="135"/>
      <c r="C8" s="577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97"/>
      <c r="O8" s="107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8"/>
      <c r="AA8" s="107">
        <v>0</v>
      </c>
      <c r="AB8" s="106">
        <v>0</v>
      </c>
      <c r="AC8" s="106">
        <v>0</v>
      </c>
      <c r="AD8" s="106">
        <v>0</v>
      </c>
      <c r="AE8" s="106">
        <v>0</v>
      </c>
      <c r="AF8" s="106">
        <v>0</v>
      </c>
      <c r="AG8" s="106">
        <v>0</v>
      </c>
      <c r="AH8" s="106">
        <v>0</v>
      </c>
      <c r="AI8" s="106">
        <v>0</v>
      </c>
      <c r="AJ8" s="106">
        <v>0</v>
      </c>
      <c r="AK8" s="106">
        <v>0</v>
      </c>
      <c r="AL8" s="108">
        <v>0</v>
      </c>
      <c r="AM8" s="107">
        <v>0</v>
      </c>
      <c r="AN8" s="106">
        <v>0</v>
      </c>
      <c r="AO8" s="106">
        <v>0</v>
      </c>
      <c r="AP8" s="106">
        <v>0</v>
      </c>
      <c r="AQ8" s="106">
        <v>0</v>
      </c>
      <c r="AR8" s="106">
        <v>0</v>
      </c>
      <c r="AS8" s="106">
        <v>0</v>
      </c>
      <c r="AT8" s="106">
        <v>0</v>
      </c>
      <c r="AU8" s="106">
        <v>0</v>
      </c>
      <c r="AV8" s="106">
        <v>0</v>
      </c>
      <c r="AW8" s="106">
        <v>0</v>
      </c>
      <c r="AX8" s="108">
        <v>0</v>
      </c>
      <c r="AY8" s="107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0</v>
      </c>
      <c r="BG8" s="106">
        <v>0</v>
      </c>
      <c r="BH8" s="106">
        <v>0</v>
      </c>
      <c r="BI8" s="106">
        <v>0</v>
      </c>
      <c r="BJ8" s="108">
        <v>0</v>
      </c>
      <c r="BK8" s="107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8">
        <v>0</v>
      </c>
      <c r="BW8" s="107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8">
        <v>0</v>
      </c>
      <c r="CI8" s="107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0</v>
      </c>
      <c r="CQ8" s="106">
        <v>0</v>
      </c>
      <c r="CR8" s="106">
        <v>0</v>
      </c>
      <c r="CS8" s="106">
        <v>0</v>
      </c>
      <c r="CT8" s="108">
        <v>0</v>
      </c>
      <c r="CU8" s="107">
        <v>0</v>
      </c>
      <c r="CV8" s="106">
        <v>0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8">
        <v>0</v>
      </c>
      <c r="DG8" s="107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106">
        <v>0</v>
      </c>
      <c r="DO8" s="106">
        <v>0</v>
      </c>
      <c r="DP8" s="106">
        <v>0</v>
      </c>
      <c r="DQ8" s="106">
        <v>0</v>
      </c>
      <c r="DR8" s="108">
        <v>0</v>
      </c>
    </row>
    <row r="9" spans="1:252" x14ac:dyDescent="0.2">
      <c r="A9" s="134" t="s">
        <v>87</v>
      </c>
      <c r="B9" s="135"/>
      <c r="C9" s="577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97"/>
      <c r="O9" s="107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8"/>
      <c r="AA9" s="251">
        <v>0</v>
      </c>
      <c r="AB9" s="106">
        <f t="shared" ref="AB9:AU9" si="0">AA12+AB8</f>
        <v>0</v>
      </c>
      <c r="AC9" s="106">
        <f t="shared" si="0"/>
        <v>0</v>
      </c>
      <c r="AD9" s="106">
        <f t="shared" si="0"/>
        <v>0</v>
      </c>
      <c r="AE9" s="106">
        <f t="shared" si="0"/>
        <v>0</v>
      </c>
      <c r="AF9" s="106">
        <f t="shared" si="0"/>
        <v>0</v>
      </c>
      <c r="AG9" s="106">
        <f t="shared" si="0"/>
        <v>0</v>
      </c>
      <c r="AH9" s="106">
        <f t="shared" si="0"/>
        <v>0</v>
      </c>
      <c r="AI9" s="106">
        <f t="shared" si="0"/>
        <v>0</v>
      </c>
      <c r="AJ9" s="106">
        <f t="shared" si="0"/>
        <v>0</v>
      </c>
      <c r="AK9" s="106">
        <f t="shared" si="0"/>
        <v>0</v>
      </c>
      <c r="AL9" s="108">
        <f t="shared" si="0"/>
        <v>0</v>
      </c>
      <c r="AM9" s="107">
        <f t="shared" si="0"/>
        <v>0</v>
      </c>
      <c r="AN9" s="106">
        <f t="shared" si="0"/>
        <v>0</v>
      </c>
      <c r="AO9" s="106">
        <f t="shared" si="0"/>
        <v>0</v>
      </c>
      <c r="AP9" s="106">
        <f t="shared" si="0"/>
        <v>0</v>
      </c>
      <c r="AQ9" s="106">
        <f t="shared" si="0"/>
        <v>0</v>
      </c>
      <c r="AR9" s="106">
        <f t="shared" si="0"/>
        <v>0</v>
      </c>
      <c r="AS9" s="106">
        <f t="shared" si="0"/>
        <v>0</v>
      </c>
      <c r="AT9" s="106">
        <f t="shared" si="0"/>
        <v>0</v>
      </c>
      <c r="AU9" s="106">
        <f t="shared" si="0"/>
        <v>0</v>
      </c>
      <c r="AV9" s="106">
        <f t="shared" ref="AV9:CA9" si="1">AU12+AV8</f>
        <v>0</v>
      </c>
      <c r="AW9" s="106">
        <f t="shared" si="1"/>
        <v>0</v>
      </c>
      <c r="AX9" s="108">
        <f t="shared" si="1"/>
        <v>0</v>
      </c>
      <c r="AY9" s="107">
        <f t="shared" si="1"/>
        <v>0</v>
      </c>
      <c r="AZ9" s="106">
        <f t="shared" si="1"/>
        <v>0</v>
      </c>
      <c r="BA9" s="106">
        <f t="shared" si="1"/>
        <v>0</v>
      </c>
      <c r="BB9" s="106">
        <f t="shared" si="1"/>
        <v>0</v>
      </c>
      <c r="BC9" s="106">
        <f t="shared" si="1"/>
        <v>0</v>
      </c>
      <c r="BD9" s="106">
        <f t="shared" si="1"/>
        <v>0</v>
      </c>
      <c r="BE9" s="106">
        <f t="shared" si="1"/>
        <v>0</v>
      </c>
      <c r="BF9" s="106">
        <f t="shared" si="1"/>
        <v>0</v>
      </c>
      <c r="BG9" s="106">
        <f t="shared" si="1"/>
        <v>0</v>
      </c>
      <c r="BH9" s="106">
        <f t="shared" si="1"/>
        <v>0</v>
      </c>
      <c r="BI9" s="106">
        <f t="shared" si="1"/>
        <v>0</v>
      </c>
      <c r="BJ9" s="108">
        <f t="shared" si="1"/>
        <v>0</v>
      </c>
      <c r="BK9" s="107">
        <f t="shared" si="1"/>
        <v>0</v>
      </c>
      <c r="BL9" s="106">
        <f t="shared" si="1"/>
        <v>0</v>
      </c>
      <c r="BM9" s="106">
        <f t="shared" si="1"/>
        <v>0</v>
      </c>
      <c r="BN9" s="106">
        <f t="shared" si="1"/>
        <v>0</v>
      </c>
      <c r="BO9" s="106">
        <f t="shared" si="1"/>
        <v>0</v>
      </c>
      <c r="BP9" s="106">
        <f t="shared" si="1"/>
        <v>0</v>
      </c>
      <c r="BQ9" s="106">
        <f t="shared" si="1"/>
        <v>0</v>
      </c>
      <c r="BR9" s="106">
        <f t="shared" si="1"/>
        <v>0</v>
      </c>
      <c r="BS9" s="106">
        <f t="shared" si="1"/>
        <v>0</v>
      </c>
      <c r="BT9" s="106">
        <f t="shared" si="1"/>
        <v>0</v>
      </c>
      <c r="BU9" s="106">
        <f t="shared" si="1"/>
        <v>0</v>
      </c>
      <c r="BV9" s="108">
        <f t="shared" si="1"/>
        <v>0</v>
      </c>
      <c r="BW9" s="107">
        <f t="shared" si="1"/>
        <v>0</v>
      </c>
      <c r="BX9" s="106">
        <f t="shared" si="1"/>
        <v>0</v>
      </c>
      <c r="BY9" s="106">
        <f t="shared" si="1"/>
        <v>0</v>
      </c>
      <c r="BZ9" s="106">
        <f t="shared" si="1"/>
        <v>0</v>
      </c>
      <c r="CA9" s="106">
        <f t="shared" si="1"/>
        <v>0</v>
      </c>
      <c r="CB9" s="106">
        <f t="shared" ref="CB9:DG9" si="2">CA12+CB8</f>
        <v>0</v>
      </c>
      <c r="CC9" s="106">
        <f t="shared" si="2"/>
        <v>0</v>
      </c>
      <c r="CD9" s="106">
        <f t="shared" si="2"/>
        <v>0</v>
      </c>
      <c r="CE9" s="106">
        <f t="shared" si="2"/>
        <v>0</v>
      </c>
      <c r="CF9" s="106">
        <f t="shared" si="2"/>
        <v>0</v>
      </c>
      <c r="CG9" s="106">
        <f t="shared" si="2"/>
        <v>0</v>
      </c>
      <c r="CH9" s="108">
        <f t="shared" si="2"/>
        <v>0</v>
      </c>
      <c r="CI9" s="107">
        <f t="shared" si="2"/>
        <v>0</v>
      </c>
      <c r="CJ9" s="106">
        <f t="shared" si="2"/>
        <v>0</v>
      </c>
      <c r="CK9" s="106">
        <f t="shared" si="2"/>
        <v>0</v>
      </c>
      <c r="CL9" s="106">
        <f t="shared" si="2"/>
        <v>0</v>
      </c>
      <c r="CM9" s="106">
        <f t="shared" si="2"/>
        <v>0</v>
      </c>
      <c r="CN9" s="106">
        <f t="shared" si="2"/>
        <v>0</v>
      </c>
      <c r="CO9" s="106">
        <f t="shared" si="2"/>
        <v>0</v>
      </c>
      <c r="CP9" s="106">
        <f t="shared" si="2"/>
        <v>0</v>
      </c>
      <c r="CQ9" s="106">
        <f t="shared" si="2"/>
        <v>0</v>
      </c>
      <c r="CR9" s="106">
        <f t="shared" si="2"/>
        <v>0</v>
      </c>
      <c r="CS9" s="106">
        <f t="shared" si="2"/>
        <v>0</v>
      </c>
      <c r="CT9" s="108">
        <f t="shared" si="2"/>
        <v>0</v>
      </c>
      <c r="CU9" s="107">
        <f t="shared" si="2"/>
        <v>0</v>
      </c>
      <c r="CV9" s="106">
        <f t="shared" si="2"/>
        <v>0</v>
      </c>
      <c r="CW9" s="106">
        <f t="shared" si="2"/>
        <v>0</v>
      </c>
      <c r="CX9" s="106">
        <f t="shared" si="2"/>
        <v>0</v>
      </c>
      <c r="CY9" s="106">
        <f t="shared" si="2"/>
        <v>0</v>
      </c>
      <c r="CZ9" s="106">
        <f t="shared" si="2"/>
        <v>0</v>
      </c>
      <c r="DA9" s="106">
        <f t="shared" si="2"/>
        <v>0</v>
      </c>
      <c r="DB9" s="106">
        <f t="shared" si="2"/>
        <v>0</v>
      </c>
      <c r="DC9" s="106">
        <f t="shared" si="2"/>
        <v>0</v>
      </c>
      <c r="DD9" s="106">
        <f t="shared" si="2"/>
        <v>0</v>
      </c>
      <c r="DE9" s="106">
        <f t="shared" si="2"/>
        <v>0</v>
      </c>
      <c r="DF9" s="108">
        <f t="shared" si="2"/>
        <v>0</v>
      </c>
      <c r="DG9" s="107">
        <f t="shared" si="2"/>
        <v>0</v>
      </c>
      <c r="DH9" s="106">
        <f t="shared" ref="DH9:DR9" si="3">DG12+DH8</f>
        <v>0</v>
      </c>
      <c r="DI9" s="106">
        <f t="shared" si="3"/>
        <v>0</v>
      </c>
      <c r="DJ9" s="106">
        <f t="shared" si="3"/>
        <v>0</v>
      </c>
      <c r="DK9" s="106">
        <f t="shared" si="3"/>
        <v>0</v>
      </c>
      <c r="DL9" s="106">
        <f t="shared" si="3"/>
        <v>0</v>
      </c>
      <c r="DM9" s="106">
        <f t="shared" si="3"/>
        <v>0</v>
      </c>
      <c r="DN9" s="106">
        <f t="shared" si="3"/>
        <v>0</v>
      </c>
      <c r="DO9" s="106">
        <f t="shared" si="3"/>
        <v>0</v>
      </c>
      <c r="DP9" s="106">
        <f t="shared" si="3"/>
        <v>0</v>
      </c>
      <c r="DQ9" s="106">
        <f t="shared" si="3"/>
        <v>0</v>
      </c>
      <c r="DR9" s="108">
        <f t="shared" si="3"/>
        <v>0</v>
      </c>
    </row>
    <row r="10" spans="1:252" x14ac:dyDescent="0.2">
      <c r="A10" s="134" t="s">
        <v>139</v>
      </c>
      <c r="B10" s="135"/>
      <c r="C10" s="578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97">
        <v>0</v>
      </c>
      <c r="O10" s="387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8"/>
      <c r="AA10" s="107">
        <f t="shared" ref="AA10:CA10" si="4">AA9*AA4/12</f>
        <v>0</v>
      </c>
      <c r="AB10" s="106">
        <f t="shared" si="4"/>
        <v>0</v>
      </c>
      <c r="AC10" s="106">
        <f t="shared" si="4"/>
        <v>0</v>
      </c>
      <c r="AD10" s="106">
        <f t="shared" si="4"/>
        <v>0</v>
      </c>
      <c r="AE10" s="106">
        <f t="shared" si="4"/>
        <v>0</v>
      </c>
      <c r="AF10" s="106">
        <f t="shared" si="4"/>
        <v>0</v>
      </c>
      <c r="AG10" s="106">
        <f t="shared" si="4"/>
        <v>0</v>
      </c>
      <c r="AH10" s="106">
        <f t="shared" si="4"/>
        <v>0</v>
      </c>
      <c r="AI10" s="106">
        <f t="shared" si="4"/>
        <v>0</v>
      </c>
      <c r="AJ10" s="106">
        <f t="shared" si="4"/>
        <v>0</v>
      </c>
      <c r="AK10" s="106">
        <f t="shared" si="4"/>
        <v>0</v>
      </c>
      <c r="AL10" s="108">
        <f t="shared" si="4"/>
        <v>0</v>
      </c>
      <c r="AM10" s="107">
        <f t="shared" si="4"/>
        <v>0</v>
      </c>
      <c r="AN10" s="106">
        <f t="shared" si="4"/>
        <v>0</v>
      </c>
      <c r="AO10" s="106">
        <f t="shared" si="4"/>
        <v>0</v>
      </c>
      <c r="AP10" s="106">
        <f t="shared" si="4"/>
        <v>0</v>
      </c>
      <c r="AQ10" s="106">
        <f t="shared" si="4"/>
        <v>0</v>
      </c>
      <c r="AR10" s="106">
        <f t="shared" si="4"/>
        <v>0</v>
      </c>
      <c r="AS10" s="106">
        <f t="shared" si="4"/>
        <v>0</v>
      </c>
      <c r="AT10" s="106">
        <f t="shared" si="4"/>
        <v>0</v>
      </c>
      <c r="AU10" s="106">
        <f t="shared" si="4"/>
        <v>0</v>
      </c>
      <c r="AV10" s="106">
        <f t="shared" si="4"/>
        <v>0</v>
      </c>
      <c r="AW10" s="106">
        <f t="shared" si="4"/>
        <v>0</v>
      </c>
      <c r="AX10" s="108">
        <f t="shared" si="4"/>
        <v>0</v>
      </c>
      <c r="AY10" s="107">
        <f t="shared" si="4"/>
        <v>0</v>
      </c>
      <c r="AZ10" s="106">
        <f t="shared" si="4"/>
        <v>0</v>
      </c>
      <c r="BA10" s="106">
        <f t="shared" si="4"/>
        <v>0</v>
      </c>
      <c r="BB10" s="106">
        <f t="shared" si="4"/>
        <v>0</v>
      </c>
      <c r="BC10" s="106">
        <f t="shared" si="4"/>
        <v>0</v>
      </c>
      <c r="BD10" s="106">
        <f t="shared" si="4"/>
        <v>0</v>
      </c>
      <c r="BE10" s="106">
        <f t="shared" si="4"/>
        <v>0</v>
      </c>
      <c r="BF10" s="106">
        <f t="shared" si="4"/>
        <v>0</v>
      </c>
      <c r="BG10" s="106">
        <f t="shared" si="4"/>
        <v>0</v>
      </c>
      <c r="BH10" s="106">
        <f t="shared" si="4"/>
        <v>0</v>
      </c>
      <c r="BI10" s="106">
        <f t="shared" si="4"/>
        <v>0</v>
      </c>
      <c r="BJ10" s="108">
        <f t="shared" si="4"/>
        <v>0</v>
      </c>
      <c r="BK10" s="107">
        <f t="shared" si="4"/>
        <v>0</v>
      </c>
      <c r="BL10" s="106">
        <f t="shared" si="4"/>
        <v>0</v>
      </c>
      <c r="BM10" s="106">
        <f t="shared" si="4"/>
        <v>0</v>
      </c>
      <c r="BN10" s="106">
        <f t="shared" si="4"/>
        <v>0</v>
      </c>
      <c r="BO10" s="106">
        <f t="shared" si="4"/>
        <v>0</v>
      </c>
      <c r="BP10" s="106">
        <f t="shared" si="4"/>
        <v>0</v>
      </c>
      <c r="BQ10" s="106">
        <f t="shared" si="4"/>
        <v>0</v>
      </c>
      <c r="BR10" s="106">
        <f t="shared" si="4"/>
        <v>0</v>
      </c>
      <c r="BS10" s="106">
        <f t="shared" si="4"/>
        <v>0</v>
      </c>
      <c r="BT10" s="106">
        <f t="shared" si="4"/>
        <v>0</v>
      </c>
      <c r="BU10" s="106">
        <f t="shared" si="4"/>
        <v>0</v>
      </c>
      <c r="BV10" s="108">
        <f t="shared" si="4"/>
        <v>0</v>
      </c>
      <c r="BW10" s="107">
        <f t="shared" si="4"/>
        <v>0</v>
      </c>
      <c r="BX10" s="106">
        <f t="shared" si="4"/>
        <v>0</v>
      </c>
      <c r="BY10" s="106">
        <f t="shared" si="4"/>
        <v>0</v>
      </c>
      <c r="BZ10" s="106">
        <f t="shared" si="4"/>
        <v>0</v>
      </c>
      <c r="CA10" s="106">
        <f t="shared" si="4"/>
        <v>0</v>
      </c>
      <c r="CB10" s="106">
        <f t="shared" ref="CB10:DR10" si="5">CB9*CB4/12</f>
        <v>0</v>
      </c>
      <c r="CC10" s="106">
        <f t="shared" si="5"/>
        <v>0</v>
      </c>
      <c r="CD10" s="106">
        <f t="shared" si="5"/>
        <v>0</v>
      </c>
      <c r="CE10" s="106">
        <f t="shared" si="5"/>
        <v>0</v>
      </c>
      <c r="CF10" s="106">
        <f t="shared" si="5"/>
        <v>0</v>
      </c>
      <c r="CG10" s="106">
        <f t="shared" si="5"/>
        <v>0</v>
      </c>
      <c r="CH10" s="108">
        <f t="shared" si="5"/>
        <v>0</v>
      </c>
      <c r="CI10" s="107">
        <f t="shared" si="5"/>
        <v>0</v>
      </c>
      <c r="CJ10" s="106">
        <f t="shared" si="5"/>
        <v>0</v>
      </c>
      <c r="CK10" s="106">
        <f t="shared" si="5"/>
        <v>0</v>
      </c>
      <c r="CL10" s="106">
        <f t="shared" si="5"/>
        <v>0</v>
      </c>
      <c r="CM10" s="106">
        <f t="shared" si="5"/>
        <v>0</v>
      </c>
      <c r="CN10" s="106">
        <f t="shared" si="5"/>
        <v>0</v>
      </c>
      <c r="CO10" s="106">
        <f t="shared" si="5"/>
        <v>0</v>
      </c>
      <c r="CP10" s="106">
        <f t="shared" si="5"/>
        <v>0</v>
      </c>
      <c r="CQ10" s="106">
        <f t="shared" si="5"/>
        <v>0</v>
      </c>
      <c r="CR10" s="106">
        <f t="shared" si="5"/>
        <v>0</v>
      </c>
      <c r="CS10" s="106">
        <f t="shared" si="5"/>
        <v>0</v>
      </c>
      <c r="CT10" s="108">
        <f t="shared" si="5"/>
        <v>0</v>
      </c>
      <c r="CU10" s="107">
        <f t="shared" si="5"/>
        <v>0</v>
      </c>
      <c r="CV10" s="106">
        <f t="shared" si="5"/>
        <v>0</v>
      </c>
      <c r="CW10" s="106">
        <f t="shared" si="5"/>
        <v>0</v>
      </c>
      <c r="CX10" s="106">
        <f t="shared" si="5"/>
        <v>0</v>
      </c>
      <c r="CY10" s="106">
        <f t="shared" si="5"/>
        <v>0</v>
      </c>
      <c r="CZ10" s="106">
        <f t="shared" si="5"/>
        <v>0</v>
      </c>
      <c r="DA10" s="106">
        <f t="shared" si="5"/>
        <v>0</v>
      </c>
      <c r="DB10" s="106">
        <f t="shared" si="5"/>
        <v>0</v>
      </c>
      <c r="DC10" s="106">
        <f t="shared" si="5"/>
        <v>0</v>
      </c>
      <c r="DD10" s="106">
        <f t="shared" si="5"/>
        <v>0</v>
      </c>
      <c r="DE10" s="106">
        <f t="shared" si="5"/>
        <v>0</v>
      </c>
      <c r="DF10" s="108">
        <f t="shared" si="5"/>
        <v>0</v>
      </c>
      <c r="DG10" s="107">
        <f t="shared" si="5"/>
        <v>0</v>
      </c>
      <c r="DH10" s="106">
        <f t="shared" si="5"/>
        <v>0</v>
      </c>
      <c r="DI10" s="106">
        <f t="shared" si="5"/>
        <v>0</v>
      </c>
      <c r="DJ10" s="106">
        <f t="shared" si="5"/>
        <v>0</v>
      </c>
      <c r="DK10" s="106">
        <f t="shared" si="5"/>
        <v>0</v>
      </c>
      <c r="DL10" s="106">
        <f t="shared" si="5"/>
        <v>0</v>
      </c>
      <c r="DM10" s="106">
        <f t="shared" si="5"/>
        <v>0</v>
      </c>
      <c r="DN10" s="106">
        <f t="shared" si="5"/>
        <v>0</v>
      </c>
      <c r="DO10" s="106">
        <f t="shared" si="5"/>
        <v>0</v>
      </c>
      <c r="DP10" s="106">
        <f t="shared" si="5"/>
        <v>0</v>
      </c>
      <c r="DQ10" s="106">
        <f t="shared" si="5"/>
        <v>0</v>
      </c>
      <c r="DR10" s="108">
        <f t="shared" si="5"/>
        <v>0</v>
      </c>
    </row>
    <row r="11" spans="1:252" x14ac:dyDescent="0.2">
      <c r="A11" s="134" t="s">
        <v>140</v>
      </c>
      <c r="B11" s="135"/>
      <c r="C11" s="579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97"/>
      <c r="O11" s="410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8"/>
      <c r="AA11" s="107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8"/>
      <c r="AM11" s="107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8"/>
      <c r="AY11" s="107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8"/>
      <c r="BK11" s="107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8"/>
      <c r="BW11" s="107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8"/>
      <c r="CI11" s="107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8"/>
      <c r="CU11" s="107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8"/>
      <c r="DG11" s="107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8"/>
    </row>
    <row r="12" spans="1:252" s="50" customFormat="1" ht="13.5" thickBot="1" x14ac:dyDescent="0.25">
      <c r="A12" s="134" t="s">
        <v>54</v>
      </c>
      <c r="B12" s="135"/>
      <c r="C12" s="577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97"/>
      <c r="O12" s="107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8"/>
      <c r="AA12" s="107">
        <f t="shared" ref="AA12:CA12" si="6">AA9+AA10-AA11</f>
        <v>0</v>
      </c>
      <c r="AB12" s="106">
        <f t="shared" si="6"/>
        <v>0</v>
      </c>
      <c r="AC12" s="106">
        <f t="shared" si="6"/>
        <v>0</v>
      </c>
      <c r="AD12" s="106">
        <f t="shared" si="6"/>
        <v>0</v>
      </c>
      <c r="AE12" s="106">
        <f t="shared" si="6"/>
        <v>0</v>
      </c>
      <c r="AF12" s="106">
        <f t="shared" si="6"/>
        <v>0</v>
      </c>
      <c r="AG12" s="106">
        <f t="shared" si="6"/>
        <v>0</v>
      </c>
      <c r="AH12" s="106">
        <f t="shared" si="6"/>
        <v>0</v>
      </c>
      <c r="AI12" s="106">
        <f t="shared" si="6"/>
        <v>0</v>
      </c>
      <c r="AJ12" s="106">
        <f t="shared" si="6"/>
        <v>0</v>
      </c>
      <c r="AK12" s="106">
        <f t="shared" si="6"/>
        <v>0</v>
      </c>
      <c r="AL12" s="108">
        <f t="shared" si="6"/>
        <v>0</v>
      </c>
      <c r="AM12" s="107">
        <f t="shared" si="6"/>
        <v>0</v>
      </c>
      <c r="AN12" s="106">
        <f t="shared" si="6"/>
        <v>0</v>
      </c>
      <c r="AO12" s="106">
        <f t="shared" si="6"/>
        <v>0</v>
      </c>
      <c r="AP12" s="106">
        <f t="shared" si="6"/>
        <v>0</v>
      </c>
      <c r="AQ12" s="106">
        <f t="shared" si="6"/>
        <v>0</v>
      </c>
      <c r="AR12" s="106">
        <f t="shared" si="6"/>
        <v>0</v>
      </c>
      <c r="AS12" s="106">
        <f t="shared" si="6"/>
        <v>0</v>
      </c>
      <c r="AT12" s="106">
        <f t="shared" si="6"/>
        <v>0</v>
      </c>
      <c r="AU12" s="106">
        <f t="shared" si="6"/>
        <v>0</v>
      </c>
      <c r="AV12" s="106">
        <f t="shared" si="6"/>
        <v>0</v>
      </c>
      <c r="AW12" s="106">
        <f t="shared" si="6"/>
        <v>0</v>
      </c>
      <c r="AX12" s="108">
        <f t="shared" si="6"/>
        <v>0</v>
      </c>
      <c r="AY12" s="107">
        <f t="shared" si="6"/>
        <v>0</v>
      </c>
      <c r="AZ12" s="106">
        <f t="shared" si="6"/>
        <v>0</v>
      </c>
      <c r="BA12" s="106">
        <f t="shared" si="6"/>
        <v>0</v>
      </c>
      <c r="BB12" s="106">
        <f t="shared" si="6"/>
        <v>0</v>
      </c>
      <c r="BC12" s="106">
        <f t="shared" si="6"/>
        <v>0</v>
      </c>
      <c r="BD12" s="106">
        <f t="shared" si="6"/>
        <v>0</v>
      </c>
      <c r="BE12" s="106">
        <f t="shared" si="6"/>
        <v>0</v>
      </c>
      <c r="BF12" s="106">
        <f t="shared" si="6"/>
        <v>0</v>
      </c>
      <c r="BG12" s="106">
        <f t="shared" si="6"/>
        <v>0</v>
      </c>
      <c r="BH12" s="106">
        <f t="shared" si="6"/>
        <v>0</v>
      </c>
      <c r="BI12" s="106">
        <f t="shared" si="6"/>
        <v>0</v>
      </c>
      <c r="BJ12" s="108">
        <f t="shared" si="6"/>
        <v>0</v>
      </c>
      <c r="BK12" s="107">
        <f t="shared" si="6"/>
        <v>0</v>
      </c>
      <c r="BL12" s="106">
        <f t="shared" si="6"/>
        <v>0</v>
      </c>
      <c r="BM12" s="106">
        <f t="shared" si="6"/>
        <v>0</v>
      </c>
      <c r="BN12" s="106">
        <f t="shared" si="6"/>
        <v>0</v>
      </c>
      <c r="BO12" s="106">
        <f t="shared" si="6"/>
        <v>0</v>
      </c>
      <c r="BP12" s="106">
        <f t="shared" si="6"/>
        <v>0</v>
      </c>
      <c r="BQ12" s="106">
        <f t="shared" si="6"/>
        <v>0</v>
      </c>
      <c r="BR12" s="106">
        <f t="shared" si="6"/>
        <v>0</v>
      </c>
      <c r="BS12" s="106">
        <f t="shared" si="6"/>
        <v>0</v>
      </c>
      <c r="BT12" s="106">
        <f t="shared" si="6"/>
        <v>0</v>
      </c>
      <c r="BU12" s="106">
        <f t="shared" si="6"/>
        <v>0</v>
      </c>
      <c r="BV12" s="108">
        <f t="shared" si="6"/>
        <v>0</v>
      </c>
      <c r="BW12" s="107">
        <f t="shared" si="6"/>
        <v>0</v>
      </c>
      <c r="BX12" s="106">
        <f t="shared" si="6"/>
        <v>0</v>
      </c>
      <c r="BY12" s="106">
        <f t="shared" si="6"/>
        <v>0</v>
      </c>
      <c r="BZ12" s="106">
        <f t="shared" si="6"/>
        <v>0</v>
      </c>
      <c r="CA12" s="106">
        <f t="shared" si="6"/>
        <v>0</v>
      </c>
      <c r="CB12" s="106">
        <f t="shared" ref="CB12:DR12" si="7">CB9+CB10-CB11</f>
        <v>0</v>
      </c>
      <c r="CC12" s="106">
        <f t="shared" si="7"/>
        <v>0</v>
      </c>
      <c r="CD12" s="106">
        <f t="shared" si="7"/>
        <v>0</v>
      </c>
      <c r="CE12" s="106">
        <f t="shared" si="7"/>
        <v>0</v>
      </c>
      <c r="CF12" s="106">
        <f t="shared" si="7"/>
        <v>0</v>
      </c>
      <c r="CG12" s="106">
        <f t="shared" si="7"/>
        <v>0</v>
      </c>
      <c r="CH12" s="108">
        <f t="shared" si="7"/>
        <v>0</v>
      </c>
      <c r="CI12" s="107">
        <f t="shared" si="7"/>
        <v>0</v>
      </c>
      <c r="CJ12" s="106">
        <f t="shared" si="7"/>
        <v>0</v>
      </c>
      <c r="CK12" s="106">
        <f t="shared" si="7"/>
        <v>0</v>
      </c>
      <c r="CL12" s="106">
        <f t="shared" si="7"/>
        <v>0</v>
      </c>
      <c r="CM12" s="106">
        <f t="shared" si="7"/>
        <v>0</v>
      </c>
      <c r="CN12" s="106">
        <f t="shared" si="7"/>
        <v>0</v>
      </c>
      <c r="CO12" s="106">
        <f t="shared" si="7"/>
        <v>0</v>
      </c>
      <c r="CP12" s="106">
        <f t="shared" si="7"/>
        <v>0</v>
      </c>
      <c r="CQ12" s="106">
        <f t="shared" si="7"/>
        <v>0</v>
      </c>
      <c r="CR12" s="106">
        <f t="shared" si="7"/>
        <v>0</v>
      </c>
      <c r="CS12" s="106">
        <f t="shared" si="7"/>
        <v>0</v>
      </c>
      <c r="CT12" s="108">
        <f t="shared" si="7"/>
        <v>0</v>
      </c>
      <c r="CU12" s="107">
        <f t="shared" si="7"/>
        <v>0</v>
      </c>
      <c r="CV12" s="106">
        <f t="shared" si="7"/>
        <v>0</v>
      </c>
      <c r="CW12" s="106">
        <f t="shared" si="7"/>
        <v>0</v>
      </c>
      <c r="CX12" s="106">
        <f t="shared" si="7"/>
        <v>0</v>
      </c>
      <c r="CY12" s="106">
        <f t="shared" si="7"/>
        <v>0</v>
      </c>
      <c r="CZ12" s="106">
        <f t="shared" si="7"/>
        <v>0</v>
      </c>
      <c r="DA12" s="106">
        <f t="shared" si="7"/>
        <v>0</v>
      </c>
      <c r="DB12" s="106">
        <f t="shared" si="7"/>
        <v>0</v>
      </c>
      <c r="DC12" s="106">
        <f t="shared" si="7"/>
        <v>0</v>
      </c>
      <c r="DD12" s="106">
        <f t="shared" si="7"/>
        <v>0</v>
      </c>
      <c r="DE12" s="106">
        <f t="shared" si="7"/>
        <v>0</v>
      </c>
      <c r="DF12" s="108">
        <f t="shared" si="7"/>
        <v>0</v>
      </c>
      <c r="DG12" s="107">
        <f t="shared" si="7"/>
        <v>0</v>
      </c>
      <c r="DH12" s="106">
        <f t="shared" si="7"/>
        <v>0</v>
      </c>
      <c r="DI12" s="106">
        <f t="shared" si="7"/>
        <v>0</v>
      </c>
      <c r="DJ12" s="106">
        <f t="shared" si="7"/>
        <v>0</v>
      </c>
      <c r="DK12" s="106">
        <f t="shared" si="7"/>
        <v>0</v>
      </c>
      <c r="DL12" s="106">
        <f t="shared" si="7"/>
        <v>0</v>
      </c>
      <c r="DM12" s="106">
        <f t="shared" si="7"/>
        <v>0</v>
      </c>
      <c r="DN12" s="106">
        <f t="shared" si="7"/>
        <v>0</v>
      </c>
      <c r="DO12" s="106">
        <f t="shared" si="7"/>
        <v>0</v>
      </c>
      <c r="DP12" s="106">
        <f t="shared" si="7"/>
        <v>0</v>
      </c>
      <c r="DQ12" s="106">
        <f t="shared" si="7"/>
        <v>0</v>
      </c>
      <c r="DR12" s="108">
        <f t="shared" si="7"/>
        <v>0</v>
      </c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</row>
    <row r="13" spans="1:252" x14ac:dyDescent="0.2">
      <c r="A13" s="133"/>
      <c r="B13" s="10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52" x14ac:dyDescent="0.2">
      <c r="A14" s="134" t="s">
        <v>142</v>
      </c>
      <c r="B14" s="194" t="s">
        <v>143</v>
      </c>
      <c r="D14" s="77"/>
      <c r="F14" s="84"/>
      <c r="H14" s="47"/>
      <c r="P14" s="77"/>
      <c r="R14" s="84"/>
      <c r="T14" s="47"/>
    </row>
    <row r="15" spans="1:252" x14ac:dyDescent="0.2">
      <c r="A15" s="134"/>
      <c r="B15" s="136"/>
    </row>
    <row r="16" spans="1:252" x14ac:dyDescent="0.2">
      <c r="A16" s="134"/>
      <c r="B16" s="136"/>
    </row>
    <row r="17" spans="1:122" ht="26.25" customHeight="1" x14ac:dyDescent="0.3">
      <c r="A17" s="132"/>
      <c r="B17" s="78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</row>
    <row r="18" spans="1:122" x14ac:dyDescent="0.2">
      <c r="C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</row>
  </sheetData>
  <mergeCells count="11">
    <mergeCell ref="BW2:CH2"/>
    <mergeCell ref="CI2:CT2"/>
    <mergeCell ref="CU2:DF2"/>
    <mergeCell ref="DG2:DR2"/>
    <mergeCell ref="BK2:BV2"/>
    <mergeCell ref="A1:B3"/>
    <mergeCell ref="O2:Z2"/>
    <mergeCell ref="AA2:AL2"/>
    <mergeCell ref="AM2:AX2"/>
    <mergeCell ref="AY2:BJ2"/>
    <mergeCell ref="C2:N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L57"/>
  <sheetViews>
    <sheetView zoomScaleNormal="100" zoomScalePageLayoutView="85" workbookViewId="0">
      <pane xSplit="2" ySplit="3" topLeftCell="W4" activePane="bottomRight" state="frozen"/>
      <selection pane="topRight" activeCell="C1" sqref="C1"/>
      <selection pane="bottomLeft" activeCell="A7" sqref="A7"/>
      <selection pane="bottomRight" activeCell="H9" sqref="H9"/>
    </sheetView>
  </sheetViews>
  <sheetFormatPr defaultColWidth="8.85546875" defaultRowHeight="12.75" x14ac:dyDescent="0.2"/>
  <cols>
    <col min="1" max="1" width="29.42578125" style="45" customWidth="1"/>
    <col min="2" max="2" width="13" style="45" customWidth="1"/>
    <col min="3" max="14" width="11.7109375" style="45" customWidth="1"/>
    <col min="15" max="122" width="11.7109375" style="265" customWidth="1"/>
    <col min="123" max="132" width="16.42578125" style="78" customWidth="1"/>
    <col min="133" max="168" width="8.85546875" style="78"/>
    <col min="169" max="183" width="8.85546875" style="45"/>
    <col min="184" max="184" width="19.85546875" style="45" bestFit="1" customWidth="1"/>
    <col min="185" max="187" width="0" style="45" hidden="1" customWidth="1"/>
    <col min="188" max="200" width="13.42578125" style="45" customWidth="1"/>
    <col min="201" max="201" width="2.7109375" style="45" customWidth="1"/>
    <col min="202" max="214" width="13.42578125" style="45" customWidth="1"/>
    <col min="215" max="215" width="2.7109375" style="45" customWidth="1"/>
    <col min="216" max="228" width="13.42578125" style="45" customWidth="1"/>
    <col min="229" max="229" width="2.7109375" style="45" customWidth="1"/>
    <col min="230" max="242" width="13.42578125" style="45" customWidth="1"/>
    <col min="243" max="243" width="2.7109375" style="45" customWidth="1"/>
    <col min="244" max="256" width="13.42578125" style="45" customWidth="1"/>
    <col min="257" max="257" width="2.7109375" style="45" customWidth="1"/>
    <col min="258" max="439" width="8.85546875" style="45"/>
    <col min="440" max="440" width="19.85546875" style="45" bestFit="1" customWidth="1"/>
    <col min="441" max="443" width="0" style="45" hidden="1" customWidth="1"/>
    <col min="444" max="456" width="13.42578125" style="45" customWidth="1"/>
    <col min="457" max="457" width="2.7109375" style="45" customWidth="1"/>
    <col min="458" max="470" width="13.42578125" style="45" customWidth="1"/>
    <col min="471" max="471" width="2.7109375" style="45" customWidth="1"/>
    <col min="472" max="484" width="13.42578125" style="45" customWidth="1"/>
    <col min="485" max="485" width="2.7109375" style="45" customWidth="1"/>
    <col min="486" max="498" width="13.42578125" style="45" customWidth="1"/>
    <col min="499" max="499" width="2.7109375" style="45" customWidth="1"/>
    <col min="500" max="512" width="13.42578125" style="45" customWidth="1"/>
    <col min="513" max="513" width="2.7109375" style="45" customWidth="1"/>
    <col min="514" max="695" width="8.85546875" style="45"/>
    <col min="696" max="696" width="19.85546875" style="45" bestFit="1" customWidth="1"/>
    <col min="697" max="699" width="0" style="45" hidden="1" customWidth="1"/>
    <col min="700" max="712" width="13.42578125" style="45" customWidth="1"/>
    <col min="713" max="713" width="2.7109375" style="45" customWidth="1"/>
    <col min="714" max="726" width="13.42578125" style="45" customWidth="1"/>
    <col min="727" max="727" width="2.7109375" style="45" customWidth="1"/>
    <col min="728" max="740" width="13.42578125" style="45" customWidth="1"/>
    <col min="741" max="741" width="2.7109375" style="45" customWidth="1"/>
    <col min="742" max="754" width="13.42578125" style="45" customWidth="1"/>
    <col min="755" max="755" width="2.7109375" style="45" customWidth="1"/>
    <col min="756" max="768" width="13.42578125" style="45" customWidth="1"/>
    <col min="769" max="769" width="2.7109375" style="45" customWidth="1"/>
    <col min="770" max="951" width="8.85546875" style="45"/>
    <col min="952" max="952" width="19.85546875" style="45" bestFit="1" customWidth="1"/>
    <col min="953" max="955" width="0" style="45" hidden="1" customWidth="1"/>
    <col min="956" max="968" width="13.42578125" style="45" customWidth="1"/>
    <col min="969" max="969" width="2.7109375" style="45" customWidth="1"/>
    <col min="970" max="982" width="13.42578125" style="45" customWidth="1"/>
    <col min="983" max="983" width="2.7109375" style="45" customWidth="1"/>
    <col min="984" max="996" width="13.42578125" style="45" customWidth="1"/>
    <col min="997" max="997" width="2.7109375" style="45" customWidth="1"/>
    <col min="998" max="1010" width="13.42578125" style="45" customWidth="1"/>
    <col min="1011" max="1011" width="2.7109375" style="45" customWidth="1"/>
    <col min="1012" max="1024" width="13.42578125" style="45" customWidth="1"/>
    <col min="1025" max="1025" width="2.7109375" style="45" customWidth="1"/>
    <col min="1026" max="1207" width="8.85546875" style="45"/>
    <col min="1208" max="1208" width="19.85546875" style="45" bestFit="1" customWidth="1"/>
    <col min="1209" max="1211" width="0" style="45" hidden="1" customWidth="1"/>
    <col min="1212" max="1224" width="13.42578125" style="45" customWidth="1"/>
    <col min="1225" max="1225" width="2.7109375" style="45" customWidth="1"/>
    <col min="1226" max="1238" width="13.42578125" style="45" customWidth="1"/>
    <col min="1239" max="1239" width="2.7109375" style="45" customWidth="1"/>
    <col min="1240" max="1252" width="13.42578125" style="45" customWidth="1"/>
    <col min="1253" max="1253" width="2.7109375" style="45" customWidth="1"/>
    <col min="1254" max="1266" width="13.42578125" style="45" customWidth="1"/>
    <col min="1267" max="1267" width="2.7109375" style="45" customWidth="1"/>
    <col min="1268" max="1280" width="13.42578125" style="45" customWidth="1"/>
    <col min="1281" max="1281" width="2.7109375" style="45" customWidth="1"/>
    <col min="1282" max="1463" width="8.85546875" style="45"/>
    <col min="1464" max="1464" width="19.85546875" style="45" bestFit="1" customWidth="1"/>
    <col min="1465" max="1467" width="0" style="45" hidden="1" customWidth="1"/>
    <col min="1468" max="1480" width="13.42578125" style="45" customWidth="1"/>
    <col min="1481" max="1481" width="2.7109375" style="45" customWidth="1"/>
    <col min="1482" max="1494" width="13.42578125" style="45" customWidth="1"/>
    <col min="1495" max="1495" width="2.7109375" style="45" customWidth="1"/>
    <col min="1496" max="1508" width="13.42578125" style="45" customWidth="1"/>
    <col min="1509" max="1509" width="2.7109375" style="45" customWidth="1"/>
    <col min="1510" max="1522" width="13.42578125" style="45" customWidth="1"/>
    <col min="1523" max="1523" width="2.7109375" style="45" customWidth="1"/>
    <col min="1524" max="1536" width="13.42578125" style="45" customWidth="1"/>
    <col min="1537" max="1537" width="2.7109375" style="45" customWidth="1"/>
    <col min="1538" max="1719" width="8.85546875" style="45"/>
    <col min="1720" max="1720" width="19.85546875" style="45" bestFit="1" customWidth="1"/>
    <col min="1721" max="1723" width="0" style="45" hidden="1" customWidth="1"/>
    <col min="1724" max="1736" width="13.42578125" style="45" customWidth="1"/>
    <col min="1737" max="1737" width="2.7109375" style="45" customWidth="1"/>
    <col min="1738" max="1750" width="13.42578125" style="45" customWidth="1"/>
    <col min="1751" max="1751" width="2.7109375" style="45" customWidth="1"/>
    <col min="1752" max="1764" width="13.42578125" style="45" customWidth="1"/>
    <col min="1765" max="1765" width="2.7109375" style="45" customWidth="1"/>
    <col min="1766" max="1778" width="13.42578125" style="45" customWidth="1"/>
    <col min="1779" max="1779" width="2.7109375" style="45" customWidth="1"/>
    <col min="1780" max="1792" width="13.42578125" style="45" customWidth="1"/>
    <col min="1793" max="1793" width="2.7109375" style="45" customWidth="1"/>
    <col min="1794" max="1975" width="8.85546875" style="45"/>
    <col min="1976" max="1976" width="19.85546875" style="45" bestFit="1" customWidth="1"/>
    <col min="1977" max="1979" width="0" style="45" hidden="1" customWidth="1"/>
    <col min="1980" max="1992" width="13.42578125" style="45" customWidth="1"/>
    <col min="1993" max="1993" width="2.7109375" style="45" customWidth="1"/>
    <col min="1994" max="2006" width="13.42578125" style="45" customWidth="1"/>
    <col min="2007" max="2007" width="2.7109375" style="45" customWidth="1"/>
    <col min="2008" max="2020" width="13.42578125" style="45" customWidth="1"/>
    <col min="2021" max="2021" width="2.7109375" style="45" customWidth="1"/>
    <col min="2022" max="2034" width="13.42578125" style="45" customWidth="1"/>
    <col min="2035" max="2035" width="2.7109375" style="45" customWidth="1"/>
    <col min="2036" max="2048" width="13.42578125" style="45" customWidth="1"/>
    <col min="2049" max="2049" width="2.7109375" style="45" customWidth="1"/>
    <col min="2050" max="2231" width="8.85546875" style="45"/>
    <col min="2232" max="2232" width="19.85546875" style="45" bestFit="1" customWidth="1"/>
    <col min="2233" max="2235" width="0" style="45" hidden="1" customWidth="1"/>
    <col min="2236" max="2248" width="13.42578125" style="45" customWidth="1"/>
    <col min="2249" max="2249" width="2.7109375" style="45" customWidth="1"/>
    <col min="2250" max="2262" width="13.42578125" style="45" customWidth="1"/>
    <col min="2263" max="2263" width="2.7109375" style="45" customWidth="1"/>
    <col min="2264" max="2276" width="13.42578125" style="45" customWidth="1"/>
    <col min="2277" max="2277" width="2.7109375" style="45" customWidth="1"/>
    <col min="2278" max="2290" width="13.42578125" style="45" customWidth="1"/>
    <col min="2291" max="2291" width="2.7109375" style="45" customWidth="1"/>
    <col min="2292" max="2304" width="13.42578125" style="45" customWidth="1"/>
    <col min="2305" max="2305" width="2.7109375" style="45" customWidth="1"/>
    <col min="2306" max="2487" width="8.85546875" style="45"/>
    <col min="2488" max="2488" width="19.85546875" style="45" bestFit="1" customWidth="1"/>
    <col min="2489" max="2491" width="0" style="45" hidden="1" customWidth="1"/>
    <col min="2492" max="2504" width="13.42578125" style="45" customWidth="1"/>
    <col min="2505" max="2505" width="2.7109375" style="45" customWidth="1"/>
    <col min="2506" max="2518" width="13.42578125" style="45" customWidth="1"/>
    <col min="2519" max="2519" width="2.7109375" style="45" customWidth="1"/>
    <col min="2520" max="2532" width="13.42578125" style="45" customWidth="1"/>
    <col min="2533" max="2533" width="2.7109375" style="45" customWidth="1"/>
    <col min="2534" max="2546" width="13.42578125" style="45" customWidth="1"/>
    <col min="2547" max="2547" width="2.7109375" style="45" customWidth="1"/>
    <col min="2548" max="2560" width="13.42578125" style="45" customWidth="1"/>
    <col min="2561" max="2561" width="2.7109375" style="45" customWidth="1"/>
    <col min="2562" max="2743" width="8.85546875" style="45"/>
    <col min="2744" max="2744" width="19.85546875" style="45" bestFit="1" customWidth="1"/>
    <col min="2745" max="2747" width="0" style="45" hidden="1" customWidth="1"/>
    <col min="2748" max="2760" width="13.42578125" style="45" customWidth="1"/>
    <col min="2761" max="2761" width="2.7109375" style="45" customWidth="1"/>
    <col min="2762" max="2774" width="13.42578125" style="45" customWidth="1"/>
    <col min="2775" max="2775" width="2.7109375" style="45" customWidth="1"/>
    <col min="2776" max="2788" width="13.42578125" style="45" customWidth="1"/>
    <col min="2789" max="2789" width="2.7109375" style="45" customWidth="1"/>
    <col min="2790" max="2802" width="13.42578125" style="45" customWidth="1"/>
    <col min="2803" max="2803" width="2.7109375" style="45" customWidth="1"/>
    <col min="2804" max="2816" width="13.42578125" style="45" customWidth="1"/>
    <col min="2817" max="2817" width="2.7109375" style="45" customWidth="1"/>
    <col min="2818" max="2999" width="8.85546875" style="45"/>
    <col min="3000" max="3000" width="19.85546875" style="45" bestFit="1" customWidth="1"/>
    <col min="3001" max="3003" width="0" style="45" hidden="1" customWidth="1"/>
    <col min="3004" max="3016" width="13.42578125" style="45" customWidth="1"/>
    <col min="3017" max="3017" width="2.7109375" style="45" customWidth="1"/>
    <col min="3018" max="3030" width="13.42578125" style="45" customWidth="1"/>
    <col min="3031" max="3031" width="2.7109375" style="45" customWidth="1"/>
    <col min="3032" max="3044" width="13.42578125" style="45" customWidth="1"/>
    <col min="3045" max="3045" width="2.7109375" style="45" customWidth="1"/>
    <col min="3046" max="3058" width="13.42578125" style="45" customWidth="1"/>
    <col min="3059" max="3059" width="2.7109375" style="45" customWidth="1"/>
    <col min="3060" max="3072" width="13.42578125" style="45" customWidth="1"/>
    <col min="3073" max="3073" width="2.7109375" style="45" customWidth="1"/>
    <col min="3074" max="3255" width="8.85546875" style="45"/>
    <col min="3256" max="3256" width="19.85546875" style="45" bestFit="1" customWidth="1"/>
    <col min="3257" max="3259" width="0" style="45" hidden="1" customWidth="1"/>
    <col min="3260" max="3272" width="13.42578125" style="45" customWidth="1"/>
    <col min="3273" max="3273" width="2.7109375" style="45" customWidth="1"/>
    <col min="3274" max="3286" width="13.42578125" style="45" customWidth="1"/>
    <col min="3287" max="3287" width="2.7109375" style="45" customWidth="1"/>
    <col min="3288" max="3300" width="13.42578125" style="45" customWidth="1"/>
    <col min="3301" max="3301" width="2.7109375" style="45" customWidth="1"/>
    <col min="3302" max="3314" width="13.42578125" style="45" customWidth="1"/>
    <col min="3315" max="3315" width="2.7109375" style="45" customWidth="1"/>
    <col min="3316" max="3328" width="13.42578125" style="45" customWidth="1"/>
    <col min="3329" max="3329" width="2.7109375" style="45" customWidth="1"/>
    <col min="3330" max="3511" width="8.85546875" style="45"/>
    <col min="3512" max="3512" width="19.85546875" style="45" bestFit="1" customWidth="1"/>
    <col min="3513" max="3515" width="0" style="45" hidden="1" customWidth="1"/>
    <col min="3516" max="3528" width="13.42578125" style="45" customWidth="1"/>
    <col min="3529" max="3529" width="2.7109375" style="45" customWidth="1"/>
    <col min="3530" max="3542" width="13.42578125" style="45" customWidth="1"/>
    <col min="3543" max="3543" width="2.7109375" style="45" customWidth="1"/>
    <col min="3544" max="3556" width="13.42578125" style="45" customWidth="1"/>
    <col min="3557" max="3557" width="2.7109375" style="45" customWidth="1"/>
    <col min="3558" max="3570" width="13.42578125" style="45" customWidth="1"/>
    <col min="3571" max="3571" width="2.7109375" style="45" customWidth="1"/>
    <col min="3572" max="3584" width="13.42578125" style="45" customWidth="1"/>
    <col min="3585" max="3585" width="2.7109375" style="45" customWidth="1"/>
    <col min="3586" max="3767" width="8.85546875" style="45"/>
    <col min="3768" max="3768" width="19.85546875" style="45" bestFit="1" customWidth="1"/>
    <col min="3769" max="3771" width="0" style="45" hidden="1" customWidth="1"/>
    <col min="3772" max="3784" width="13.42578125" style="45" customWidth="1"/>
    <col min="3785" max="3785" width="2.7109375" style="45" customWidth="1"/>
    <col min="3786" max="3798" width="13.42578125" style="45" customWidth="1"/>
    <col min="3799" max="3799" width="2.7109375" style="45" customWidth="1"/>
    <col min="3800" max="3812" width="13.42578125" style="45" customWidth="1"/>
    <col min="3813" max="3813" width="2.7109375" style="45" customWidth="1"/>
    <col min="3814" max="3826" width="13.42578125" style="45" customWidth="1"/>
    <col min="3827" max="3827" width="2.7109375" style="45" customWidth="1"/>
    <col min="3828" max="3840" width="13.42578125" style="45" customWidth="1"/>
    <col min="3841" max="3841" width="2.7109375" style="45" customWidth="1"/>
    <col min="3842" max="4023" width="8.85546875" style="45"/>
    <col min="4024" max="4024" width="19.85546875" style="45" bestFit="1" customWidth="1"/>
    <col min="4025" max="4027" width="0" style="45" hidden="1" customWidth="1"/>
    <col min="4028" max="4040" width="13.42578125" style="45" customWidth="1"/>
    <col min="4041" max="4041" width="2.7109375" style="45" customWidth="1"/>
    <col min="4042" max="4054" width="13.42578125" style="45" customWidth="1"/>
    <col min="4055" max="4055" width="2.7109375" style="45" customWidth="1"/>
    <col min="4056" max="4068" width="13.42578125" style="45" customWidth="1"/>
    <col min="4069" max="4069" width="2.7109375" style="45" customWidth="1"/>
    <col min="4070" max="4082" width="13.42578125" style="45" customWidth="1"/>
    <col min="4083" max="4083" width="2.7109375" style="45" customWidth="1"/>
    <col min="4084" max="4096" width="13.42578125" style="45" customWidth="1"/>
    <col min="4097" max="4097" width="2.7109375" style="45" customWidth="1"/>
    <col min="4098" max="4279" width="8.85546875" style="45"/>
    <col min="4280" max="4280" width="19.85546875" style="45" bestFit="1" customWidth="1"/>
    <col min="4281" max="4283" width="0" style="45" hidden="1" customWidth="1"/>
    <col min="4284" max="4296" width="13.42578125" style="45" customWidth="1"/>
    <col min="4297" max="4297" width="2.7109375" style="45" customWidth="1"/>
    <col min="4298" max="4310" width="13.42578125" style="45" customWidth="1"/>
    <col min="4311" max="4311" width="2.7109375" style="45" customWidth="1"/>
    <col min="4312" max="4324" width="13.42578125" style="45" customWidth="1"/>
    <col min="4325" max="4325" width="2.7109375" style="45" customWidth="1"/>
    <col min="4326" max="4338" width="13.42578125" style="45" customWidth="1"/>
    <col min="4339" max="4339" width="2.7109375" style="45" customWidth="1"/>
    <col min="4340" max="4352" width="13.42578125" style="45" customWidth="1"/>
    <col min="4353" max="4353" width="2.7109375" style="45" customWidth="1"/>
    <col min="4354" max="4535" width="8.85546875" style="45"/>
    <col min="4536" max="4536" width="19.85546875" style="45" bestFit="1" customWidth="1"/>
    <col min="4537" max="4539" width="0" style="45" hidden="1" customWidth="1"/>
    <col min="4540" max="4552" width="13.42578125" style="45" customWidth="1"/>
    <col min="4553" max="4553" width="2.7109375" style="45" customWidth="1"/>
    <col min="4554" max="4566" width="13.42578125" style="45" customWidth="1"/>
    <col min="4567" max="4567" width="2.7109375" style="45" customWidth="1"/>
    <col min="4568" max="4580" width="13.42578125" style="45" customWidth="1"/>
    <col min="4581" max="4581" width="2.7109375" style="45" customWidth="1"/>
    <col min="4582" max="4594" width="13.42578125" style="45" customWidth="1"/>
    <col min="4595" max="4595" width="2.7109375" style="45" customWidth="1"/>
    <col min="4596" max="4608" width="13.42578125" style="45" customWidth="1"/>
    <col min="4609" max="4609" width="2.7109375" style="45" customWidth="1"/>
    <col min="4610" max="4791" width="8.85546875" style="45"/>
    <col min="4792" max="4792" width="19.85546875" style="45" bestFit="1" customWidth="1"/>
    <col min="4793" max="4795" width="0" style="45" hidden="1" customWidth="1"/>
    <col min="4796" max="4808" width="13.42578125" style="45" customWidth="1"/>
    <col min="4809" max="4809" width="2.7109375" style="45" customWidth="1"/>
    <col min="4810" max="4822" width="13.42578125" style="45" customWidth="1"/>
    <col min="4823" max="4823" width="2.7109375" style="45" customWidth="1"/>
    <col min="4824" max="4836" width="13.42578125" style="45" customWidth="1"/>
    <col min="4837" max="4837" width="2.7109375" style="45" customWidth="1"/>
    <col min="4838" max="4850" width="13.42578125" style="45" customWidth="1"/>
    <col min="4851" max="4851" width="2.7109375" style="45" customWidth="1"/>
    <col min="4852" max="4864" width="13.42578125" style="45" customWidth="1"/>
    <col min="4865" max="4865" width="2.7109375" style="45" customWidth="1"/>
    <col min="4866" max="5047" width="8.85546875" style="45"/>
    <col min="5048" max="5048" width="19.85546875" style="45" bestFit="1" customWidth="1"/>
    <col min="5049" max="5051" width="0" style="45" hidden="1" customWidth="1"/>
    <col min="5052" max="5064" width="13.42578125" style="45" customWidth="1"/>
    <col min="5065" max="5065" width="2.7109375" style="45" customWidth="1"/>
    <col min="5066" max="5078" width="13.42578125" style="45" customWidth="1"/>
    <col min="5079" max="5079" width="2.7109375" style="45" customWidth="1"/>
    <col min="5080" max="5092" width="13.42578125" style="45" customWidth="1"/>
    <col min="5093" max="5093" width="2.7109375" style="45" customWidth="1"/>
    <col min="5094" max="5106" width="13.42578125" style="45" customWidth="1"/>
    <col min="5107" max="5107" width="2.7109375" style="45" customWidth="1"/>
    <col min="5108" max="5120" width="13.42578125" style="45" customWidth="1"/>
    <col min="5121" max="5121" width="2.7109375" style="45" customWidth="1"/>
    <col min="5122" max="5303" width="8.85546875" style="45"/>
    <col min="5304" max="5304" width="19.85546875" style="45" bestFit="1" customWidth="1"/>
    <col min="5305" max="5307" width="0" style="45" hidden="1" customWidth="1"/>
    <col min="5308" max="5320" width="13.42578125" style="45" customWidth="1"/>
    <col min="5321" max="5321" width="2.7109375" style="45" customWidth="1"/>
    <col min="5322" max="5334" width="13.42578125" style="45" customWidth="1"/>
    <col min="5335" max="5335" width="2.7109375" style="45" customWidth="1"/>
    <col min="5336" max="5348" width="13.42578125" style="45" customWidth="1"/>
    <col min="5349" max="5349" width="2.7109375" style="45" customWidth="1"/>
    <col min="5350" max="5362" width="13.42578125" style="45" customWidth="1"/>
    <col min="5363" max="5363" width="2.7109375" style="45" customWidth="1"/>
    <col min="5364" max="5376" width="13.42578125" style="45" customWidth="1"/>
    <col min="5377" max="5377" width="2.7109375" style="45" customWidth="1"/>
    <col min="5378" max="5559" width="8.85546875" style="45"/>
    <col min="5560" max="5560" width="19.85546875" style="45" bestFit="1" customWidth="1"/>
    <col min="5561" max="5563" width="0" style="45" hidden="1" customWidth="1"/>
    <col min="5564" max="5576" width="13.42578125" style="45" customWidth="1"/>
    <col min="5577" max="5577" width="2.7109375" style="45" customWidth="1"/>
    <col min="5578" max="5590" width="13.42578125" style="45" customWidth="1"/>
    <col min="5591" max="5591" width="2.7109375" style="45" customWidth="1"/>
    <col min="5592" max="5604" width="13.42578125" style="45" customWidth="1"/>
    <col min="5605" max="5605" width="2.7109375" style="45" customWidth="1"/>
    <col min="5606" max="5618" width="13.42578125" style="45" customWidth="1"/>
    <col min="5619" max="5619" width="2.7109375" style="45" customWidth="1"/>
    <col min="5620" max="5632" width="13.42578125" style="45" customWidth="1"/>
    <col min="5633" max="5633" width="2.7109375" style="45" customWidth="1"/>
    <col min="5634" max="5815" width="8.85546875" style="45"/>
    <col min="5816" max="5816" width="19.85546875" style="45" bestFit="1" customWidth="1"/>
    <col min="5817" max="5819" width="0" style="45" hidden="1" customWidth="1"/>
    <col min="5820" max="5832" width="13.42578125" style="45" customWidth="1"/>
    <col min="5833" max="5833" width="2.7109375" style="45" customWidth="1"/>
    <col min="5834" max="5846" width="13.42578125" style="45" customWidth="1"/>
    <col min="5847" max="5847" width="2.7109375" style="45" customWidth="1"/>
    <col min="5848" max="5860" width="13.42578125" style="45" customWidth="1"/>
    <col min="5861" max="5861" width="2.7109375" style="45" customWidth="1"/>
    <col min="5862" max="5874" width="13.42578125" style="45" customWidth="1"/>
    <col min="5875" max="5875" width="2.7109375" style="45" customWidth="1"/>
    <col min="5876" max="5888" width="13.42578125" style="45" customWidth="1"/>
    <col min="5889" max="5889" width="2.7109375" style="45" customWidth="1"/>
    <col min="5890" max="6071" width="8.85546875" style="45"/>
    <col min="6072" max="6072" width="19.85546875" style="45" bestFit="1" customWidth="1"/>
    <col min="6073" max="6075" width="0" style="45" hidden="1" customWidth="1"/>
    <col min="6076" max="6088" width="13.42578125" style="45" customWidth="1"/>
    <col min="6089" max="6089" width="2.7109375" style="45" customWidth="1"/>
    <col min="6090" max="6102" width="13.42578125" style="45" customWidth="1"/>
    <col min="6103" max="6103" width="2.7109375" style="45" customWidth="1"/>
    <col min="6104" max="6116" width="13.42578125" style="45" customWidth="1"/>
    <col min="6117" max="6117" width="2.7109375" style="45" customWidth="1"/>
    <col min="6118" max="6130" width="13.42578125" style="45" customWidth="1"/>
    <col min="6131" max="6131" width="2.7109375" style="45" customWidth="1"/>
    <col min="6132" max="6144" width="13.42578125" style="45" customWidth="1"/>
    <col min="6145" max="6145" width="2.7109375" style="45" customWidth="1"/>
    <col min="6146" max="6327" width="8.85546875" style="45"/>
    <col min="6328" max="6328" width="19.85546875" style="45" bestFit="1" customWidth="1"/>
    <col min="6329" max="6331" width="0" style="45" hidden="1" customWidth="1"/>
    <col min="6332" max="6344" width="13.42578125" style="45" customWidth="1"/>
    <col min="6345" max="6345" width="2.7109375" style="45" customWidth="1"/>
    <col min="6346" max="6358" width="13.42578125" style="45" customWidth="1"/>
    <col min="6359" max="6359" width="2.7109375" style="45" customWidth="1"/>
    <col min="6360" max="6372" width="13.42578125" style="45" customWidth="1"/>
    <col min="6373" max="6373" width="2.7109375" style="45" customWidth="1"/>
    <col min="6374" max="6386" width="13.42578125" style="45" customWidth="1"/>
    <col min="6387" max="6387" width="2.7109375" style="45" customWidth="1"/>
    <col min="6388" max="6400" width="13.42578125" style="45" customWidth="1"/>
    <col min="6401" max="6401" width="2.7109375" style="45" customWidth="1"/>
    <col min="6402" max="6583" width="8.85546875" style="45"/>
    <col min="6584" max="6584" width="19.85546875" style="45" bestFit="1" customWidth="1"/>
    <col min="6585" max="6587" width="0" style="45" hidden="1" customWidth="1"/>
    <col min="6588" max="6600" width="13.42578125" style="45" customWidth="1"/>
    <col min="6601" max="6601" width="2.7109375" style="45" customWidth="1"/>
    <col min="6602" max="6614" width="13.42578125" style="45" customWidth="1"/>
    <col min="6615" max="6615" width="2.7109375" style="45" customWidth="1"/>
    <col min="6616" max="6628" width="13.42578125" style="45" customWidth="1"/>
    <col min="6629" max="6629" width="2.7109375" style="45" customWidth="1"/>
    <col min="6630" max="6642" width="13.42578125" style="45" customWidth="1"/>
    <col min="6643" max="6643" width="2.7109375" style="45" customWidth="1"/>
    <col min="6644" max="6656" width="13.42578125" style="45" customWidth="1"/>
    <col min="6657" max="6657" width="2.7109375" style="45" customWidth="1"/>
    <col min="6658" max="6839" width="8.85546875" style="45"/>
    <col min="6840" max="6840" width="19.85546875" style="45" bestFit="1" customWidth="1"/>
    <col min="6841" max="6843" width="0" style="45" hidden="1" customWidth="1"/>
    <col min="6844" max="6856" width="13.42578125" style="45" customWidth="1"/>
    <col min="6857" max="6857" width="2.7109375" style="45" customWidth="1"/>
    <col min="6858" max="6870" width="13.42578125" style="45" customWidth="1"/>
    <col min="6871" max="6871" width="2.7109375" style="45" customWidth="1"/>
    <col min="6872" max="6884" width="13.42578125" style="45" customWidth="1"/>
    <col min="6885" max="6885" width="2.7109375" style="45" customWidth="1"/>
    <col min="6886" max="6898" width="13.42578125" style="45" customWidth="1"/>
    <col min="6899" max="6899" width="2.7109375" style="45" customWidth="1"/>
    <col min="6900" max="6912" width="13.42578125" style="45" customWidth="1"/>
    <col min="6913" max="6913" width="2.7109375" style="45" customWidth="1"/>
    <col min="6914" max="7095" width="8.85546875" style="45"/>
    <col min="7096" max="7096" width="19.85546875" style="45" bestFit="1" customWidth="1"/>
    <col min="7097" max="7099" width="0" style="45" hidden="1" customWidth="1"/>
    <col min="7100" max="7112" width="13.42578125" style="45" customWidth="1"/>
    <col min="7113" max="7113" width="2.7109375" style="45" customWidth="1"/>
    <col min="7114" max="7126" width="13.42578125" style="45" customWidth="1"/>
    <col min="7127" max="7127" width="2.7109375" style="45" customWidth="1"/>
    <col min="7128" max="7140" width="13.42578125" style="45" customWidth="1"/>
    <col min="7141" max="7141" width="2.7109375" style="45" customWidth="1"/>
    <col min="7142" max="7154" width="13.42578125" style="45" customWidth="1"/>
    <col min="7155" max="7155" width="2.7109375" style="45" customWidth="1"/>
    <col min="7156" max="7168" width="13.42578125" style="45" customWidth="1"/>
    <col min="7169" max="7169" width="2.7109375" style="45" customWidth="1"/>
    <col min="7170" max="7351" width="8.85546875" style="45"/>
    <col min="7352" max="7352" width="19.85546875" style="45" bestFit="1" customWidth="1"/>
    <col min="7353" max="7355" width="0" style="45" hidden="1" customWidth="1"/>
    <col min="7356" max="7368" width="13.42578125" style="45" customWidth="1"/>
    <col min="7369" max="7369" width="2.7109375" style="45" customWidth="1"/>
    <col min="7370" max="7382" width="13.42578125" style="45" customWidth="1"/>
    <col min="7383" max="7383" width="2.7109375" style="45" customWidth="1"/>
    <col min="7384" max="7396" width="13.42578125" style="45" customWidth="1"/>
    <col min="7397" max="7397" width="2.7109375" style="45" customWidth="1"/>
    <col min="7398" max="7410" width="13.42578125" style="45" customWidth="1"/>
    <col min="7411" max="7411" width="2.7109375" style="45" customWidth="1"/>
    <col min="7412" max="7424" width="13.42578125" style="45" customWidth="1"/>
    <col min="7425" max="7425" width="2.7109375" style="45" customWidth="1"/>
    <col min="7426" max="7607" width="8.85546875" style="45"/>
    <col min="7608" max="7608" width="19.85546875" style="45" bestFit="1" customWidth="1"/>
    <col min="7609" max="7611" width="0" style="45" hidden="1" customWidth="1"/>
    <col min="7612" max="7624" width="13.42578125" style="45" customWidth="1"/>
    <col min="7625" max="7625" width="2.7109375" style="45" customWidth="1"/>
    <col min="7626" max="7638" width="13.42578125" style="45" customWidth="1"/>
    <col min="7639" max="7639" width="2.7109375" style="45" customWidth="1"/>
    <col min="7640" max="7652" width="13.42578125" style="45" customWidth="1"/>
    <col min="7653" max="7653" width="2.7109375" style="45" customWidth="1"/>
    <col min="7654" max="7666" width="13.42578125" style="45" customWidth="1"/>
    <col min="7667" max="7667" width="2.7109375" style="45" customWidth="1"/>
    <col min="7668" max="7680" width="13.42578125" style="45" customWidth="1"/>
    <col min="7681" max="7681" width="2.7109375" style="45" customWidth="1"/>
    <col min="7682" max="7863" width="8.85546875" style="45"/>
    <col min="7864" max="7864" width="19.85546875" style="45" bestFit="1" customWidth="1"/>
    <col min="7865" max="7867" width="0" style="45" hidden="1" customWidth="1"/>
    <col min="7868" max="7880" width="13.42578125" style="45" customWidth="1"/>
    <col min="7881" max="7881" width="2.7109375" style="45" customWidth="1"/>
    <col min="7882" max="7894" width="13.42578125" style="45" customWidth="1"/>
    <col min="7895" max="7895" width="2.7109375" style="45" customWidth="1"/>
    <col min="7896" max="7908" width="13.42578125" style="45" customWidth="1"/>
    <col min="7909" max="7909" width="2.7109375" style="45" customWidth="1"/>
    <col min="7910" max="7922" width="13.42578125" style="45" customWidth="1"/>
    <col min="7923" max="7923" width="2.7109375" style="45" customWidth="1"/>
    <col min="7924" max="7936" width="13.42578125" style="45" customWidth="1"/>
    <col min="7937" max="7937" width="2.7109375" style="45" customWidth="1"/>
    <col min="7938" max="8119" width="8.85546875" style="45"/>
    <col min="8120" max="8120" width="19.85546875" style="45" bestFit="1" customWidth="1"/>
    <col min="8121" max="8123" width="0" style="45" hidden="1" customWidth="1"/>
    <col min="8124" max="8136" width="13.42578125" style="45" customWidth="1"/>
    <col min="8137" max="8137" width="2.7109375" style="45" customWidth="1"/>
    <col min="8138" max="8150" width="13.42578125" style="45" customWidth="1"/>
    <col min="8151" max="8151" width="2.7109375" style="45" customWidth="1"/>
    <col min="8152" max="8164" width="13.42578125" style="45" customWidth="1"/>
    <col min="8165" max="8165" width="2.7109375" style="45" customWidth="1"/>
    <col min="8166" max="8178" width="13.42578125" style="45" customWidth="1"/>
    <col min="8179" max="8179" width="2.7109375" style="45" customWidth="1"/>
    <col min="8180" max="8192" width="13.42578125" style="45" customWidth="1"/>
    <col min="8193" max="8193" width="2.7109375" style="45" customWidth="1"/>
    <col min="8194" max="8375" width="8.85546875" style="45"/>
    <col min="8376" max="8376" width="19.85546875" style="45" bestFit="1" customWidth="1"/>
    <col min="8377" max="8379" width="0" style="45" hidden="1" customWidth="1"/>
    <col min="8380" max="8392" width="13.42578125" style="45" customWidth="1"/>
    <col min="8393" max="8393" width="2.7109375" style="45" customWidth="1"/>
    <col min="8394" max="8406" width="13.42578125" style="45" customWidth="1"/>
    <col min="8407" max="8407" width="2.7109375" style="45" customWidth="1"/>
    <col min="8408" max="8420" width="13.42578125" style="45" customWidth="1"/>
    <col min="8421" max="8421" width="2.7109375" style="45" customWidth="1"/>
    <col min="8422" max="8434" width="13.42578125" style="45" customWidth="1"/>
    <col min="8435" max="8435" width="2.7109375" style="45" customWidth="1"/>
    <col min="8436" max="8448" width="13.42578125" style="45" customWidth="1"/>
    <col min="8449" max="8449" width="2.7109375" style="45" customWidth="1"/>
    <col min="8450" max="8631" width="8.85546875" style="45"/>
    <col min="8632" max="8632" width="19.85546875" style="45" bestFit="1" customWidth="1"/>
    <col min="8633" max="8635" width="0" style="45" hidden="1" customWidth="1"/>
    <col min="8636" max="8648" width="13.42578125" style="45" customWidth="1"/>
    <col min="8649" max="8649" width="2.7109375" style="45" customWidth="1"/>
    <col min="8650" max="8662" width="13.42578125" style="45" customWidth="1"/>
    <col min="8663" max="8663" width="2.7109375" style="45" customWidth="1"/>
    <col min="8664" max="8676" width="13.42578125" style="45" customWidth="1"/>
    <col min="8677" max="8677" width="2.7109375" style="45" customWidth="1"/>
    <col min="8678" max="8690" width="13.42578125" style="45" customWidth="1"/>
    <col min="8691" max="8691" width="2.7109375" style="45" customWidth="1"/>
    <col min="8692" max="8704" width="13.42578125" style="45" customWidth="1"/>
    <col min="8705" max="8705" width="2.7109375" style="45" customWidth="1"/>
    <col min="8706" max="8887" width="8.85546875" style="45"/>
    <col min="8888" max="8888" width="19.85546875" style="45" bestFit="1" customWidth="1"/>
    <col min="8889" max="8891" width="0" style="45" hidden="1" customWidth="1"/>
    <col min="8892" max="8904" width="13.42578125" style="45" customWidth="1"/>
    <col min="8905" max="8905" width="2.7109375" style="45" customWidth="1"/>
    <col min="8906" max="8918" width="13.42578125" style="45" customWidth="1"/>
    <col min="8919" max="8919" width="2.7109375" style="45" customWidth="1"/>
    <col min="8920" max="8932" width="13.42578125" style="45" customWidth="1"/>
    <col min="8933" max="8933" width="2.7109375" style="45" customWidth="1"/>
    <col min="8934" max="8946" width="13.42578125" style="45" customWidth="1"/>
    <col min="8947" max="8947" width="2.7109375" style="45" customWidth="1"/>
    <col min="8948" max="8960" width="13.42578125" style="45" customWidth="1"/>
    <col min="8961" max="8961" width="2.7109375" style="45" customWidth="1"/>
    <col min="8962" max="9143" width="8.85546875" style="45"/>
    <col min="9144" max="9144" width="19.85546875" style="45" bestFit="1" customWidth="1"/>
    <col min="9145" max="9147" width="0" style="45" hidden="1" customWidth="1"/>
    <col min="9148" max="9160" width="13.42578125" style="45" customWidth="1"/>
    <col min="9161" max="9161" width="2.7109375" style="45" customWidth="1"/>
    <col min="9162" max="9174" width="13.42578125" style="45" customWidth="1"/>
    <col min="9175" max="9175" width="2.7109375" style="45" customWidth="1"/>
    <col min="9176" max="9188" width="13.42578125" style="45" customWidth="1"/>
    <col min="9189" max="9189" width="2.7109375" style="45" customWidth="1"/>
    <col min="9190" max="9202" width="13.42578125" style="45" customWidth="1"/>
    <col min="9203" max="9203" width="2.7109375" style="45" customWidth="1"/>
    <col min="9204" max="9216" width="13.42578125" style="45" customWidth="1"/>
    <col min="9217" max="9217" width="2.7109375" style="45" customWidth="1"/>
    <col min="9218" max="9399" width="8.85546875" style="45"/>
    <col min="9400" max="9400" width="19.85546875" style="45" bestFit="1" customWidth="1"/>
    <col min="9401" max="9403" width="0" style="45" hidden="1" customWidth="1"/>
    <col min="9404" max="9416" width="13.42578125" style="45" customWidth="1"/>
    <col min="9417" max="9417" width="2.7109375" style="45" customWidth="1"/>
    <col min="9418" max="9430" width="13.42578125" style="45" customWidth="1"/>
    <col min="9431" max="9431" width="2.7109375" style="45" customWidth="1"/>
    <col min="9432" max="9444" width="13.42578125" style="45" customWidth="1"/>
    <col min="9445" max="9445" width="2.7109375" style="45" customWidth="1"/>
    <col min="9446" max="9458" width="13.42578125" style="45" customWidth="1"/>
    <col min="9459" max="9459" width="2.7109375" style="45" customWidth="1"/>
    <col min="9460" max="9472" width="13.42578125" style="45" customWidth="1"/>
    <col min="9473" max="9473" width="2.7109375" style="45" customWidth="1"/>
    <col min="9474" max="9655" width="8.85546875" style="45"/>
    <col min="9656" max="9656" width="19.85546875" style="45" bestFit="1" customWidth="1"/>
    <col min="9657" max="9659" width="0" style="45" hidden="1" customWidth="1"/>
    <col min="9660" max="9672" width="13.42578125" style="45" customWidth="1"/>
    <col min="9673" max="9673" width="2.7109375" style="45" customWidth="1"/>
    <col min="9674" max="9686" width="13.42578125" style="45" customWidth="1"/>
    <col min="9687" max="9687" width="2.7109375" style="45" customWidth="1"/>
    <col min="9688" max="9700" width="13.42578125" style="45" customWidth="1"/>
    <col min="9701" max="9701" width="2.7109375" style="45" customWidth="1"/>
    <col min="9702" max="9714" width="13.42578125" style="45" customWidth="1"/>
    <col min="9715" max="9715" width="2.7109375" style="45" customWidth="1"/>
    <col min="9716" max="9728" width="13.42578125" style="45" customWidth="1"/>
    <col min="9729" max="9729" width="2.7109375" style="45" customWidth="1"/>
    <col min="9730" max="9911" width="8.85546875" style="45"/>
    <col min="9912" max="9912" width="19.85546875" style="45" bestFit="1" customWidth="1"/>
    <col min="9913" max="9915" width="0" style="45" hidden="1" customWidth="1"/>
    <col min="9916" max="9928" width="13.42578125" style="45" customWidth="1"/>
    <col min="9929" max="9929" width="2.7109375" style="45" customWidth="1"/>
    <col min="9930" max="9942" width="13.42578125" style="45" customWidth="1"/>
    <col min="9943" max="9943" width="2.7109375" style="45" customWidth="1"/>
    <col min="9944" max="9956" width="13.42578125" style="45" customWidth="1"/>
    <col min="9957" max="9957" width="2.7109375" style="45" customWidth="1"/>
    <col min="9958" max="9970" width="13.42578125" style="45" customWidth="1"/>
    <col min="9971" max="9971" width="2.7109375" style="45" customWidth="1"/>
    <col min="9972" max="9984" width="13.42578125" style="45" customWidth="1"/>
    <col min="9985" max="9985" width="2.7109375" style="45" customWidth="1"/>
    <col min="9986" max="10167" width="8.85546875" style="45"/>
    <col min="10168" max="10168" width="19.85546875" style="45" bestFit="1" customWidth="1"/>
    <col min="10169" max="10171" width="0" style="45" hidden="1" customWidth="1"/>
    <col min="10172" max="10184" width="13.42578125" style="45" customWidth="1"/>
    <col min="10185" max="10185" width="2.7109375" style="45" customWidth="1"/>
    <col min="10186" max="10198" width="13.42578125" style="45" customWidth="1"/>
    <col min="10199" max="10199" width="2.7109375" style="45" customWidth="1"/>
    <col min="10200" max="10212" width="13.42578125" style="45" customWidth="1"/>
    <col min="10213" max="10213" width="2.7109375" style="45" customWidth="1"/>
    <col min="10214" max="10226" width="13.42578125" style="45" customWidth="1"/>
    <col min="10227" max="10227" width="2.7109375" style="45" customWidth="1"/>
    <col min="10228" max="10240" width="13.42578125" style="45" customWidth="1"/>
    <col min="10241" max="10241" width="2.7109375" style="45" customWidth="1"/>
    <col min="10242" max="10423" width="8.85546875" style="45"/>
    <col min="10424" max="10424" width="19.85546875" style="45" bestFit="1" customWidth="1"/>
    <col min="10425" max="10427" width="0" style="45" hidden="1" customWidth="1"/>
    <col min="10428" max="10440" width="13.42578125" style="45" customWidth="1"/>
    <col min="10441" max="10441" width="2.7109375" style="45" customWidth="1"/>
    <col min="10442" max="10454" width="13.42578125" style="45" customWidth="1"/>
    <col min="10455" max="10455" width="2.7109375" style="45" customWidth="1"/>
    <col min="10456" max="10468" width="13.42578125" style="45" customWidth="1"/>
    <col min="10469" max="10469" width="2.7109375" style="45" customWidth="1"/>
    <col min="10470" max="10482" width="13.42578125" style="45" customWidth="1"/>
    <col min="10483" max="10483" width="2.7109375" style="45" customWidth="1"/>
    <col min="10484" max="10496" width="13.42578125" style="45" customWidth="1"/>
    <col min="10497" max="10497" width="2.7109375" style="45" customWidth="1"/>
    <col min="10498" max="10679" width="8.85546875" style="45"/>
    <col min="10680" max="10680" width="19.85546875" style="45" bestFit="1" customWidth="1"/>
    <col min="10681" max="10683" width="0" style="45" hidden="1" customWidth="1"/>
    <col min="10684" max="10696" width="13.42578125" style="45" customWidth="1"/>
    <col min="10697" max="10697" width="2.7109375" style="45" customWidth="1"/>
    <col min="10698" max="10710" width="13.42578125" style="45" customWidth="1"/>
    <col min="10711" max="10711" width="2.7109375" style="45" customWidth="1"/>
    <col min="10712" max="10724" width="13.42578125" style="45" customWidth="1"/>
    <col min="10725" max="10725" width="2.7109375" style="45" customWidth="1"/>
    <col min="10726" max="10738" width="13.42578125" style="45" customWidth="1"/>
    <col min="10739" max="10739" width="2.7109375" style="45" customWidth="1"/>
    <col min="10740" max="10752" width="13.42578125" style="45" customWidth="1"/>
    <col min="10753" max="10753" width="2.7109375" style="45" customWidth="1"/>
    <col min="10754" max="10935" width="8.85546875" style="45"/>
    <col min="10936" max="10936" width="19.85546875" style="45" bestFit="1" customWidth="1"/>
    <col min="10937" max="10939" width="0" style="45" hidden="1" customWidth="1"/>
    <col min="10940" max="10952" width="13.42578125" style="45" customWidth="1"/>
    <col min="10953" max="10953" width="2.7109375" style="45" customWidth="1"/>
    <col min="10954" max="10966" width="13.42578125" style="45" customWidth="1"/>
    <col min="10967" max="10967" width="2.7109375" style="45" customWidth="1"/>
    <col min="10968" max="10980" width="13.42578125" style="45" customWidth="1"/>
    <col min="10981" max="10981" width="2.7109375" style="45" customWidth="1"/>
    <col min="10982" max="10994" width="13.42578125" style="45" customWidth="1"/>
    <col min="10995" max="10995" width="2.7109375" style="45" customWidth="1"/>
    <col min="10996" max="11008" width="13.42578125" style="45" customWidth="1"/>
    <col min="11009" max="11009" width="2.7109375" style="45" customWidth="1"/>
    <col min="11010" max="11191" width="8.85546875" style="45"/>
    <col min="11192" max="11192" width="19.85546875" style="45" bestFit="1" customWidth="1"/>
    <col min="11193" max="11195" width="0" style="45" hidden="1" customWidth="1"/>
    <col min="11196" max="11208" width="13.42578125" style="45" customWidth="1"/>
    <col min="11209" max="11209" width="2.7109375" style="45" customWidth="1"/>
    <col min="11210" max="11222" width="13.42578125" style="45" customWidth="1"/>
    <col min="11223" max="11223" width="2.7109375" style="45" customWidth="1"/>
    <col min="11224" max="11236" width="13.42578125" style="45" customWidth="1"/>
    <col min="11237" max="11237" width="2.7109375" style="45" customWidth="1"/>
    <col min="11238" max="11250" width="13.42578125" style="45" customWidth="1"/>
    <col min="11251" max="11251" width="2.7109375" style="45" customWidth="1"/>
    <col min="11252" max="11264" width="13.42578125" style="45" customWidth="1"/>
    <col min="11265" max="11265" width="2.7109375" style="45" customWidth="1"/>
    <col min="11266" max="11447" width="8.85546875" style="45"/>
    <col min="11448" max="11448" width="19.85546875" style="45" bestFit="1" customWidth="1"/>
    <col min="11449" max="11451" width="0" style="45" hidden="1" customWidth="1"/>
    <col min="11452" max="11464" width="13.42578125" style="45" customWidth="1"/>
    <col min="11465" max="11465" width="2.7109375" style="45" customWidth="1"/>
    <col min="11466" max="11478" width="13.42578125" style="45" customWidth="1"/>
    <col min="11479" max="11479" width="2.7109375" style="45" customWidth="1"/>
    <col min="11480" max="11492" width="13.42578125" style="45" customWidth="1"/>
    <col min="11493" max="11493" width="2.7109375" style="45" customWidth="1"/>
    <col min="11494" max="11506" width="13.42578125" style="45" customWidth="1"/>
    <col min="11507" max="11507" width="2.7109375" style="45" customWidth="1"/>
    <col min="11508" max="11520" width="13.42578125" style="45" customWidth="1"/>
    <col min="11521" max="11521" width="2.7109375" style="45" customWidth="1"/>
    <col min="11522" max="11703" width="8.85546875" style="45"/>
    <col min="11704" max="11704" width="19.85546875" style="45" bestFit="1" customWidth="1"/>
    <col min="11705" max="11707" width="0" style="45" hidden="1" customWidth="1"/>
    <col min="11708" max="11720" width="13.42578125" style="45" customWidth="1"/>
    <col min="11721" max="11721" width="2.7109375" style="45" customWidth="1"/>
    <col min="11722" max="11734" width="13.42578125" style="45" customWidth="1"/>
    <col min="11735" max="11735" width="2.7109375" style="45" customWidth="1"/>
    <col min="11736" max="11748" width="13.42578125" style="45" customWidth="1"/>
    <col min="11749" max="11749" width="2.7109375" style="45" customWidth="1"/>
    <col min="11750" max="11762" width="13.42578125" style="45" customWidth="1"/>
    <col min="11763" max="11763" width="2.7109375" style="45" customWidth="1"/>
    <col min="11764" max="11776" width="13.42578125" style="45" customWidth="1"/>
    <col min="11777" max="11777" width="2.7109375" style="45" customWidth="1"/>
    <col min="11778" max="11959" width="8.85546875" style="45"/>
    <col min="11960" max="11960" width="19.85546875" style="45" bestFit="1" customWidth="1"/>
    <col min="11961" max="11963" width="0" style="45" hidden="1" customWidth="1"/>
    <col min="11964" max="11976" width="13.42578125" style="45" customWidth="1"/>
    <col min="11977" max="11977" width="2.7109375" style="45" customWidth="1"/>
    <col min="11978" max="11990" width="13.42578125" style="45" customWidth="1"/>
    <col min="11991" max="11991" width="2.7109375" style="45" customWidth="1"/>
    <col min="11992" max="12004" width="13.42578125" style="45" customWidth="1"/>
    <col min="12005" max="12005" width="2.7109375" style="45" customWidth="1"/>
    <col min="12006" max="12018" width="13.42578125" style="45" customWidth="1"/>
    <col min="12019" max="12019" width="2.7109375" style="45" customWidth="1"/>
    <col min="12020" max="12032" width="13.42578125" style="45" customWidth="1"/>
    <col min="12033" max="12033" width="2.7109375" style="45" customWidth="1"/>
    <col min="12034" max="12215" width="8.85546875" style="45"/>
    <col min="12216" max="12216" width="19.85546875" style="45" bestFit="1" customWidth="1"/>
    <col min="12217" max="12219" width="0" style="45" hidden="1" customWidth="1"/>
    <col min="12220" max="12232" width="13.42578125" style="45" customWidth="1"/>
    <col min="12233" max="12233" width="2.7109375" style="45" customWidth="1"/>
    <col min="12234" max="12246" width="13.42578125" style="45" customWidth="1"/>
    <col min="12247" max="12247" width="2.7109375" style="45" customWidth="1"/>
    <col min="12248" max="12260" width="13.42578125" style="45" customWidth="1"/>
    <col min="12261" max="12261" width="2.7109375" style="45" customWidth="1"/>
    <col min="12262" max="12274" width="13.42578125" style="45" customWidth="1"/>
    <col min="12275" max="12275" width="2.7109375" style="45" customWidth="1"/>
    <col min="12276" max="12288" width="13.42578125" style="45" customWidth="1"/>
    <col min="12289" max="12289" width="2.7109375" style="45" customWidth="1"/>
    <col min="12290" max="12471" width="8.85546875" style="45"/>
    <col min="12472" max="12472" width="19.85546875" style="45" bestFit="1" customWidth="1"/>
    <col min="12473" max="12475" width="0" style="45" hidden="1" customWidth="1"/>
    <col min="12476" max="12488" width="13.42578125" style="45" customWidth="1"/>
    <col min="12489" max="12489" width="2.7109375" style="45" customWidth="1"/>
    <col min="12490" max="12502" width="13.42578125" style="45" customWidth="1"/>
    <col min="12503" max="12503" width="2.7109375" style="45" customWidth="1"/>
    <col min="12504" max="12516" width="13.42578125" style="45" customWidth="1"/>
    <col min="12517" max="12517" width="2.7109375" style="45" customWidth="1"/>
    <col min="12518" max="12530" width="13.42578125" style="45" customWidth="1"/>
    <col min="12531" max="12531" width="2.7109375" style="45" customWidth="1"/>
    <col min="12532" max="12544" width="13.42578125" style="45" customWidth="1"/>
    <col min="12545" max="12545" width="2.7109375" style="45" customWidth="1"/>
    <col min="12546" max="12727" width="8.85546875" style="45"/>
    <col min="12728" max="12728" width="19.85546875" style="45" bestFit="1" customWidth="1"/>
    <col min="12729" max="12731" width="0" style="45" hidden="1" customWidth="1"/>
    <col min="12732" max="12744" width="13.42578125" style="45" customWidth="1"/>
    <col min="12745" max="12745" width="2.7109375" style="45" customWidth="1"/>
    <col min="12746" max="12758" width="13.42578125" style="45" customWidth="1"/>
    <col min="12759" max="12759" width="2.7109375" style="45" customWidth="1"/>
    <col min="12760" max="12772" width="13.42578125" style="45" customWidth="1"/>
    <col min="12773" max="12773" width="2.7109375" style="45" customWidth="1"/>
    <col min="12774" max="12786" width="13.42578125" style="45" customWidth="1"/>
    <col min="12787" max="12787" width="2.7109375" style="45" customWidth="1"/>
    <col min="12788" max="12800" width="13.42578125" style="45" customWidth="1"/>
    <col min="12801" max="12801" width="2.7109375" style="45" customWidth="1"/>
    <col min="12802" max="12983" width="8.85546875" style="45"/>
    <col min="12984" max="12984" width="19.85546875" style="45" bestFit="1" customWidth="1"/>
    <col min="12985" max="12987" width="0" style="45" hidden="1" customWidth="1"/>
    <col min="12988" max="13000" width="13.42578125" style="45" customWidth="1"/>
    <col min="13001" max="13001" width="2.7109375" style="45" customWidth="1"/>
    <col min="13002" max="13014" width="13.42578125" style="45" customWidth="1"/>
    <col min="13015" max="13015" width="2.7109375" style="45" customWidth="1"/>
    <col min="13016" max="13028" width="13.42578125" style="45" customWidth="1"/>
    <col min="13029" max="13029" width="2.7109375" style="45" customWidth="1"/>
    <col min="13030" max="13042" width="13.42578125" style="45" customWidth="1"/>
    <col min="13043" max="13043" width="2.7109375" style="45" customWidth="1"/>
    <col min="13044" max="13056" width="13.42578125" style="45" customWidth="1"/>
    <col min="13057" max="13057" width="2.7109375" style="45" customWidth="1"/>
    <col min="13058" max="13239" width="8.85546875" style="45"/>
    <col min="13240" max="13240" width="19.85546875" style="45" bestFit="1" customWidth="1"/>
    <col min="13241" max="13243" width="0" style="45" hidden="1" customWidth="1"/>
    <col min="13244" max="13256" width="13.42578125" style="45" customWidth="1"/>
    <col min="13257" max="13257" width="2.7109375" style="45" customWidth="1"/>
    <col min="13258" max="13270" width="13.42578125" style="45" customWidth="1"/>
    <col min="13271" max="13271" width="2.7109375" style="45" customWidth="1"/>
    <col min="13272" max="13284" width="13.42578125" style="45" customWidth="1"/>
    <col min="13285" max="13285" width="2.7109375" style="45" customWidth="1"/>
    <col min="13286" max="13298" width="13.42578125" style="45" customWidth="1"/>
    <col min="13299" max="13299" width="2.7109375" style="45" customWidth="1"/>
    <col min="13300" max="13312" width="13.42578125" style="45" customWidth="1"/>
    <col min="13313" max="13313" width="2.7109375" style="45" customWidth="1"/>
    <col min="13314" max="13495" width="8.85546875" style="45"/>
    <col min="13496" max="13496" width="19.85546875" style="45" bestFit="1" customWidth="1"/>
    <col min="13497" max="13499" width="0" style="45" hidden="1" customWidth="1"/>
    <col min="13500" max="13512" width="13.42578125" style="45" customWidth="1"/>
    <col min="13513" max="13513" width="2.7109375" style="45" customWidth="1"/>
    <col min="13514" max="13526" width="13.42578125" style="45" customWidth="1"/>
    <col min="13527" max="13527" width="2.7109375" style="45" customWidth="1"/>
    <col min="13528" max="13540" width="13.42578125" style="45" customWidth="1"/>
    <col min="13541" max="13541" width="2.7109375" style="45" customWidth="1"/>
    <col min="13542" max="13554" width="13.42578125" style="45" customWidth="1"/>
    <col min="13555" max="13555" width="2.7109375" style="45" customWidth="1"/>
    <col min="13556" max="13568" width="13.42578125" style="45" customWidth="1"/>
    <col min="13569" max="13569" width="2.7109375" style="45" customWidth="1"/>
    <col min="13570" max="13751" width="8.85546875" style="45"/>
    <col min="13752" max="13752" width="19.85546875" style="45" bestFit="1" customWidth="1"/>
    <col min="13753" max="13755" width="0" style="45" hidden="1" customWidth="1"/>
    <col min="13756" max="13768" width="13.42578125" style="45" customWidth="1"/>
    <col min="13769" max="13769" width="2.7109375" style="45" customWidth="1"/>
    <col min="13770" max="13782" width="13.42578125" style="45" customWidth="1"/>
    <col min="13783" max="13783" width="2.7109375" style="45" customWidth="1"/>
    <col min="13784" max="13796" width="13.42578125" style="45" customWidth="1"/>
    <col min="13797" max="13797" width="2.7109375" style="45" customWidth="1"/>
    <col min="13798" max="13810" width="13.42578125" style="45" customWidth="1"/>
    <col min="13811" max="13811" width="2.7109375" style="45" customWidth="1"/>
    <col min="13812" max="13824" width="13.42578125" style="45" customWidth="1"/>
    <col min="13825" max="13825" width="2.7109375" style="45" customWidth="1"/>
    <col min="13826" max="14007" width="8.85546875" style="45"/>
    <col min="14008" max="14008" width="19.85546875" style="45" bestFit="1" customWidth="1"/>
    <col min="14009" max="14011" width="0" style="45" hidden="1" customWidth="1"/>
    <col min="14012" max="14024" width="13.42578125" style="45" customWidth="1"/>
    <col min="14025" max="14025" width="2.7109375" style="45" customWidth="1"/>
    <col min="14026" max="14038" width="13.42578125" style="45" customWidth="1"/>
    <col min="14039" max="14039" width="2.7109375" style="45" customWidth="1"/>
    <col min="14040" max="14052" width="13.42578125" style="45" customWidth="1"/>
    <col min="14053" max="14053" width="2.7109375" style="45" customWidth="1"/>
    <col min="14054" max="14066" width="13.42578125" style="45" customWidth="1"/>
    <col min="14067" max="14067" width="2.7109375" style="45" customWidth="1"/>
    <col min="14068" max="14080" width="13.42578125" style="45" customWidth="1"/>
    <col min="14081" max="14081" width="2.7109375" style="45" customWidth="1"/>
    <col min="14082" max="14263" width="8.85546875" style="45"/>
    <col min="14264" max="14264" width="19.85546875" style="45" bestFit="1" customWidth="1"/>
    <col min="14265" max="14267" width="0" style="45" hidden="1" customWidth="1"/>
    <col min="14268" max="14280" width="13.42578125" style="45" customWidth="1"/>
    <col min="14281" max="14281" width="2.7109375" style="45" customWidth="1"/>
    <col min="14282" max="14294" width="13.42578125" style="45" customWidth="1"/>
    <col min="14295" max="14295" width="2.7109375" style="45" customWidth="1"/>
    <col min="14296" max="14308" width="13.42578125" style="45" customWidth="1"/>
    <col min="14309" max="14309" width="2.7109375" style="45" customWidth="1"/>
    <col min="14310" max="14322" width="13.42578125" style="45" customWidth="1"/>
    <col min="14323" max="14323" width="2.7109375" style="45" customWidth="1"/>
    <col min="14324" max="14336" width="13.42578125" style="45" customWidth="1"/>
    <col min="14337" max="14337" width="2.7109375" style="45" customWidth="1"/>
    <col min="14338" max="14519" width="8.85546875" style="45"/>
    <col min="14520" max="14520" width="19.85546875" style="45" bestFit="1" customWidth="1"/>
    <col min="14521" max="14523" width="0" style="45" hidden="1" customWidth="1"/>
    <col min="14524" max="14536" width="13.42578125" style="45" customWidth="1"/>
    <col min="14537" max="14537" width="2.7109375" style="45" customWidth="1"/>
    <col min="14538" max="14550" width="13.42578125" style="45" customWidth="1"/>
    <col min="14551" max="14551" width="2.7109375" style="45" customWidth="1"/>
    <col min="14552" max="14564" width="13.42578125" style="45" customWidth="1"/>
    <col min="14565" max="14565" width="2.7109375" style="45" customWidth="1"/>
    <col min="14566" max="14578" width="13.42578125" style="45" customWidth="1"/>
    <col min="14579" max="14579" width="2.7109375" style="45" customWidth="1"/>
    <col min="14580" max="14592" width="13.42578125" style="45" customWidth="1"/>
    <col min="14593" max="14593" width="2.7109375" style="45" customWidth="1"/>
    <col min="14594" max="14775" width="8.85546875" style="45"/>
    <col min="14776" max="14776" width="19.85546875" style="45" bestFit="1" customWidth="1"/>
    <col min="14777" max="14779" width="0" style="45" hidden="1" customWidth="1"/>
    <col min="14780" max="14792" width="13.42578125" style="45" customWidth="1"/>
    <col min="14793" max="14793" width="2.7109375" style="45" customWidth="1"/>
    <col min="14794" max="14806" width="13.42578125" style="45" customWidth="1"/>
    <col min="14807" max="14807" width="2.7109375" style="45" customWidth="1"/>
    <col min="14808" max="14820" width="13.42578125" style="45" customWidth="1"/>
    <col min="14821" max="14821" width="2.7109375" style="45" customWidth="1"/>
    <col min="14822" max="14834" width="13.42578125" style="45" customWidth="1"/>
    <col min="14835" max="14835" width="2.7109375" style="45" customWidth="1"/>
    <col min="14836" max="14848" width="13.42578125" style="45" customWidth="1"/>
    <col min="14849" max="14849" width="2.7109375" style="45" customWidth="1"/>
    <col min="14850" max="15031" width="8.85546875" style="45"/>
    <col min="15032" max="15032" width="19.85546875" style="45" bestFit="1" customWidth="1"/>
    <col min="15033" max="15035" width="0" style="45" hidden="1" customWidth="1"/>
    <col min="15036" max="15048" width="13.42578125" style="45" customWidth="1"/>
    <col min="15049" max="15049" width="2.7109375" style="45" customWidth="1"/>
    <col min="15050" max="15062" width="13.42578125" style="45" customWidth="1"/>
    <col min="15063" max="15063" width="2.7109375" style="45" customWidth="1"/>
    <col min="15064" max="15076" width="13.42578125" style="45" customWidth="1"/>
    <col min="15077" max="15077" width="2.7109375" style="45" customWidth="1"/>
    <col min="15078" max="15090" width="13.42578125" style="45" customWidth="1"/>
    <col min="15091" max="15091" width="2.7109375" style="45" customWidth="1"/>
    <col min="15092" max="15104" width="13.42578125" style="45" customWidth="1"/>
    <col min="15105" max="15105" width="2.7109375" style="45" customWidth="1"/>
    <col min="15106" max="15287" width="8.85546875" style="45"/>
    <col min="15288" max="15288" width="19.85546875" style="45" bestFit="1" customWidth="1"/>
    <col min="15289" max="15291" width="0" style="45" hidden="1" customWidth="1"/>
    <col min="15292" max="15304" width="13.42578125" style="45" customWidth="1"/>
    <col min="15305" max="15305" width="2.7109375" style="45" customWidth="1"/>
    <col min="15306" max="15318" width="13.42578125" style="45" customWidth="1"/>
    <col min="15319" max="15319" width="2.7109375" style="45" customWidth="1"/>
    <col min="15320" max="15332" width="13.42578125" style="45" customWidth="1"/>
    <col min="15333" max="15333" width="2.7109375" style="45" customWidth="1"/>
    <col min="15334" max="15346" width="13.42578125" style="45" customWidth="1"/>
    <col min="15347" max="15347" width="2.7109375" style="45" customWidth="1"/>
    <col min="15348" max="15360" width="13.42578125" style="45" customWidth="1"/>
    <col min="15361" max="15361" width="2.7109375" style="45" customWidth="1"/>
    <col min="15362" max="15543" width="8.85546875" style="45"/>
    <col min="15544" max="15544" width="19.85546875" style="45" bestFit="1" customWidth="1"/>
    <col min="15545" max="15547" width="0" style="45" hidden="1" customWidth="1"/>
    <col min="15548" max="15560" width="13.42578125" style="45" customWidth="1"/>
    <col min="15561" max="15561" width="2.7109375" style="45" customWidth="1"/>
    <col min="15562" max="15574" width="13.42578125" style="45" customWidth="1"/>
    <col min="15575" max="15575" width="2.7109375" style="45" customWidth="1"/>
    <col min="15576" max="15588" width="13.42578125" style="45" customWidth="1"/>
    <col min="15589" max="15589" width="2.7109375" style="45" customWidth="1"/>
    <col min="15590" max="15602" width="13.42578125" style="45" customWidth="1"/>
    <col min="15603" max="15603" width="2.7109375" style="45" customWidth="1"/>
    <col min="15604" max="15616" width="13.42578125" style="45" customWidth="1"/>
    <col min="15617" max="15617" width="2.7109375" style="45" customWidth="1"/>
    <col min="15618" max="15799" width="8.85546875" style="45"/>
    <col min="15800" max="15800" width="19.85546875" style="45" bestFit="1" customWidth="1"/>
    <col min="15801" max="15803" width="0" style="45" hidden="1" customWidth="1"/>
    <col min="15804" max="15816" width="13.42578125" style="45" customWidth="1"/>
    <col min="15817" max="15817" width="2.7109375" style="45" customWidth="1"/>
    <col min="15818" max="15830" width="13.42578125" style="45" customWidth="1"/>
    <col min="15831" max="15831" width="2.7109375" style="45" customWidth="1"/>
    <col min="15832" max="15844" width="13.42578125" style="45" customWidth="1"/>
    <col min="15845" max="15845" width="2.7109375" style="45" customWidth="1"/>
    <col min="15846" max="15858" width="13.42578125" style="45" customWidth="1"/>
    <col min="15859" max="15859" width="2.7109375" style="45" customWidth="1"/>
    <col min="15860" max="15872" width="13.42578125" style="45" customWidth="1"/>
    <col min="15873" max="15873" width="2.7109375" style="45" customWidth="1"/>
    <col min="15874" max="16055" width="8.85546875" style="45"/>
    <col min="16056" max="16056" width="19.85546875" style="45" bestFit="1" customWidth="1"/>
    <col min="16057" max="16059" width="0" style="45" hidden="1" customWidth="1"/>
    <col min="16060" max="16072" width="13.42578125" style="45" customWidth="1"/>
    <col min="16073" max="16073" width="2.7109375" style="45" customWidth="1"/>
    <col min="16074" max="16086" width="13.42578125" style="45" customWidth="1"/>
    <col min="16087" max="16087" width="2.7109375" style="45" customWidth="1"/>
    <col min="16088" max="16100" width="13.42578125" style="45" customWidth="1"/>
    <col min="16101" max="16101" width="2.7109375" style="45" customWidth="1"/>
    <col min="16102" max="16114" width="13.42578125" style="45" customWidth="1"/>
    <col min="16115" max="16115" width="2.7109375" style="45" customWidth="1"/>
    <col min="16116" max="16128" width="13.42578125" style="45" customWidth="1"/>
    <col min="16129" max="16129" width="2.7109375" style="45" customWidth="1"/>
    <col min="16130" max="16384" width="8.85546875" style="45"/>
  </cols>
  <sheetData>
    <row r="1" spans="1:168" ht="12.75" customHeight="1" x14ac:dyDescent="0.2">
      <c r="A1" s="1345" t="s">
        <v>183</v>
      </c>
      <c r="B1" s="1345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69"/>
    </row>
    <row r="2" spans="1:168" s="49" customFormat="1" ht="32.25" customHeight="1" x14ac:dyDescent="0.3">
      <c r="A2" s="1345"/>
      <c r="B2" s="1345"/>
      <c r="C2" s="1353" t="s">
        <v>454</v>
      </c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43" t="s">
        <v>455</v>
      </c>
      <c r="P2" s="1340"/>
      <c r="Q2" s="1340"/>
      <c r="R2" s="1340"/>
      <c r="S2" s="1340"/>
      <c r="T2" s="1340"/>
      <c r="U2" s="1340"/>
      <c r="V2" s="1340"/>
      <c r="W2" s="1340"/>
      <c r="X2" s="1340"/>
      <c r="Y2" s="1340"/>
      <c r="Z2" s="1340"/>
      <c r="AA2" s="1343" t="s">
        <v>456</v>
      </c>
      <c r="AB2" s="1340"/>
      <c r="AC2" s="1340"/>
      <c r="AD2" s="1340"/>
      <c r="AE2" s="1340"/>
      <c r="AF2" s="1340"/>
      <c r="AG2" s="1340"/>
      <c r="AH2" s="1340"/>
      <c r="AI2" s="1340"/>
      <c r="AJ2" s="1340"/>
      <c r="AK2" s="1340"/>
      <c r="AL2" s="1340"/>
      <c r="AM2" s="1352" t="s">
        <v>457</v>
      </c>
      <c r="AN2" s="1352"/>
      <c r="AO2" s="1352"/>
      <c r="AP2" s="1352"/>
      <c r="AQ2" s="1352"/>
      <c r="AR2" s="1352"/>
      <c r="AS2" s="1352"/>
      <c r="AT2" s="1352"/>
      <c r="AU2" s="1352"/>
      <c r="AV2" s="1352"/>
      <c r="AW2" s="1352"/>
      <c r="AX2" s="1352"/>
      <c r="AY2" s="1352" t="s">
        <v>458</v>
      </c>
      <c r="AZ2" s="1352"/>
      <c r="BA2" s="1352"/>
      <c r="BB2" s="1352"/>
      <c r="BC2" s="1352"/>
      <c r="BD2" s="1352"/>
      <c r="BE2" s="1352"/>
      <c r="BF2" s="1352"/>
      <c r="BG2" s="1352"/>
      <c r="BH2" s="1352"/>
      <c r="BI2" s="1352"/>
      <c r="BJ2" s="1352"/>
      <c r="BK2" s="1352" t="s">
        <v>459</v>
      </c>
      <c r="BL2" s="1352"/>
      <c r="BM2" s="1352"/>
      <c r="BN2" s="1352"/>
      <c r="BO2" s="1352"/>
      <c r="BP2" s="1352"/>
      <c r="BQ2" s="1352"/>
      <c r="BR2" s="1352"/>
      <c r="BS2" s="1352"/>
      <c r="BT2" s="1352"/>
      <c r="BU2" s="1352"/>
      <c r="BV2" s="1352"/>
      <c r="BW2" s="1352" t="s">
        <v>460</v>
      </c>
      <c r="BX2" s="1352"/>
      <c r="BY2" s="1352"/>
      <c r="BZ2" s="1352"/>
      <c r="CA2" s="1352"/>
      <c r="CB2" s="1352"/>
      <c r="CC2" s="1352"/>
      <c r="CD2" s="1352"/>
      <c r="CE2" s="1352"/>
      <c r="CF2" s="1352"/>
      <c r="CG2" s="1352"/>
      <c r="CH2" s="1352"/>
      <c r="CI2" s="1352" t="s">
        <v>461</v>
      </c>
      <c r="CJ2" s="1352"/>
      <c r="CK2" s="1352"/>
      <c r="CL2" s="1352"/>
      <c r="CM2" s="1352"/>
      <c r="CN2" s="1352"/>
      <c r="CO2" s="1352"/>
      <c r="CP2" s="1352"/>
      <c r="CQ2" s="1352"/>
      <c r="CR2" s="1352"/>
      <c r="CS2" s="1352"/>
      <c r="CT2" s="1352"/>
      <c r="CU2" s="1352" t="s">
        <v>462</v>
      </c>
      <c r="CV2" s="1352"/>
      <c r="CW2" s="1352"/>
      <c r="CX2" s="1352"/>
      <c r="CY2" s="1352"/>
      <c r="CZ2" s="1352"/>
      <c r="DA2" s="1352"/>
      <c r="DB2" s="1352"/>
      <c r="DC2" s="1352"/>
      <c r="DD2" s="1352"/>
      <c r="DE2" s="1352"/>
      <c r="DF2" s="1352"/>
      <c r="DG2" s="1352" t="s">
        <v>463</v>
      </c>
      <c r="DH2" s="1352"/>
      <c r="DI2" s="1352"/>
      <c r="DJ2" s="1352"/>
      <c r="DK2" s="1352"/>
      <c r="DL2" s="1352"/>
      <c r="DM2" s="1352"/>
      <c r="DN2" s="1352"/>
      <c r="DO2" s="1352"/>
      <c r="DP2" s="1352"/>
      <c r="DQ2" s="1352"/>
      <c r="DR2" s="1352"/>
      <c r="DS2" s="191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</row>
    <row r="3" spans="1:168" ht="12.75" customHeight="1" x14ac:dyDescent="0.25">
      <c r="A3" s="1345"/>
      <c r="B3" s="1345"/>
      <c r="C3" s="495" t="s">
        <v>174</v>
      </c>
      <c r="D3" s="495" t="s">
        <v>175</v>
      </c>
      <c r="E3" s="495" t="s">
        <v>176</v>
      </c>
      <c r="F3" s="495" t="s">
        <v>177</v>
      </c>
      <c r="G3" s="495" t="s">
        <v>166</v>
      </c>
      <c r="H3" s="495" t="s">
        <v>167</v>
      </c>
      <c r="I3" s="495" t="s">
        <v>168</v>
      </c>
      <c r="J3" s="495" t="s">
        <v>169</v>
      </c>
      <c r="K3" s="495" t="s">
        <v>170</v>
      </c>
      <c r="L3" s="495" t="s">
        <v>171</v>
      </c>
      <c r="M3" s="495" t="s">
        <v>172</v>
      </c>
      <c r="N3" s="495" t="s">
        <v>173</v>
      </c>
      <c r="O3" s="546" t="s">
        <v>174</v>
      </c>
      <c r="P3" s="270" t="s">
        <v>175</v>
      </c>
      <c r="Q3" s="270" t="s">
        <v>176</v>
      </c>
      <c r="R3" s="270" t="s">
        <v>177</v>
      </c>
      <c r="S3" s="270" t="s">
        <v>166</v>
      </c>
      <c r="T3" s="270" t="s">
        <v>167</v>
      </c>
      <c r="U3" s="270" t="s">
        <v>168</v>
      </c>
      <c r="V3" s="270" t="s">
        <v>169</v>
      </c>
      <c r="W3" s="270" t="s">
        <v>170</v>
      </c>
      <c r="X3" s="270" t="s">
        <v>171</v>
      </c>
      <c r="Y3" s="270" t="s">
        <v>172</v>
      </c>
      <c r="Z3" s="270" t="s">
        <v>173</v>
      </c>
      <c r="AA3" s="270" t="s">
        <v>174</v>
      </c>
      <c r="AB3" s="270" t="s">
        <v>175</v>
      </c>
      <c r="AC3" s="270" t="s">
        <v>176</v>
      </c>
      <c r="AD3" s="270" t="s">
        <v>177</v>
      </c>
      <c r="AE3" s="270" t="s">
        <v>166</v>
      </c>
      <c r="AF3" s="270" t="s">
        <v>167</v>
      </c>
      <c r="AG3" s="270" t="s">
        <v>168</v>
      </c>
      <c r="AH3" s="270" t="s">
        <v>169</v>
      </c>
      <c r="AI3" s="270" t="s">
        <v>170</v>
      </c>
      <c r="AJ3" s="270" t="s">
        <v>171</v>
      </c>
      <c r="AK3" s="270" t="s">
        <v>172</v>
      </c>
      <c r="AL3" s="270" t="s">
        <v>173</v>
      </c>
      <c r="AM3" s="270" t="s">
        <v>174</v>
      </c>
      <c r="AN3" s="270" t="s">
        <v>175</v>
      </c>
      <c r="AO3" s="270" t="s">
        <v>176</v>
      </c>
      <c r="AP3" s="270" t="s">
        <v>177</v>
      </c>
      <c r="AQ3" s="270" t="s">
        <v>166</v>
      </c>
      <c r="AR3" s="270" t="s">
        <v>167</v>
      </c>
      <c r="AS3" s="270" t="s">
        <v>168</v>
      </c>
      <c r="AT3" s="270" t="s">
        <v>169</v>
      </c>
      <c r="AU3" s="270" t="s">
        <v>170</v>
      </c>
      <c r="AV3" s="270" t="s">
        <v>171</v>
      </c>
      <c r="AW3" s="270" t="s">
        <v>172</v>
      </c>
      <c r="AX3" s="270" t="s">
        <v>173</v>
      </c>
      <c r="AY3" s="270" t="s">
        <v>174</v>
      </c>
      <c r="AZ3" s="270" t="s">
        <v>175</v>
      </c>
      <c r="BA3" s="270" t="s">
        <v>176</v>
      </c>
      <c r="BB3" s="270" t="s">
        <v>177</v>
      </c>
      <c r="BC3" s="270" t="s">
        <v>166</v>
      </c>
      <c r="BD3" s="270" t="s">
        <v>167</v>
      </c>
      <c r="BE3" s="270" t="s">
        <v>168</v>
      </c>
      <c r="BF3" s="270" t="s">
        <v>169</v>
      </c>
      <c r="BG3" s="270" t="s">
        <v>170</v>
      </c>
      <c r="BH3" s="270" t="s">
        <v>171</v>
      </c>
      <c r="BI3" s="270" t="s">
        <v>172</v>
      </c>
      <c r="BJ3" s="270" t="s">
        <v>173</v>
      </c>
      <c r="BK3" s="270" t="s">
        <v>174</v>
      </c>
      <c r="BL3" s="270" t="s">
        <v>175</v>
      </c>
      <c r="BM3" s="270" t="s">
        <v>176</v>
      </c>
      <c r="BN3" s="270" t="s">
        <v>177</v>
      </c>
      <c r="BO3" s="270" t="s">
        <v>166</v>
      </c>
      <c r="BP3" s="270" t="s">
        <v>167</v>
      </c>
      <c r="BQ3" s="270" t="s">
        <v>168</v>
      </c>
      <c r="BR3" s="270" t="s">
        <v>169</v>
      </c>
      <c r="BS3" s="270" t="s">
        <v>170</v>
      </c>
      <c r="BT3" s="270" t="s">
        <v>171</v>
      </c>
      <c r="BU3" s="270" t="s">
        <v>172</v>
      </c>
      <c r="BV3" s="270" t="s">
        <v>173</v>
      </c>
      <c r="BW3" s="270" t="s">
        <v>174</v>
      </c>
      <c r="BX3" s="270" t="s">
        <v>175</v>
      </c>
      <c r="BY3" s="270" t="s">
        <v>176</v>
      </c>
      <c r="BZ3" s="270" t="s">
        <v>177</v>
      </c>
      <c r="CA3" s="270" t="s">
        <v>166</v>
      </c>
      <c r="CB3" s="270" t="s">
        <v>167</v>
      </c>
      <c r="CC3" s="270" t="s">
        <v>168</v>
      </c>
      <c r="CD3" s="270" t="s">
        <v>169</v>
      </c>
      <c r="CE3" s="270" t="s">
        <v>170</v>
      </c>
      <c r="CF3" s="270" t="s">
        <v>171</v>
      </c>
      <c r="CG3" s="270" t="s">
        <v>172</v>
      </c>
      <c r="CH3" s="270" t="s">
        <v>173</v>
      </c>
      <c r="CI3" s="270" t="s">
        <v>174</v>
      </c>
      <c r="CJ3" s="270" t="s">
        <v>175</v>
      </c>
      <c r="CK3" s="270" t="s">
        <v>176</v>
      </c>
      <c r="CL3" s="270" t="s">
        <v>177</v>
      </c>
      <c r="CM3" s="270" t="s">
        <v>166</v>
      </c>
      <c r="CN3" s="270" t="s">
        <v>167</v>
      </c>
      <c r="CO3" s="270" t="s">
        <v>168</v>
      </c>
      <c r="CP3" s="270" t="s">
        <v>169</v>
      </c>
      <c r="CQ3" s="270" t="s">
        <v>170</v>
      </c>
      <c r="CR3" s="270" t="s">
        <v>171</v>
      </c>
      <c r="CS3" s="270" t="s">
        <v>172</v>
      </c>
      <c r="CT3" s="270" t="s">
        <v>173</v>
      </c>
      <c r="CU3" s="270" t="s">
        <v>174</v>
      </c>
      <c r="CV3" s="270" t="s">
        <v>175</v>
      </c>
      <c r="CW3" s="270" t="s">
        <v>176</v>
      </c>
      <c r="CX3" s="270" t="s">
        <v>177</v>
      </c>
      <c r="CY3" s="270" t="s">
        <v>166</v>
      </c>
      <c r="CZ3" s="270" t="s">
        <v>167</v>
      </c>
      <c r="DA3" s="270" t="s">
        <v>168</v>
      </c>
      <c r="DB3" s="270" t="s">
        <v>169</v>
      </c>
      <c r="DC3" s="270" t="s">
        <v>170</v>
      </c>
      <c r="DD3" s="270" t="s">
        <v>171</v>
      </c>
      <c r="DE3" s="270" t="s">
        <v>172</v>
      </c>
      <c r="DF3" s="270" t="s">
        <v>173</v>
      </c>
      <c r="DG3" s="270" t="s">
        <v>174</v>
      </c>
      <c r="DH3" s="270" t="s">
        <v>175</v>
      </c>
      <c r="DI3" s="270" t="s">
        <v>176</v>
      </c>
      <c r="DJ3" s="270" t="s">
        <v>177</v>
      </c>
      <c r="DK3" s="270" t="s">
        <v>166</v>
      </c>
      <c r="DL3" s="270" t="s">
        <v>167</v>
      </c>
      <c r="DM3" s="270" t="s">
        <v>168</v>
      </c>
      <c r="DN3" s="270" t="s">
        <v>169</v>
      </c>
      <c r="DO3" s="270" t="s">
        <v>170</v>
      </c>
      <c r="DP3" s="270" t="s">
        <v>171</v>
      </c>
      <c r="DQ3" s="270" t="s">
        <v>172</v>
      </c>
      <c r="DR3" s="270" t="s">
        <v>173</v>
      </c>
      <c r="DS3" s="193"/>
    </row>
    <row r="4" spans="1:168" x14ac:dyDescent="0.2">
      <c r="A4" s="130" t="s">
        <v>93</v>
      </c>
      <c r="B4" s="131"/>
      <c r="C4" s="76">
        <f>Assumptions!$E8</f>
        <v>0.1</v>
      </c>
      <c r="D4" s="76">
        <f>Assumptions!$E8</f>
        <v>0.1</v>
      </c>
      <c r="E4" s="76">
        <f>Assumptions!$E8</f>
        <v>0.1</v>
      </c>
      <c r="F4" s="76">
        <f>Assumptions!$E8</f>
        <v>0.1</v>
      </c>
      <c r="G4" s="76">
        <f>Assumptions!$E8</f>
        <v>0.1</v>
      </c>
      <c r="H4" s="76">
        <f>Assumptions!$E8</f>
        <v>0.1</v>
      </c>
      <c r="I4" s="76">
        <f>Assumptions!$E8</f>
        <v>0.1</v>
      </c>
      <c r="J4" s="76">
        <f>Assumptions!$E8</f>
        <v>0.1</v>
      </c>
      <c r="K4" s="76">
        <f>Assumptions!$E8</f>
        <v>0.1</v>
      </c>
      <c r="L4" s="76">
        <f>Assumptions!$E8</f>
        <v>0.1</v>
      </c>
      <c r="M4" s="76">
        <f>Assumptions!$E8</f>
        <v>0.1</v>
      </c>
      <c r="N4" s="76">
        <f>Assumptions!$E8</f>
        <v>0.1</v>
      </c>
      <c r="O4" s="76">
        <f>Assumptions!$F8</f>
        <v>0.1</v>
      </c>
      <c r="P4" s="76">
        <f>Assumptions!$F8</f>
        <v>0.1</v>
      </c>
      <c r="Q4" s="76">
        <f>Assumptions!$F8</f>
        <v>0.1</v>
      </c>
      <c r="R4" s="76">
        <f>Assumptions!$F8</f>
        <v>0.1</v>
      </c>
      <c r="S4" s="76">
        <f>Assumptions!$F8</f>
        <v>0.1</v>
      </c>
      <c r="T4" s="76">
        <f>Assumptions!$F8</f>
        <v>0.1</v>
      </c>
      <c r="U4" s="76">
        <f>Assumptions!$F8</f>
        <v>0.1</v>
      </c>
      <c r="V4" s="76">
        <f>Assumptions!$F8</f>
        <v>0.1</v>
      </c>
      <c r="W4" s="76">
        <f>Assumptions!$F8</f>
        <v>0.1</v>
      </c>
      <c r="X4" s="76">
        <f>Assumptions!$F8</f>
        <v>0.1</v>
      </c>
      <c r="Y4" s="76">
        <f>Assumptions!$F8</f>
        <v>0.1</v>
      </c>
      <c r="Z4" s="76">
        <f>Assumptions!$F8</f>
        <v>0.1</v>
      </c>
      <c r="AA4" s="76">
        <f>Assumptions!$G8</f>
        <v>0.1</v>
      </c>
      <c r="AB4" s="76">
        <f>Assumptions!$G8</f>
        <v>0.1</v>
      </c>
      <c r="AC4" s="76">
        <f>Assumptions!$G8</f>
        <v>0.1</v>
      </c>
      <c r="AD4" s="76">
        <f>Assumptions!$G8</f>
        <v>0.1</v>
      </c>
      <c r="AE4" s="76">
        <f>Assumptions!$G8</f>
        <v>0.1</v>
      </c>
      <c r="AF4" s="76">
        <f>Assumptions!$G8</f>
        <v>0.1</v>
      </c>
      <c r="AG4" s="76">
        <f>Assumptions!$G8</f>
        <v>0.1</v>
      </c>
      <c r="AH4" s="76">
        <f>Assumptions!$G8</f>
        <v>0.1</v>
      </c>
      <c r="AI4" s="76">
        <f>Assumptions!$G8</f>
        <v>0.1</v>
      </c>
      <c r="AJ4" s="76">
        <f>Assumptions!$G8</f>
        <v>0.1</v>
      </c>
      <c r="AK4" s="76">
        <f>Assumptions!$G8</f>
        <v>0.1</v>
      </c>
      <c r="AL4" s="76">
        <f>Assumptions!$G8</f>
        <v>0.1</v>
      </c>
      <c r="AM4" s="76">
        <f>Assumptions!$H8</f>
        <v>0.1</v>
      </c>
      <c r="AN4" s="76">
        <f>Assumptions!$G8</f>
        <v>0.1</v>
      </c>
      <c r="AO4" s="76">
        <f>Assumptions!$G8</f>
        <v>0.1</v>
      </c>
      <c r="AP4" s="76">
        <f>Assumptions!$G8</f>
        <v>0.1</v>
      </c>
      <c r="AQ4" s="76">
        <f>Assumptions!$G8</f>
        <v>0.1</v>
      </c>
      <c r="AR4" s="76">
        <f>Assumptions!$G8</f>
        <v>0.1</v>
      </c>
      <c r="AS4" s="76">
        <f>Assumptions!$G8</f>
        <v>0.1</v>
      </c>
      <c r="AT4" s="76">
        <f>Assumptions!$G8</f>
        <v>0.1</v>
      </c>
      <c r="AU4" s="76">
        <f>Assumptions!$G8</f>
        <v>0.1</v>
      </c>
      <c r="AV4" s="76">
        <f>Assumptions!$G8</f>
        <v>0.1</v>
      </c>
      <c r="AW4" s="76">
        <f>Assumptions!$G8</f>
        <v>0.1</v>
      </c>
      <c r="AX4" s="76">
        <f>Assumptions!$G8</f>
        <v>0.1</v>
      </c>
      <c r="AY4" s="76">
        <f>Assumptions!$I8</f>
        <v>0.1</v>
      </c>
      <c r="AZ4" s="76">
        <f>Assumptions!$I8</f>
        <v>0.1</v>
      </c>
      <c r="BA4" s="76">
        <f>Assumptions!$I8</f>
        <v>0.1</v>
      </c>
      <c r="BB4" s="76">
        <f>Assumptions!$I8</f>
        <v>0.1</v>
      </c>
      <c r="BC4" s="76">
        <f>Assumptions!$I8</f>
        <v>0.1</v>
      </c>
      <c r="BD4" s="76">
        <f>Assumptions!$I8</f>
        <v>0.1</v>
      </c>
      <c r="BE4" s="76">
        <f>Assumptions!$I8</f>
        <v>0.1</v>
      </c>
      <c r="BF4" s="76">
        <f>Assumptions!$I8</f>
        <v>0.1</v>
      </c>
      <c r="BG4" s="76">
        <f>Assumptions!$I8</f>
        <v>0.1</v>
      </c>
      <c r="BH4" s="76">
        <f>Assumptions!$I8</f>
        <v>0.1</v>
      </c>
      <c r="BI4" s="76">
        <f>Assumptions!$I8</f>
        <v>0.1</v>
      </c>
      <c r="BJ4" s="76">
        <f>Assumptions!$I8</f>
        <v>0.1</v>
      </c>
      <c r="BK4" s="76">
        <f>Assumptions!$J8</f>
        <v>0.1</v>
      </c>
      <c r="BL4" s="76">
        <f>Assumptions!$J8</f>
        <v>0.1</v>
      </c>
      <c r="BM4" s="76">
        <f>Assumptions!$J8</f>
        <v>0.1</v>
      </c>
      <c r="BN4" s="76">
        <f>Assumptions!$J8</f>
        <v>0.1</v>
      </c>
      <c r="BO4" s="76">
        <f>Assumptions!$J8</f>
        <v>0.1</v>
      </c>
      <c r="BP4" s="76">
        <f>Assumptions!$J8</f>
        <v>0.1</v>
      </c>
      <c r="BQ4" s="76">
        <f>Assumptions!$J8</f>
        <v>0.1</v>
      </c>
      <c r="BR4" s="76">
        <f>Assumptions!$J8</f>
        <v>0.1</v>
      </c>
      <c r="BS4" s="76">
        <f>Assumptions!$J8</f>
        <v>0.1</v>
      </c>
      <c r="BT4" s="76">
        <f>Assumptions!$J8</f>
        <v>0.1</v>
      </c>
      <c r="BU4" s="76">
        <f>Assumptions!$J8</f>
        <v>0.1</v>
      </c>
      <c r="BV4" s="76">
        <f>Assumptions!$J8</f>
        <v>0.1</v>
      </c>
      <c r="BW4" s="76">
        <f>Assumptions!$K8</f>
        <v>0.1</v>
      </c>
      <c r="BX4" s="76">
        <f>Assumptions!$K8</f>
        <v>0.1</v>
      </c>
      <c r="BY4" s="76">
        <f>Assumptions!$K8</f>
        <v>0.1</v>
      </c>
      <c r="BZ4" s="76">
        <f>Assumptions!$K8</f>
        <v>0.1</v>
      </c>
      <c r="CA4" s="76">
        <f>Assumptions!$K8</f>
        <v>0.1</v>
      </c>
      <c r="CB4" s="76">
        <f>Assumptions!$K8</f>
        <v>0.1</v>
      </c>
      <c r="CC4" s="76">
        <f>Assumptions!$K8</f>
        <v>0.1</v>
      </c>
      <c r="CD4" s="76">
        <f>Assumptions!$K8</f>
        <v>0.1</v>
      </c>
      <c r="CE4" s="76">
        <f>Assumptions!$K8</f>
        <v>0.1</v>
      </c>
      <c r="CF4" s="76">
        <f>Assumptions!$K8</f>
        <v>0.1</v>
      </c>
      <c r="CG4" s="76">
        <f>Assumptions!$K8</f>
        <v>0.1</v>
      </c>
      <c r="CH4" s="76">
        <f>Assumptions!$K8</f>
        <v>0.1</v>
      </c>
      <c r="CI4" s="76">
        <f>Assumptions!$L8</f>
        <v>0.1</v>
      </c>
      <c r="CJ4" s="76">
        <f>Assumptions!$L8</f>
        <v>0.1</v>
      </c>
      <c r="CK4" s="76">
        <f>Assumptions!$L8</f>
        <v>0.1</v>
      </c>
      <c r="CL4" s="76">
        <f>Assumptions!$L8</f>
        <v>0.1</v>
      </c>
      <c r="CM4" s="76">
        <f>Assumptions!$L8</f>
        <v>0.1</v>
      </c>
      <c r="CN4" s="76">
        <f>Assumptions!$L8</f>
        <v>0.1</v>
      </c>
      <c r="CO4" s="76">
        <f>Assumptions!$L8</f>
        <v>0.1</v>
      </c>
      <c r="CP4" s="76">
        <f>Assumptions!$L8</f>
        <v>0.1</v>
      </c>
      <c r="CQ4" s="76">
        <f>Assumptions!$L8</f>
        <v>0.1</v>
      </c>
      <c r="CR4" s="76">
        <f>Assumptions!$L8</f>
        <v>0.1</v>
      </c>
      <c r="CS4" s="76">
        <f>Assumptions!$L8</f>
        <v>0.1</v>
      </c>
      <c r="CT4" s="76">
        <f>Assumptions!$L8</f>
        <v>0.1</v>
      </c>
      <c r="CU4" s="76">
        <f>Assumptions!$M8</f>
        <v>0.1</v>
      </c>
      <c r="CV4" s="76">
        <f>Assumptions!$M8</f>
        <v>0.1</v>
      </c>
      <c r="CW4" s="76">
        <f>Assumptions!$M8</f>
        <v>0.1</v>
      </c>
      <c r="CX4" s="76">
        <f>Assumptions!$M8</f>
        <v>0.1</v>
      </c>
      <c r="CY4" s="76">
        <f>Assumptions!$M8</f>
        <v>0.1</v>
      </c>
      <c r="CZ4" s="76">
        <f>Assumptions!$M8</f>
        <v>0.1</v>
      </c>
      <c r="DA4" s="76">
        <f>Assumptions!$M8</f>
        <v>0.1</v>
      </c>
      <c r="DB4" s="76">
        <f>Assumptions!$M8</f>
        <v>0.1</v>
      </c>
      <c r="DC4" s="76">
        <f>Assumptions!$M8</f>
        <v>0.1</v>
      </c>
      <c r="DD4" s="76">
        <f>Assumptions!$M8</f>
        <v>0.1</v>
      </c>
      <c r="DE4" s="76">
        <f>Assumptions!$M8</f>
        <v>0.1</v>
      </c>
      <c r="DF4" s="76">
        <f>Assumptions!$M8</f>
        <v>0.1</v>
      </c>
      <c r="DG4" s="76">
        <f>Assumptions!$N8</f>
        <v>0.1</v>
      </c>
      <c r="DH4" s="76">
        <f>Assumptions!$N8</f>
        <v>0.1</v>
      </c>
      <c r="DI4" s="76">
        <f>Assumptions!$N8</f>
        <v>0.1</v>
      </c>
      <c r="DJ4" s="76">
        <f>Assumptions!$N8</f>
        <v>0.1</v>
      </c>
      <c r="DK4" s="76">
        <f>Assumptions!$N8</f>
        <v>0.1</v>
      </c>
      <c r="DL4" s="76">
        <f>Assumptions!$N8</f>
        <v>0.1</v>
      </c>
      <c r="DM4" s="76">
        <f>Assumptions!$N8</f>
        <v>0.1</v>
      </c>
      <c r="DN4" s="76">
        <f>Assumptions!$N8</f>
        <v>0.1</v>
      </c>
      <c r="DO4" s="76">
        <f>Assumptions!$N8</f>
        <v>0.1</v>
      </c>
      <c r="DP4" s="76">
        <f>Assumptions!$N8</f>
        <v>0.1</v>
      </c>
      <c r="DQ4" s="76">
        <f>Assumptions!$N8</f>
        <v>0.1</v>
      </c>
      <c r="DR4" s="76">
        <f>Assumptions!$N8</f>
        <v>0.1</v>
      </c>
    </row>
    <row r="5" spans="1:168" x14ac:dyDescent="0.2">
      <c r="A5" s="130"/>
      <c r="B5" s="131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</row>
    <row r="6" spans="1:168" ht="18.75" x14ac:dyDescent="0.3">
      <c r="A6" s="1354" t="s">
        <v>471</v>
      </c>
      <c r="B6" s="1355"/>
      <c r="C6" s="107">
        <f>C12+C27</f>
        <v>0</v>
      </c>
      <c r="D6" s="107">
        <f t="shared" ref="D6:BO6" si="0">D12+D27</f>
        <v>0</v>
      </c>
      <c r="E6" s="107">
        <f t="shared" si="0"/>
        <v>0</v>
      </c>
      <c r="F6" s="107">
        <f t="shared" si="0"/>
        <v>0</v>
      </c>
      <c r="G6" s="107">
        <f t="shared" si="0"/>
        <v>0</v>
      </c>
      <c r="H6" s="107">
        <f t="shared" si="0"/>
        <v>0</v>
      </c>
      <c r="I6" s="107">
        <f t="shared" si="0"/>
        <v>0</v>
      </c>
      <c r="J6" s="107">
        <f t="shared" si="0"/>
        <v>0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480">
        <f t="shared" si="0"/>
        <v>0</v>
      </c>
      <c r="O6" s="345">
        <f t="shared" si="0"/>
        <v>0</v>
      </c>
      <c r="P6" s="106">
        <f t="shared" si="0"/>
        <v>0</v>
      </c>
      <c r="Q6" s="106">
        <f t="shared" si="0"/>
        <v>0</v>
      </c>
      <c r="R6" s="106">
        <f t="shared" si="0"/>
        <v>0</v>
      </c>
      <c r="S6" s="106">
        <f t="shared" si="0"/>
        <v>0</v>
      </c>
      <c r="T6" s="106">
        <f t="shared" si="0"/>
        <v>0</v>
      </c>
      <c r="U6" s="106">
        <f t="shared" si="0"/>
        <v>0</v>
      </c>
      <c r="V6" s="106">
        <f t="shared" si="0"/>
        <v>0</v>
      </c>
      <c r="W6" s="106">
        <f t="shared" si="0"/>
        <v>0</v>
      </c>
      <c r="X6" s="106">
        <f t="shared" si="0"/>
        <v>0</v>
      </c>
      <c r="Y6" s="106">
        <f t="shared" si="0"/>
        <v>0</v>
      </c>
      <c r="Z6" s="108">
        <f t="shared" si="0"/>
        <v>0</v>
      </c>
      <c r="AA6" s="107">
        <f t="shared" si="0"/>
        <v>0</v>
      </c>
      <c r="AB6" s="106">
        <f t="shared" si="0"/>
        <v>0</v>
      </c>
      <c r="AC6" s="106">
        <f t="shared" si="0"/>
        <v>0</v>
      </c>
      <c r="AD6" s="106">
        <f t="shared" si="0"/>
        <v>0</v>
      </c>
      <c r="AE6" s="106">
        <f t="shared" si="0"/>
        <v>0</v>
      </c>
      <c r="AF6" s="106">
        <f t="shared" si="0"/>
        <v>0</v>
      </c>
      <c r="AG6" s="106">
        <f t="shared" si="0"/>
        <v>0</v>
      </c>
      <c r="AH6" s="106">
        <f t="shared" si="0"/>
        <v>0</v>
      </c>
      <c r="AI6" s="106">
        <f t="shared" si="0"/>
        <v>0</v>
      </c>
      <c r="AJ6" s="106">
        <f t="shared" si="0"/>
        <v>0</v>
      </c>
      <c r="AK6" s="106">
        <f t="shared" si="0"/>
        <v>0</v>
      </c>
      <c r="AL6" s="108">
        <f t="shared" si="0"/>
        <v>0</v>
      </c>
      <c r="AM6" s="107">
        <f t="shared" si="0"/>
        <v>0</v>
      </c>
      <c r="AN6" s="106">
        <f t="shared" si="0"/>
        <v>0</v>
      </c>
      <c r="AO6" s="106">
        <f t="shared" si="0"/>
        <v>0</v>
      </c>
      <c r="AP6" s="106">
        <f t="shared" si="0"/>
        <v>0</v>
      </c>
      <c r="AQ6" s="106">
        <f t="shared" si="0"/>
        <v>0</v>
      </c>
      <c r="AR6" s="106">
        <f t="shared" si="0"/>
        <v>0</v>
      </c>
      <c r="AS6" s="106">
        <f t="shared" si="0"/>
        <v>0</v>
      </c>
      <c r="AT6" s="106">
        <f t="shared" si="0"/>
        <v>0</v>
      </c>
      <c r="AU6" s="106">
        <f t="shared" si="0"/>
        <v>0</v>
      </c>
      <c r="AV6" s="106">
        <f t="shared" si="0"/>
        <v>0</v>
      </c>
      <c r="AW6" s="106">
        <f t="shared" si="0"/>
        <v>0</v>
      </c>
      <c r="AX6" s="108">
        <f t="shared" si="0"/>
        <v>0</v>
      </c>
      <c r="AY6" s="107">
        <f t="shared" si="0"/>
        <v>0</v>
      </c>
      <c r="AZ6" s="106">
        <f t="shared" si="0"/>
        <v>0</v>
      </c>
      <c r="BA6" s="106">
        <f t="shared" si="0"/>
        <v>0</v>
      </c>
      <c r="BB6" s="106">
        <f t="shared" si="0"/>
        <v>0</v>
      </c>
      <c r="BC6" s="106">
        <f t="shared" si="0"/>
        <v>0</v>
      </c>
      <c r="BD6" s="106">
        <f t="shared" si="0"/>
        <v>0</v>
      </c>
      <c r="BE6" s="106">
        <f t="shared" si="0"/>
        <v>0</v>
      </c>
      <c r="BF6" s="106">
        <f t="shared" si="0"/>
        <v>0</v>
      </c>
      <c r="BG6" s="106">
        <f t="shared" si="0"/>
        <v>0</v>
      </c>
      <c r="BH6" s="106">
        <f t="shared" si="0"/>
        <v>0</v>
      </c>
      <c r="BI6" s="106">
        <f t="shared" si="0"/>
        <v>0</v>
      </c>
      <c r="BJ6" s="108">
        <f t="shared" si="0"/>
        <v>0</v>
      </c>
      <c r="BK6" s="107">
        <f t="shared" si="0"/>
        <v>0</v>
      </c>
      <c r="BL6" s="106">
        <f t="shared" si="0"/>
        <v>0</v>
      </c>
      <c r="BM6" s="106">
        <f t="shared" si="0"/>
        <v>0</v>
      </c>
      <c r="BN6" s="106">
        <f t="shared" si="0"/>
        <v>0</v>
      </c>
      <c r="BO6" s="106">
        <f t="shared" si="0"/>
        <v>0</v>
      </c>
      <c r="BP6" s="106">
        <f t="shared" ref="BP6:DR6" si="1">BP12+BP27</f>
        <v>0</v>
      </c>
      <c r="BQ6" s="106">
        <f t="shared" si="1"/>
        <v>0</v>
      </c>
      <c r="BR6" s="106">
        <f t="shared" si="1"/>
        <v>0</v>
      </c>
      <c r="BS6" s="106">
        <f t="shared" si="1"/>
        <v>0</v>
      </c>
      <c r="BT6" s="106">
        <f t="shared" si="1"/>
        <v>0</v>
      </c>
      <c r="BU6" s="106">
        <f t="shared" si="1"/>
        <v>0</v>
      </c>
      <c r="BV6" s="108">
        <f t="shared" si="1"/>
        <v>0</v>
      </c>
      <c r="BW6" s="107">
        <f t="shared" si="1"/>
        <v>0</v>
      </c>
      <c r="BX6" s="106">
        <f t="shared" si="1"/>
        <v>0</v>
      </c>
      <c r="BY6" s="106">
        <f t="shared" si="1"/>
        <v>0</v>
      </c>
      <c r="BZ6" s="106">
        <f t="shared" si="1"/>
        <v>0</v>
      </c>
      <c r="CA6" s="106">
        <f t="shared" si="1"/>
        <v>0</v>
      </c>
      <c r="CB6" s="106">
        <f t="shared" si="1"/>
        <v>0</v>
      </c>
      <c r="CC6" s="106">
        <f t="shared" si="1"/>
        <v>0</v>
      </c>
      <c r="CD6" s="106">
        <f t="shared" si="1"/>
        <v>0</v>
      </c>
      <c r="CE6" s="106">
        <f t="shared" si="1"/>
        <v>0</v>
      </c>
      <c r="CF6" s="106">
        <f t="shared" si="1"/>
        <v>0</v>
      </c>
      <c r="CG6" s="106">
        <f t="shared" si="1"/>
        <v>0</v>
      </c>
      <c r="CH6" s="108">
        <f t="shared" si="1"/>
        <v>0</v>
      </c>
      <c r="CI6" s="107">
        <f t="shared" si="1"/>
        <v>0</v>
      </c>
      <c r="CJ6" s="106">
        <f t="shared" si="1"/>
        <v>0</v>
      </c>
      <c r="CK6" s="106">
        <f t="shared" si="1"/>
        <v>0</v>
      </c>
      <c r="CL6" s="106">
        <f t="shared" si="1"/>
        <v>0</v>
      </c>
      <c r="CM6" s="106">
        <f t="shared" si="1"/>
        <v>0</v>
      </c>
      <c r="CN6" s="106">
        <f t="shared" si="1"/>
        <v>0</v>
      </c>
      <c r="CO6" s="106">
        <f t="shared" si="1"/>
        <v>0</v>
      </c>
      <c r="CP6" s="106">
        <f t="shared" si="1"/>
        <v>0</v>
      </c>
      <c r="CQ6" s="106">
        <f t="shared" si="1"/>
        <v>0</v>
      </c>
      <c r="CR6" s="106">
        <f t="shared" si="1"/>
        <v>0</v>
      </c>
      <c r="CS6" s="106">
        <f t="shared" si="1"/>
        <v>0</v>
      </c>
      <c r="CT6" s="108">
        <f t="shared" si="1"/>
        <v>0</v>
      </c>
      <c r="CU6" s="107">
        <f t="shared" si="1"/>
        <v>0</v>
      </c>
      <c r="CV6" s="106">
        <f t="shared" si="1"/>
        <v>0</v>
      </c>
      <c r="CW6" s="106">
        <f t="shared" si="1"/>
        <v>0</v>
      </c>
      <c r="CX6" s="106">
        <f t="shared" si="1"/>
        <v>0</v>
      </c>
      <c r="CY6" s="106">
        <f t="shared" si="1"/>
        <v>0</v>
      </c>
      <c r="CZ6" s="106">
        <f t="shared" si="1"/>
        <v>0</v>
      </c>
      <c r="DA6" s="106">
        <f t="shared" si="1"/>
        <v>0</v>
      </c>
      <c r="DB6" s="106">
        <f t="shared" si="1"/>
        <v>0</v>
      </c>
      <c r="DC6" s="106">
        <f t="shared" si="1"/>
        <v>0</v>
      </c>
      <c r="DD6" s="106">
        <f t="shared" si="1"/>
        <v>0</v>
      </c>
      <c r="DE6" s="106">
        <f t="shared" si="1"/>
        <v>0</v>
      </c>
      <c r="DF6" s="108">
        <f t="shared" si="1"/>
        <v>0</v>
      </c>
      <c r="DG6" s="107">
        <f t="shared" si="1"/>
        <v>0</v>
      </c>
      <c r="DH6" s="106">
        <f t="shared" si="1"/>
        <v>0</v>
      </c>
      <c r="DI6" s="106">
        <f t="shared" si="1"/>
        <v>0</v>
      </c>
      <c r="DJ6" s="106">
        <f t="shared" si="1"/>
        <v>0</v>
      </c>
      <c r="DK6" s="106">
        <f t="shared" si="1"/>
        <v>0</v>
      </c>
      <c r="DL6" s="106">
        <f t="shared" si="1"/>
        <v>0</v>
      </c>
      <c r="DM6" s="106">
        <f t="shared" si="1"/>
        <v>0</v>
      </c>
      <c r="DN6" s="106">
        <f t="shared" si="1"/>
        <v>0</v>
      </c>
      <c r="DO6" s="106">
        <f t="shared" si="1"/>
        <v>0</v>
      </c>
      <c r="DP6" s="106">
        <f t="shared" si="1"/>
        <v>0</v>
      </c>
      <c r="DQ6" s="106">
        <f t="shared" si="1"/>
        <v>0</v>
      </c>
      <c r="DR6" s="108">
        <f t="shared" si="1"/>
        <v>0</v>
      </c>
    </row>
    <row r="7" spans="1:168" ht="18.75" x14ac:dyDescent="0.3">
      <c r="A7" s="1354" t="s">
        <v>356</v>
      </c>
      <c r="B7" s="1355"/>
      <c r="C7" s="107">
        <f>C16+C31</f>
        <v>0</v>
      </c>
      <c r="D7" s="107">
        <f t="shared" ref="D7:BO7" si="2">D16+D31</f>
        <v>0</v>
      </c>
      <c r="E7" s="107">
        <f t="shared" si="2"/>
        <v>0</v>
      </c>
      <c r="F7" s="107">
        <f t="shared" si="2"/>
        <v>0</v>
      </c>
      <c r="G7" s="107">
        <f t="shared" si="2"/>
        <v>0</v>
      </c>
      <c r="H7" s="107">
        <f t="shared" si="2"/>
        <v>0</v>
      </c>
      <c r="I7" s="107">
        <f t="shared" si="2"/>
        <v>0</v>
      </c>
      <c r="J7" s="107">
        <f t="shared" si="2"/>
        <v>0</v>
      </c>
      <c r="K7" s="107">
        <f t="shared" si="2"/>
        <v>0</v>
      </c>
      <c r="L7" s="107">
        <f t="shared" si="2"/>
        <v>0</v>
      </c>
      <c r="M7" s="107">
        <f t="shared" si="2"/>
        <v>0</v>
      </c>
      <c r="N7" s="480">
        <f t="shared" si="2"/>
        <v>0</v>
      </c>
      <c r="O7" s="345">
        <f t="shared" si="2"/>
        <v>0</v>
      </c>
      <c r="P7" s="106">
        <f t="shared" si="2"/>
        <v>0</v>
      </c>
      <c r="Q7" s="106">
        <f t="shared" si="2"/>
        <v>0</v>
      </c>
      <c r="R7" s="106">
        <f t="shared" si="2"/>
        <v>0</v>
      </c>
      <c r="S7" s="106">
        <f t="shared" si="2"/>
        <v>0</v>
      </c>
      <c r="T7" s="106">
        <f t="shared" si="2"/>
        <v>0</v>
      </c>
      <c r="U7" s="106">
        <f t="shared" si="2"/>
        <v>0</v>
      </c>
      <c r="V7" s="106">
        <f t="shared" si="2"/>
        <v>0</v>
      </c>
      <c r="W7" s="106">
        <f t="shared" si="2"/>
        <v>0</v>
      </c>
      <c r="X7" s="106">
        <f t="shared" si="2"/>
        <v>0</v>
      </c>
      <c r="Y7" s="106">
        <f t="shared" si="2"/>
        <v>0</v>
      </c>
      <c r="Z7" s="108">
        <f t="shared" si="2"/>
        <v>0</v>
      </c>
      <c r="AA7" s="107">
        <f t="shared" si="2"/>
        <v>0</v>
      </c>
      <c r="AB7" s="106">
        <f t="shared" si="2"/>
        <v>0</v>
      </c>
      <c r="AC7" s="106">
        <f t="shared" si="2"/>
        <v>0</v>
      </c>
      <c r="AD7" s="106">
        <f t="shared" si="2"/>
        <v>0</v>
      </c>
      <c r="AE7" s="106">
        <f t="shared" si="2"/>
        <v>0</v>
      </c>
      <c r="AF7" s="106">
        <f t="shared" si="2"/>
        <v>0</v>
      </c>
      <c r="AG7" s="106">
        <f t="shared" si="2"/>
        <v>0</v>
      </c>
      <c r="AH7" s="106">
        <f t="shared" si="2"/>
        <v>0</v>
      </c>
      <c r="AI7" s="106">
        <f t="shared" si="2"/>
        <v>0</v>
      </c>
      <c r="AJ7" s="106">
        <f t="shared" si="2"/>
        <v>0</v>
      </c>
      <c r="AK7" s="106">
        <f t="shared" si="2"/>
        <v>0</v>
      </c>
      <c r="AL7" s="108">
        <f t="shared" si="2"/>
        <v>0</v>
      </c>
      <c r="AM7" s="107">
        <f t="shared" si="2"/>
        <v>0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0</v>
      </c>
      <c r="AS7" s="106">
        <f t="shared" si="2"/>
        <v>0</v>
      </c>
      <c r="AT7" s="106">
        <f t="shared" si="2"/>
        <v>0</v>
      </c>
      <c r="AU7" s="106">
        <f t="shared" si="2"/>
        <v>0</v>
      </c>
      <c r="AV7" s="106">
        <f t="shared" si="2"/>
        <v>0</v>
      </c>
      <c r="AW7" s="106">
        <f t="shared" si="2"/>
        <v>0</v>
      </c>
      <c r="AX7" s="108">
        <f t="shared" si="2"/>
        <v>0</v>
      </c>
      <c r="AY7" s="107">
        <f t="shared" si="2"/>
        <v>0</v>
      </c>
      <c r="AZ7" s="106">
        <f t="shared" si="2"/>
        <v>0</v>
      </c>
      <c r="BA7" s="106">
        <f t="shared" si="2"/>
        <v>0</v>
      </c>
      <c r="BB7" s="106">
        <f t="shared" si="2"/>
        <v>0</v>
      </c>
      <c r="BC7" s="106">
        <f t="shared" si="2"/>
        <v>0</v>
      </c>
      <c r="BD7" s="106">
        <f t="shared" si="2"/>
        <v>0</v>
      </c>
      <c r="BE7" s="106">
        <f t="shared" si="2"/>
        <v>0</v>
      </c>
      <c r="BF7" s="106">
        <f t="shared" si="2"/>
        <v>0</v>
      </c>
      <c r="BG7" s="106">
        <f t="shared" si="2"/>
        <v>0</v>
      </c>
      <c r="BH7" s="106">
        <f t="shared" si="2"/>
        <v>0</v>
      </c>
      <c r="BI7" s="106">
        <f t="shared" si="2"/>
        <v>0</v>
      </c>
      <c r="BJ7" s="108">
        <f t="shared" si="2"/>
        <v>0</v>
      </c>
      <c r="BK7" s="107">
        <f t="shared" si="2"/>
        <v>0</v>
      </c>
      <c r="BL7" s="106">
        <f t="shared" si="2"/>
        <v>0</v>
      </c>
      <c r="BM7" s="106">
        <f t="shared" si="2"/>
        <v>0</v>
      </c>
      <c r="BN7" s="106">
        <f t="shared" si="2"/>
        <v>0</v>
      </c>
      <c r="BO7" s="106">
        <f t="shared" si="2"/>
        <v>0</v>
      </c>
      <c r="BP7" s="106">
        <f t="shared" ref="BP7:DR7" si="3">BP16+BP31</f>
        <v>0</v>
      </c>
      <c r="BQ7" s="106">
        <f t="shared" si="3"/>
        <v>0</v>
      </c>
      <c r="BR7" s="106">
        <f t="shared" si="3"/>
        <v>0</v>
      </c>
      <c r="BS7" s="106">
        <f t="shared" si="3"/>
        <v>0</v>
      </c>
      <c r="BT7" s="106">
        <f t="shared" si="3"/>
        <v>0</v>
      </c>
      <c r="BU7" s="106">
        <f t="shared" si="3"/>
        <v>0</v>
      </c>
      <c r="BV7" s="108">
        <f t="shared" si="3"/>
        <v>0</v>
      </c>
      <c r="BW7" s="107">
        <f t="shared" si="3"/>
        <v>0</v>
      </c>
      <c r="BX7" s="106">
        <f t="shared" si="3"/>
        <v>0</v>
      </c>
      <c r="BY7" s="106">
        <f t="shared" si="3"/>
        <v>0</v>
      </c>
      <c r="BZ7" s="106">
        <f t="shared" si="3"/>
        <v>0</v>
      </c>
      <c r="CA7" s="106">
        <f t="shared" si="3"/>
        <v>0</v>
      </c>
      <c r="CB7" s="106">
        <f t="shared" si="3"/>
        <v>0</v>
      </c>
      <c r="CC7" s="106">
        <f t="shared" si="3"/>
        <v>0</v>
      </c>
      <c r="CD7" s="106">
        <f t="shared" si="3"/>
        <v>0</v>
      </c>
      <c r="CE7" s="106">
        <f t="shared" si="3"/>
        <v>0</v>
      </c>
      <c r="CF7" s="106">
        <f t="shared" si="3"/>
        <v>0</v>
      </c>
      <c r="CG7" s="106">
        <f t="shared" si="3"/>
        <v>0</v>
      </c>
      <c r="CH7" s="108">
        <f t="shared" si="3"/>
        <v>0</v>
      </c>
      <c r="CI7" s="107">
        <f t="shared" si="3"/>
        <v>0</v>
      </c>
      <c r="CJ7" s="106">
        <f t="shared" si="3"/>
        <v>0</v>
      </c>
      <c r="CK7" s="106">
        <f t="shared" si="3"/>
        <v>0</v>
      </c>
      <c r="CL7" s="106">
        <f t="shared" si="3"/>
        <v>0</v>
      </c>
      <c r="CM7" s="106">
        <f t="shared" si="3"/>
        <v>0</v>
      </c>
      <c r="CN7" s="106">
        <f t="shared" si="3"/>
        <v>0</v>
      </c>
      <c r="CO7" s="106">
        <f t="shared" si="3"/>
        <v>0</v>
      </c>
      <c r="CP7" s="106">
        <f t="shared" si="3"/>
        <v>0</v>
      </c>
      <c r="CQ7" s="106">
        <f t="shared" si="3"/>
        <v>0</v>
      </c>
      <c r="CR7" s="106">
        <f t="shared" si="3"/>
        <v>0</v>
      </c>
      <c r="CS7" s="106">
        <f t="shared" si="3"/>
        <v>0</v>
      </c>
      <c r="CT7" s="108">
        <f t="shared" si="3"/>
        <v>0</v>
      </c>
      <c r="CU7" s="107">
        <f t="shared" si="3"/>
        <v>0</v>
      </c>
      <c r="CV7" s="106">
        <f t="shared" si="3"/>
        <v>0</v>
      </c>
      <c r="CW7" s="106">
        <f t="shared" si="3"/>
        <v>0</v>
      </c>
      <c r="CX7" s="106">
        <f t="shared" si="3"/>
        <v>0</v>
      </c>
      <c r="CY7" s="106">
        <f t="shared" si="3"/>
        <v>0</v>
      </c>
      <c r="CZ7" s="106">
        <f t="shared" si="3"/>
        <v>0</v>
      </c>
      <c r="DA7" s="106">
        <f t="shared" si="3"/>
        <v>0</v>
      </c>
      <c r="DB7" s="106">
        <f t="shared" si="3"/>
        <v>0</v>
      </c>
      <c r="DC7" s="106">
        <f t="shared" si="3"/>
        <v>0</v>
      </c>
      <c r="DD7" s="106">
        <f t="shared" si="3"/>
        <v>0</v>
      </c>
      <c r="DE7" s="106">
        <f t="shared" si="3"/>
        <v>0</v>
      </c>
      <c r="DF7" s="108">
        <f t="shared" si="3"/>
        <v>0</v>
      </c>
      <c r="DG7" s="107">
        <f t="shared" si="3"/>
        <v>0</v>
      </c>
      <c r="DH7" s="106">
        <f t="shared" si="3"/>
        <v>0</v>
      </c>
      <c r="DI7" s="106">
        <f t="shared" si="3"/>
        <v>0</v>
      </c>
      <c r="DJ7" s="106">
        <f t="shared" si="3"/>
        <v>0</v>
      </c>
      <c r="DK7" s="106">
        <f t="shared" si="3"/>
        <v>0</v>
      </c>
      <c r="DL7" s="106">
        <f t="shared" si="3"/>
        <v>0</v>
      </c>
      <c r="DM7" s="106">
        <f t="shared" si="3"/>
        <v>0</v>
      </c>
      <c r="DN7" s="106">
        <f t="shared" si="3"/>
        <v>0</v>
      </c>
      <c r="DO7" s="106">
        <f t="shared" si="3"/>
        <v>0</v>
      </c>
      <c r="DP7" s="106">
        <f t="shared" si="3"/>
        <v>0</v>
      </c>
      <c r="DQ7" s="106">
        <f t="shared" si="3"/>
        <v>0</v>
      </c>
      <c r="DR7" s="108">
        <f t="shared" si="3"/>
        <v>0</v>
      </c>
    </row>
    <row r="8" spans="1:168" ht="18.75" x14ac:dyDescent="0.3">
      <c r="A8" s="1354" t="s">
        <v>357</v>
      </c>
      <c r="B8" s="1355"/>
      <c r="C8" s="107">
        <f>C17+C32</f>
        <v>0</v>
      </c>
      <c r="D8" s="107">
        <f t="shared" ref="D8:BO8" si="4">D17+D32</f>
        <v>0</v>
      </c>
      <c r="E8" s="107">
        <f t="shared" si="4"/>
        <v>0</v>
      </c>
      <c r="F8" s="107">
        <f t="shared" si="4"/>
        <v>0</v>
      </c>
      <c r="G8" s="107">
        <f t="shared" si="4"/>
        <v>0</v>
      </c>
      <c r="H8" s="107">
        <f t="shared" si="4"/>
        <v>0</v>
      </c>
      <c r="I8" s="107">
        <f t="shared" si="4"/>
        <v>0</v>
      </c>
      <c r="J8" s="107">
        <f t="shared" si="4"/>
        <v>0</v>
      </c>
      <c r="K8" s="107">
        <f t="shared" si="4"/>
        <v>0</v>
      </c>
      <c r="L8" s="107">
        <f t="shared" si="4"/>
        <v>0</v>
      </c>
      <c r="M8" s="107">
        <f t="shared" si="4"/>
        <v>0</v>
      </c>
      <c r="N8" s="480">
        <f t="shared" si="4"/>
        <v>0</v>
      </c>
      <c r="O8" s="345">
        <f t="shared" si="4"/>
        <v>0</v>
      </c>
      <c r="P8" s="106">
        <f t="shared" si="4"/>
        <v>0</v>
      </c>
      <c r="Q8" s="106">
        <f t="shared" si="4"/>
        <v>0</v>
      </c>
      <c r="R8" s="106">
        <f t="shared" si="4"/>
        <v>0</v>
      </c>
      <c r="S8" s="106">
        <f t="shared" si="4"/>
        <v>0</v>
      </c>
      <c r="T8" s="106">
        <f t="shared" si="4"/>
        <v>0</v>
      </c>
      <c r="U8" s="106">
        <f t="shared" si="4"/>
        <v>0</v>
      </c>
      <c r="V8" s="106">
        <f t="shared" si="4"/>
        <v>0</v>
      </c>
      <c r="W8" s="106">
        <f t="shared" si="4"/>
        <v>0</v>
      </c>
      <c r="X8" s="106">
        <f t="shared" si="4"/>
        <v>0</v>
      </c>
      <c r="Y8" s="106">
        <f t="shared" si="4"/>
        <v>0</v>
      </c>
      <c r="Z8" s="108">
        <f t="shared" si="4"/>
        <v>0</v>
      </c>
      <c r="AA8" s="107">
        <f t="shared" si="4"/>
        <v>0</v>
      </c>
      <c r="AB8" s="106">
        <f t="shared" si="4"/>
        <v>0</v>
      </c>
      <c r="AC8" s="106">
        <f t="shared" si="4"/>
        <v>0</v>
      </c>
      <c r="AD8" s="106">
        <f t="shared" si="4"/>
        <v>0</v>
      </c>
      <c r="AE8" s="106">
        <f t="shared" si="4"/>
        <v>0</v>
      </c>
      <c r="AF8" s="106">
        <f t="shared" si="4"/>
        <v>0</v>
      </c>
      <c r="AG8" s="106">
        <f t="shared" si="4"/>
        <v>0</v>
      </c>
      <c r="AH8" s="106">
        <f t="shared" si="4"/>
        <v>0</v>
      </c>
      <c r="AI8" s="106">
        <f t="shared" si="4"/>
        <v>0</v>
      </c>
      <c r="AJ8" s="106">
        <f t="shared" si="4"/>
        <v>0</v>
      </c>
      <c r="AK8" s="106">
        <f t="shared" si="4"/>
        <v>0</v>
      </c>
      <c r="AL8" s="108">
        <f t="shared" si="4"/>
        <v>0</v>
      </c>
      <c r="AM8" s="107">
        <f t="shared" si="4"/>
        <v>0</v>
      </c>
      <c r="AN8" s="106">
        <f t="shared" si="4"/>
        <v>0</v>
      </c>
      <c r="AO8" s="106">
        <f t="shared" si="4"/>
        <v>0</v>
      </c>
      <c r="AP8" s="106">
        <f t="shared" si="4"/>
        <v>0</v>
      </c>
      <c r="AQ8" s="106">
        <f t="shared" si="4"/>
        <v>0</v>
      </c>
      <c r="AR8" s="106">
        <f t="shared" si="4"/>
        <v>0</v>
      </c>
      <c r="AS8" s="106">
        <f t="shared" si="4"/>
        <v>0</v>
      </c>
      <c r="AT8" s="106">
        <f t="shared" si="4"/>
        <v>0</v>
      </c>
      <c r="AU8" s="106">
        <f t="shared" si="4"/>
        <v>0</v>
      </c>
      <c r="AV8" s="106">
        <f t="shared" si="4"/>
        <v>0</v>
      </c>
      <c r="AW8" s="106">
        <f t="shared" si="4"/>
        <v>0</v>
      </c>
      <c r="AX8" s="108">
        <f t="shared" si="4"/>
        <v>0</v>
      </c>
      <c r="AY8" s="107">
        <f t="shared" si="4"/>
        <v>0</v>
      </c>
      <c r="AZ8" s="106">
        <f t="shared" si="4"/>
        <v>0</v>
      </c>
      <c r="BA8" s="106">
        <f t="shared" si="4"/>
        <v>0</v>
      </c>
      <c r="BB8" s="106">
        <f t="shared" si="4"/>
        <v>0</v>
      </c>
      <c r="BC8" s="106">
        <f t="shared" si="4"/>
        <v>0</v>
      </c>
      <c r="BD8" s="106">
        <f t="shared" si="4"/>
        <v>0</v>
      </c>
      <c r="BE8" s="106">
        <f t="shared" si="4"/>
        <v>0</v>
      </c>
      <c r="BF8" s="106">
        <f t="shared" si="4"/>
        <v>0</v>
      </c>
      <c r="BG8" s="106">
        <f t="shared" si="4"/>
        <v>0</v>
      </c>
      <c r="BH8" s="106">
        <f t="shared" si="4"/>
        <v>0</v>
      </c>
      <c r="BI8" s="106">
        <f t="shared" si="4"/>
        <v>0</v>
      </c>
      <c r="BJ8" s="108">
        <f t="shared" si="4"/>
        <v>0</v>
      </c>
      <c r="BK8" s="107">
        <f t="shared" si="4"/>
        <v>0</v>
      </c>
      <c r="BL8" s="106">
        <f t="shared" si="4"/>
        <v>0</v>
      </c>
      <c r="BM8" s="106">
        <f t="shared" si="4"/>
        <v>0</v>
      </c>
      <c r="BN8" s="106">
        <f t="shared" si="4"/>
        <v>0</v>
      </c>
      <c r="BO8" s="106">
        <f t="shared" si="4"/>
        <v>0</v>
      </c>
      <c r="BP8" s="106">
        <f t="shared" ref="BP8:DR8" si="5">BP17+BP32</f>
        <v>0</v>
      </c>
      <c r="BQ8" s="106">
        <f t="shared" si="5"/>
        <v>0</v>
      </c>
      <c r="BR8" s="106">
        <f t="shared" si="5"/>
        <v>0</v>
      </c>
      <c r="BS8" s="106">
        <f t="shared" si="5"/>
        <v>0</v>
      </c>
      <c r="BT8" s="106">
        <f t="shared" si="5"/>
        <v>0</v>
      </c>
      <c r="BU8" s="106">
        <f t="shared" si="5"/>
        <v>0</v>
      </c>
      <c r="BV8" s="108">
        <f t="shared" si="5"/>
        <v>0</v>
      </c>
      <c r="BW8" s="107">
        <f t="shared" si="5"/>
        <v>0</v>
      </c>
      <c r="BX8" s="106">
        <f t="shared" si="5"/>
        <v>0</v>
      </c>
      <c r="BY8" s="106">
        <f t="shared" si="5"/>
        <v>0</v>
      </c>
      <c r="BZ8" s="106">
        <f t="shared" si="5"/>
        <v>0</v>
      </c>
      <c r="CA8" s="106">
        <f t="shared" si="5"/>
        <v>0</v>
      </c>
      <c r="CB8" s="106">
        <f t="shared" si="5"/>
        <v>0</v>
      </c>
      <c r="CC8" s="106">
        <f t="shared" si="5"/>
        <v>0</v>
      </c>
      <c r="CD8" s="106">
        <f t="shared" si="5"/>
        <v>0</v>
      </c>
      <c r="CE8" s="106">
        <f t="shared" si="5"/>
        <v>0</v>
      </c>
      <c r="CF8" s="106">
        <f t="shared" si="5"/>
        <v>0</v>
      </c>
      <c r="CG8" s="106">
        <f t="shared" si="5"/>
        <v>0</v>
      </c>
      <c r="CH8" s="108">
        <f t="shared" si="5"/>
        <v>0</v>
      </c>
      <c r="CI8" s="107">
        <f t="shared" si="5"/>
        <v>0</v>
      </c>
      <c r="CJ8" s="106">
        <f t="shared" si="5"/>
        <v>0</v>
      </c>
      <c r="CK8" s="106">
        <f t="shared" si="5"/>
        <v>0</v>
      </c>
      <c r="CL8" s="106">
        <f t="shared" si="5"/>
        <v>0</v>
      </c>
      <c r="CM8" s="106">
        <f t="shared" si="5"/>
        <v>0</v>
      </c>
      <c r="CN8" s="106">
        <f t="shared" si="5"/>
        <v>0</v>
      </c>
      <c r="CO8" s="106">
        <f t="shared" si="5"/>
        <v>0</v>
      </c>
      <c r="CP8" s="106">
        <f t="shared" si="5"/>
        <v>0</v>
      </c>
      <c r="CQ8" s="106">
        <f t="shared" si="5"/>
        <v>0</v>
      </c>
      <c r="CR8" s="106">
        <f t="shared" si="5"/>
        <v>0</v>
      </c>
      <c r="CS8" s="106">
        <f t="shared" si="5"/>
        <v>0</v>
      </c>
      <c r="CT8" s="108">
        <f t="shared" si="5"/>
        <v>0</v>
      </c>
      <c r="CU8" s="107">
        <f t="shared" si="5"/>
        <v>0</v>
      </c>
      <c r="CV8" s="106">
        <f t="shared" si="5"/>
        <v>0</v>
      </c>
      <c r="CW8" s="106">
        <f t="shared" si="5"/>
        <v>0</v>
      </c>
      <c r="CX8" s="106">
        <f t="shared" si="5"/>
        <v>0</v>
      </c>
      <c r="CY8" s="106">
        <f t="shared" si="5"/>
        <v>0</v>
      </c>
      <c r="CZ8" s="106">
        <f t="shared" si="5"/>
        <v>0</v>
      </c>
      <c r="DA8" s="106">
        <f t="shared" si="5"/>
        <v>0</v>
      </c>
      <c r="DB8" s="106">
        <f t="shared" si="5"/>
        <v>0</v>
      </c>
      <c r="DC8" s="106">
        <f t="shared" si="5"/>
        <v>0</v>
      </c>
      <c r="DD8" s="106">
        <f t="shared" si="5"/>
        <v>0</v>
      </c>
      <c r="DE8" s="106">
        <f t="shared" si="5"/>
        <v>0</v>
      </c>
      <c r="DF8" s="108">
        <f t="shared" si="5"/>
        <v>0</v>
      </c>
      <c r="DG8" s="107">
        <f t="shared" si="5"/>
        <v>0</v>
      </c>
      <c r="DH8" s="106">
        <f t="shared" si="5"/>
        <v>0</v>
      </c>
      <c r="DI8" s="106">
        <f t="shared" si="5"/>
        <v>0</v>
      </c>
      <c r="DJ8" s="106">
        <f t="shared" si="5"/>
        <v>0</v>
      </c>
      <c r="DK8" s="106">
        <f t="shared" si="5"/>
        <v>0</v>
      </c>
      <c r="DL8" s="106">
        <f t="shared" si="5"/>
        <v>0</v>
      </c>
      <c r="DM8" s="106">
        <f t="shared" si="5"/>
        <v>0</v>
      </c>
      <c r="DN8" s="106">
        <f t="shared" si="5"/>
        <v>0</v>
      </c>
      <c r="DO8" s="106">
        <f t="shared" si="5"/>
        <v>0</v>
      </c>
      <c r="DP8" s="106">
        <f t="shared" si="5"/>
        <v>0</v>
      </c>
      <c r="DQ8" s="106">
        <f t="shared" si="5"/>
        <v>0</v>
      </c>
      <c r="DR8" s="108">
        <f t="shared" si="5"/>
        <v>0</v>
      </c>
    </row>
    <row r="9" spans="1:168" ht="30.75" customHeight="1" x14ac:dyDescent="0.2">
      <c r="A9" s="130"/>
      <c r="B9" s="131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</row>
    <row r="10" spans="1:168" ht="26.25" customHeight="1" x14ac:dyDescent="0.3">
      <c r="A10" s="132" t="s">
        <v>464</v>
      </c>
      <c r="B10" s="7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</row>
    <row r="11" spans="1:168" s="50" customFormat="1" ht="13.5" thickBot="1" x14ac:dyDescent="0.25">
      <c r="A11" s="134" t="s">
        <v>86</v>
      </c>
      <c r="B11" s="135">
        <v>0</v>
      </c>
      <c r="C11" s="107">
        <f>B15</f>
        <v>0</v>
      </c>
      <c r="D11" s="107">
        <f t="shared" ref="D11:N11" si="6">C18</f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I11" s="107">
        <f t="shared" si="6"/>
        <v>0</v>
      </c>
      <c r="J11" s="107">
        <f t="shared" si="6"/>
        <v>0</v>
      </c>
      <c r="K11" s="107">
        <f t="shared" si="6"/>
        <v>0</v>
      </c>
      <c r="L11" s="107">
        <f t="shared" si="6"/>
        <v>0</v>
      </c>
      <c r="M11" s="107">
        <f t="shared" si="6"/>
        <v>0</v>
      </c>
      <c r="N11" s="480">
        <f t="shared" si="6"/>
        <v>0</v>
      </c>
      <c r="O11" s="345">
        <v>0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8"/>
      <c r="AA11" s="107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8"/>
      <c r="AM11" s="107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8"/>
      <c r="AY11" s="107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8"/>
      <c r="BK11" s="107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8"/>
      <c r="BW11" s="107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8"/>
      <c r="CI11" s="107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8"/>
      <c r="CU11" s="107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8"/>
      <c r="DG11" s="107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</row>
    <row r="12" spans="1:168" x14ac:dyDescent="0.2">
      <c r="A12" s="134" t="s">
        <v>52</v>
      </c>
      <c r="B12" s="13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480"/>
      <c r="O12" s="345">
        <v>0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8"/>
      <c r="AA12" s="107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8"/>
      <c r="AM12" s="107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8"/>
      <c r="AY12" s="107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8"/>
      <c r="BK12" s="107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8"/>
      <c r="BW12" s="107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8"/>
      <c r="CI12" s="107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8"/>
      <c r="CU12" s="107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8"/>
      <c r="DG12" s="107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8"/>
    </row>
    <row r="13" spans="1:168" s="50" customFormat="1" ht="13.5" thickBot="1" x14ac:dyDescent="0.25">
      <c r="A13" s="134" t="s">
        <v>146</v>
      </c>
      <c r="B13" s="234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481"/>
      <c r="O13" s="345">
        <v>1</v>
      </c>
      <c r="P13" s="106">
        <v>1</v>
      </c>
      <c r="Q13" s="106">
        <f t="shared" ref="Q13:BV13" si="7">P13+1</f>
        <v>2</v>
      </c>
      <c r="R13" s="106">
        <f t="shared" si="7"/>
        <v>3</v>
      </c>
      <c r="S13" s="106">
        <f t="shared" si="7"/>
        <v>4</v>
      </c>
      <c r="T13" s="106">
        <f t="shared" si="7"/>
        <v>5</v>
      </c>
      <c r="U13" s="106">
        <f t="shared" si="7"/>
        <v>6</v>
      </c>
      <c r="V13" s="106">
        <f t="shared" si="7"/>
        <v>7</v>
      </c>
      <c r="W13" s="106">
        <f t="shared" si="7"/>
        <v>8</v>
      </c>
      <c r="X13" s="106">
        <f t="shared" si="7"/>
        <v>9</v>
      </c>
      <c r="Y13" s="106">
        <f t="shared" si="7"/>
        <v>10</v>
      </c>
      <c r="Z13" s="106">
        <f t="shared" si="7"/>
        <v>11</v>
      </c>
      <c r="AA13" s="106">
        <f t="shared" si="7"/>
        <v>12</v>
      </c>
      <c r="AB13" s="106">
        <f t="shared" si="7"/>
        <v>13</v>
      </c>
      <c r="AC13" s="106">
        <f t="shared" si="7"/>
        <v>14</v>
      </c>
      <c r="AD13" s="106">
        <f t="shared" si="7"/>
        <v>15</v>
      </c>
      <c r="AE13" s="106">
        <f t="shared" si="7"/>
        <v>16</v>
      </c>
      <c r="AF13" s="106">
        <f t="shared" si="7"/>
        <v>17</v>
      </c>
      <c r="AG13" s="106">
        <f t="shared" si="7"/>
        <v>18</v>
      </c>
      <c r="AH13" s="106">
        <f t="shared" si="7"/>
        <v>19</v>
      </c>
      <c r="AI13" s="106">
        <f t="shared" si="7"/>
        <v>20</v>
      </c>
      <c r="AJ13" s="106">
        <f t="shared" si="7"/>
        <v>21</v>
      </c>
      <c r="AK13" s="106">
        <f t="shared" si="7"/>
        <v>22</v>
      </c>
      <c r="AL13" s="106">
        <f t="shared" si="7"/>
        <v>23</v>
      </c>
      <c r="AM13" s="106">
        <f t="shared" si="7"/>
        <v>24</v>
      </c>
      <c r="AN13" s="106">
        <f t="shared" si="7"/>
        <v>25</v>
      </c>
      <c r="AO13" s="106">
        <f t="shared" si="7"/>
        <v>26</v>
      </c>
      <c r="AP13" s="106">
        <f t="shared" si="7"/>
        <v>27</v>
      </c>
      <c r="AQ13" s="106">
        <f t="shared" si="7"/>
        <v>28</v>
      </c>
      <c r="AR13" s="106">
        <f t="shared" si="7"/>
        <v>29</v>
      </c>
      <c r="AS13" s="106">
        <f t="shared" si="7"/>
        <v>30</v>
      </c>
      <c r="AT13" s="106">
        <f t="shared" si="7"/>
        <v>31</v>
      </c>
      <c r="AU13" s="106">
        <f t="shared" si="7"/>
        <v>32</v>
      </c>
      <c r="AV13" s="106">
        <f t="shared" si="7"/>
        <v>33</v>
      </c>
      <c r="AW13" s="106">
        <f t="shared" si="7"/>
        <v>34</v>
      </c>
      <c r="AX13" s="106">
        <f t="shared" si="7"/>
        <v>35</v>
      </c>
      <c r="AY13" s="106">
        <f t="shared" si="7"/>
        <v>36</v>
      </c>
      <c r="AZ13" s="106">
        <f t="shared" si="7"/>
        <v>37</v>
      </c>
      <c r="BA13" s="106">
        <f t="shared" si="7"/>
        <v>38</v>
      </c>
      <c r="BB13" s="106">
        <f t="shared" si="7"/>
        <v>39</v>
      </c>
      <c r="BC13" s="106">
        <f t="shared" si="7"/>
        <v>40</v>
      </c>
      <c r="BD13" s="106">
        <f t="shared" si="7"/>
        <v>41</v>
      </c>
      <c r="BE13" s="106">
        <f t="shared" si="7"/>
        <v>42</v>
      </c>
      <c r="BF13" s="106">
        <f t="shared" si="7"/>
        <v>43</v>
      </c>
      <c r="BG13" s="106">
        <f t="shared" si="7"/>
        <v>44</v>
      </c>
      <c r="BH13" s="106">
        <f t="shared" si="7"/>
        <v>45</v>
      </c>
      <c r="BI13" s="106">
        <f t="shared" si="7"/>
        <v>46</v>
      </c>
      <c r="BJ13" s="106">
        <f t="shared" si="7"/>
        <v>47</v>
      </c>
      <c r="BK13" s="106">
        <f t="shared" si="7"/>
        <v>48</v>
      </c>
      <c r="BL13" s="106">
        <f t="shared" si="7"/>
        <v>49</v>
      </c>
      <c r="BM13" s="106">
        <f t="shared" si="7"/>
        <v>50</v>
      </c>
      <c r="BN13" s="106">
        <f t="shared" si="7"/>
        <v>51</v>
      </c>
      <c r="BO13" s="106">
        <f t="shared" si="7"/>
        <v>52</v>
      </c>
      <c r="BP13" s="106">
        <f t="shared" si="7"/>
        <v>53</v>
      </c>
      <c r="BQ13" s="106">
        <f t="shared" si="7"/>
        <v>54</v>
      </c>
      <c r="BR13" s="106">
        <f t="shared" si="7"/>
        <v>55</v>
      </c>
      <c r="BS13" s="106">
        <f t="shared" si="7"/>
        <v>56</v>
      </c>
      <c r="BT13" s="106">
        <f t="shared" si="7"/>
        <v>57</v>
      </c>
      <c r="BU13" s="106">
        <f t="shared" si="7"/>
        <v>58</v>
      </c>
      <c r="BV13" s="106">
        <f t="shared" si="7"/>
        <v>59</v>
      </c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</row>
    <row r="14" spans="1:168" s="78" customFormat="1" x14ac:dyDescent="0.2">
      <c r="A14" s="134" t="s">
        <v>150</v>
      </c>
      <c r="B14" s="234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481"/>
      <c r="O14" s="345">
        <f>PMT($B21/12,$B20,$O15,0,0)</f>
        <v>0</v>
      </c>
      <c r="P14" s="106">
        <f t="shared" ref="P14:BV14" si="8">PMT($B21/12,$B20,$O15,0,0)</f>
        <v>0</v>
      </c>
      <c r="Q14" s="106">
        <f t="shared" si="8"/>
        <v>0</v>
      </c>
      <c r="R14" s="106">
        <f t="shared" si="8"/>
        <v>0</v>
      </c>
      <c r="S14" s="106">
        <f t="shared" si="8"/>
        <v>0</v>
      </c>
      <c r="T14" s="106">
        <f t="shared" si="8"/>
        <v>0</v>
      </c>
      <c r="U14" s="106">
        <f t="shared" si="8"/>
        <v>0</v>
      </c>
      <c r="V14" s="106">
        <f t="shared" si="8"/>
        <v>0</v>
      </c>
      <c r="W14" s="106">
        <f t="shared" si="8"/>
        <v>0</v>
      </c>
      <c r="X14" s="106">
        <f t="shared" si="8"/>
        <v>0</v>
      </c>
      <c r="Y14" s="106">
        <f t="shared" si="8"/>
        <v>0</v>
      </c>
      <c r="Z14" s="108">
        <f t="shared" si="8"/>
        <v>0</v>
      </c>
      <c r="AA14" s="107">
        <f t="shared" si="8"/>
        <v>0</v>
      </c>
      <c r="AB14" s="106">
        <f t="shared" si="8"/>
        <v>0</v>
      </c>
      <c r="AC14" s="107">
        <f t="shared" si="8"/>
        <v>0</v>
      </c>
      <c r="AD14" s="107">
        <f t="shared" si="8"/>
        <v>0</v>
      </c>
      <c r="AE14" s="107">
        <f t="shared" si="8"/>
        <v>0</v>
      </c>
      <c r="AF14" s="107">
        <f t="shared" si="8"/>
        <v>0</v>
      </c>
      <c r="AG14" s="107">
        <f t="shared" si="8"/>
        <v>0</v>
      </c>
      <c r="AH14" s="107">
        <f t="shared" si="8"/>
        <v>0</v>
      </c>
      <c r="AI14" s="107">
        <f t="shared" si="8"/>
        <v>0</v>
      </c>
      <c r="AJ14" s="107">
        <f t="shared" si="8"/>
        <v>0</v>
      </c>
      <c r="AK14" s="107">
        <f t="shared" si="8"/>
        <v>0</v>
      </c>
      <c r="AL14" s="107">
        <f t="shared" si="8"/>
        <v>0</v>
      </c>
      <c r="AM14" s="107">
        <f t="shared" si="8"/>
        <v>0</v>
      </c>
      <c r="AN14" s="107">
        <f t="shared" si="8"/>
        <v>0</v>
      </c>
      <c r="AO14" s="107">
        <f t="shared" si="8"/>
        <v>0</v>
      </c>
      <c r="AP14" s="107">
        <f t="shared" si="8"/>
        <v>0</v>
      </c>
      <c r="AQ14" s="107">
        <f t="shared" si="8"/>
        <v>0</v>
      </c>
      <c r="AR14" s="107">
        <f t="shared" si="8"/>
        <v>0</v>
      </c>
      <c r="AS14" s="107">
        <f t="shared" si="8"/>
        <v>0</v>
      </c>
      <c r="AT14" s="107">
        <f t="shared" si="8"/>
        <v>0</v>
      </c>
      <c r="AU14" s="107">
        <f t="shared" si="8"/>
        <v>0</v>
      </c>
      <c r="AV14" s="107">
        <f t="shared" si="8"/>
        <v>0</v>
      </c>
      <c r="AW14" s="107">
        <f t="shared" si="8"/>
        <v>0</v>
      </c>
      <c r="AX14" s="107">
        <f t="shared" si="8"/>
        <v>0</v>
      </c>
      <c r="AY14" s="107">
        <f t="shared" si="8"/>
        <v>0</v>
      </c>
      <c r="AZ14" s="107">
        <f t="shared" si="8"/>
        <v>0</v>
      </c>
      <c r="BA14" s="107">
        <f t="shared" si="8"/>
        <v>0</v>
      </c>
      <c r="BB14" s="107">
        <f t="shared" si="8"/>
        <v>0</v>
      </c>
      <c r="BC14" s="107">
        <f t="shared" si="8"/>
        <v>0</v>
      </c>
      <c r="BD14" s="107">
        <f t="shared" si="8"/>
        <v>0</v>
      </c>
      <c r="BE14" s="107">
        <f t="shared" si="8"/>
        <v>0</v>
      </c>
      <c r="BF14" s="107">
        <f t="shared" si="8"/>
        <v>0</v>
      </c>
      <c r="BG14" s="107">
        <f t="shared" si="8"/>
        <v>0</v>
      </c>
      <c r="BH14" s="107">
        <f t="shared" si="8"/>
        <v>0</v>
      </c>
      <c r="BI14" s="107">
        <f t="shared" si="8"/>
        <v>0</v>
      </c>
      <c r="BJ14" s="107">
        <f t="shared" si="8"/>
        <v>0</v>
      </c>
      <c r="BK14" s="107">
        <f t="shared" si="8"/>
        <v>0</v>
      </c>
      <c r="BL14" s="107">
        <f t="shared" si="8"/>
        <v>0</v>
      </c>
      <c r="BM14" s="107">
        <f t="shared" si="8"/>
        <v>0</v>
      </c>
      <c r="BN14" s="107">
        <f t="shared" si="8"/>
        <v>0</v>
      </c>
      <c r="BO14" s="107">
        <f t="shared" si="8"/>
        <v>0</v>
      </c>
      <c r="BP14" s="107">
        <f t="shared" si="8"/>
        <v>0</v>
      </c>
      <c r="BQ14" s="107">
        <f t="shared" si="8"/>
        <v>0</v>
      </c>
      <c r="BR14" s="107">
        <f t="shared" si="8"/>
        <v>0</v>
      </c>
      <c r="BS14" s="107">
        <f t="shared" si="8"/>
        <v>0</v>
      </c>
      <c r="BT14" s="107">
        <f t="shared" si="8"/>
        <v>0</v>
      </c>
      <c r="BU14" s="107">
        <f t="shared" si="8"/>
        <v>0</v>
      </c>
      <c r="BV14" s="108">
        <f t="shared" si="8"/>
        <v>0</v>
      </c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</row>
    <row r="15" spans="1:168" x14ac:dyDescent="0.2">
      <c r="A15" s="134" t="s">
        <v>354</v>
      </c>
      <c r="B15" s="135">
        <f>-B11</f>
        <v>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480"/>
      <c r="O15" s="345">
        <v>0</v>
      </c>
      <c r="P15" s="106">
        <f>B15</f>
        <v>0</v>
      </c>
      <c r="Q15" s="106">
        <f t="shared" ref="Q15:BV15" si="9">P18</f>
        <v>0</v>
      </c>
      <c r="R15" s="106">
        <f t="shared" si="9"/>
        <v>0</v>
      </c>
      <c r="S15" s="106">
        <f t="shared" si="9"/>
        <v>0</v>
      </c>
      <c r="T15" s="106">
        <f t="shared" si="9"/>
        <v>0</v>
      </c>
      <c r="U15" s="106">
        <f t="shared" si="9"/>
        <v>0</v>
      </c>
      <c r="V15" s="106">
        <f t="shared" si="9"/>
        <v>0</v>
      </c>
      <c r="W15" s="106">
        <f t="shared" si="9"/>
        <v>0</v>
      </c>
      <c r="X15" s="106">
        <f t="shared" si="9"/>
        <v>0</v>
      </c>
      <c r="Y15" s="106">
        <f t="shared" si="9"/>
        <v>0</v>
      </c>
      <c r="Z15" s="108">
        <f t="shared" si="9"/>
        <v>0</v>
      </c>
      <c r="AA15" s="107">
        <f t="shared" si="9"/>
        <v>0</v>
      </c>
      <c r="AB15" s="106">
        <f t="shared" si="9"/>
        <v>0</v>
      </c>
      <c r="AC15" s="106">
        <f t="shared" si="9"/>
        <v>0</v>
      </c>
      <c r="AD15" s="106">
        <f t="shared" si="9"/>
        <v>0</v>
      </c>
      <c r="AE15" s="106">
        <f t="shared" si="9"/>
        <v>0</v>
      </c>
      <c r="AF15" s="106">
        <f t="shared" si="9"/>
        <v>0</v>
      </c>
      <c r="AG15" s="106">
        <f t="shared" si="9"/>
        <v>0</v>
      </c>
      <c r="AH15" s="106">
        <f t="shared" si="9"/>
        <v>0</v>
      </c>
      <c r="AI15" s="106">
        <f t="shared" si="9"/>
        <v>0</v>
      </c>
      <c r="AJ15" s="106">
        <f t="shared" si="9"/>
        <v>0</v>
      </c>
      <c r="AK15" s="106">
        <f t="shared" si="9"/>
        <v>0</v>
      </c>
      <c r="AL15" s="108">
        <f t="shared" si="9"/>
        <v>0</v>
      </c>
      <c r="AM15" s="107">
        <f t="shared" si="9"/>
        <v>0</v>
      </c>
      <c r="AN15" s="106">
        <f t="shared" si="9"/>
        <v>0</v>
      </c>
      <c r="AO15" s="106">
        <f t="shared" si="9"/>
        <v>0</v>
      </c>
      <c r="AP15" s="106">
        <f t="shared" si="9"/>
        <v>0</v>
      </c>
      <c r="AQ15" s="106">
        <f t="shared" si="9"/>
        <v>0</v>
      </c>
      <c r="AR15" s="106">
        <f t="shared" si="9"/>
        <v>0</v>
      </c>
      <c r="AS15" s="106">
        <f t="shared" si="9"/>
        <v>0</v>
      </c>
      <c r="AT15" s="106">
        <f t="shared" si="9"/>
        <v>0</v>
      </c>
      <c r="AU15" s="106">
        <f t="shared" si="9"/>
        <v>0</v>
      </c>
      <c r="AV15" s="106">
        <f t="shared" si="9"/>
        <v>0</v>
      </c>
      <c r="AW15" s="106">
        <f t="shared" si="9"/>
        <v>0</v>
      </c>
      <c r="AX15" s="108">
        <f t="shared" si="9"/>
        <v>0</v>
      </c>
      <c r="AY15" s="107">
        <f t="shared" si="9"/>
        <v>0</v>
      </c>
      <c r="AZ15" s="106">
        <f t="shared" si="9"/>
        <v>0</v>
      </c>
      <c r="BA15" s="106">
        <f t="shared" si="9"/>
        <v>0</v>
      </c>
      <c r="BB15" s="106">
        <f t="shared" si="9"/>
        <v>0</v>
      </c>
      <c r="BC15" s="106">
        <f t="shared" si="9"/>
        <v>0</v>
      </c>
      <c r="BD15" s="106">
        <f t="shared" si="9"/>
        <v>0</v>
      </c>
      <c r="BE15" s="106">
        <f t="shared" si="9"/>
        <v>0</v>
      </c>
      <c r="BF15" s="106">
        <f t="shared" si="9"/>
        <v>0</v>
      </c>
      <c r="BG15" s="106">
        <f t="shared" si="9"/>
        <v>0</v>
      </c>
      <c r="BH15" s="106">
        <f t="shared" si="9"/>
        <v>0</v>
      </c>
      <c r="BI15" s="106">
        <f t="shared" si="9"/>
        <v>0</v>
      </c>
      <c r="BJ15" s="108">
        <f t="shared" si="9"/>
        <v>0</v>
      </c>
      <c r="BK15" s="107">
        <f t="shared" si="9"/>
        <v>0</v>
      </c>
      <c r="BL15" s="106">
        <f t="shared" si="9"/>
        <v>0</v>
      </c>
      <c r="BM15" s="106">
        <f t="shared" si="9"/>
        <v>0</v>
      </c>
      <c r="BN15" s="106">
        <f t="shared" si="9"/>
        <v>0</v>
      </c>
      <c r="BO15" s="106">
        <f t="shared" si="9"/>
        <v>0</v>
      </c>
      <c r="BP15" s="106">
        <f t="shared" si="9"/>
        <v>0</v>
      </c>
      <c r="BQ15" s="106">
        <f t="shared" si="9"/>
        <v>0</v>
      </c>
      <c r="BR15" s="106">
        <f t="shared" si="9"/>
        <v>0</v>
      </c>
      <c r="BS15" s="106">
        <f t="shared" si="9"/>
        <v>0</v>
      </c>
      <c r="BT15" s="106">
        <f t="shared" si="9"/>
        <v>0</v>
      </c>
      <c r="BU15" s="106">
        <f t="shared" si="9"/>
        <v>0</v>
      </c>
      <c r="BV15" s="108">
        <f t="shared" si="9"/>
        <v>0</v>
      </c>
      <c r="BW15" s="107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8"/>
      <c r="CI15" s="107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8"/>
      <c r="CU15" s="107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8"/>
      <c r="DG15" s="107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8"/>
    </row>
    <row r="16" spans="1:168" x14ac:dyDescent="0.2">
      <c r="A16" s="134" t="s">
        <v>53</v>
      </c>
      <c r="B16" s="135"/>
      <c r="C16" s="107">
        <f t="shared" ref="C16:K16" si="10">C11*($B21/12)</f>
        <v>0</v>
      </c>
      <c r="D16" s="107">
        <f t="shared" si="10"/>
        <v>0</v>
      </c>
      <c r="E16" s="107">
        <f t="shared" si="10"/>
        <v>0</v>
      </c>
      <c r="F16" s="107">
        <f t="shared" si="10"/>
        <v>0</v>
      </c>
      <c r="G16" s="107">
        <f t="shared" si="10"/>
        <v>0</v>
      </c>
      <c r="H16" s="107">
        <f t="shared" si="10"/>
        <v>0</v>
      </c>
      <c r="I16" s="107">
        <f t="shared" si="10"/>
        <v>0</v>
      </c>
      <c r="J16" s="107">
        <f t="shared" si="10"/>
        <v>0</v>
      </c>
      <c r="K16" s="107">
        <f t="shared" si="10"/>
        <v>0</v>
      </c>
      <c r="L16" s="107">
        <f>L11*($B21/12)</f>
        <v>0</v>
      </c>
      <c r="M16" s="107">
        <f>M11*($B21/12)</f>
        <v>0</v>
      </c>
      <c r="N16" s="480">
        <f>N11*($B21/12)</f>
        <v>0</v>
      </c>
      <c r="O16" s="485">
        <f>O15*$B21/12</f>
        <v>0</v>
      </c>
      <c r="P16" s="106">
        <f t="shared" ref="P16:BV16" si="11">P15*$B21/12</f>
        <v>0</v>
      </c>
      <c r="Q16" s="106">
        <f t="shared" si="11"/>
        <v>0</v>
      </c>
      <c r="R16" s="106">
        <f t="shared" si="11"/>
        <v>0</v>
      </c>
      <c r="S16" s="106">
        <f t="shared" si="11"/>
        <v>0</v>
      </c>
      <c r="T16" s="106">
        <f t="shared" si="11"/>
        <v>0</v>
      </c>
      <c r="U16" s="106">
        <f t="shared" si="11"/>
        <v>0</v>
      </c>
      <c r="V16" s="106">
        <f t="shared" si="11"/>
        <v>0</v>
      </c>
      <c r="W16" s="106">
        <f t="shared" si="11"/>
        <v>0</v>
      </c>
      <c r="X16" s="106">
        <f t="shared" si="11"/>
        <v>0</v>
      </c>
      <c r="Y16" s="106">
        <f t="shared" si="11"/>
        <v>0</v>
      </c>
      <c r="Z16" s="108">
        <f t="shared" si="11"/>
        <v>0</v>
      </c>
      <c r="AA16" s="107">
        <f t="shared" si="11"/>
        <v>0</v>
      </c>
      <c r="AB16" s="106">
        <f t="shared" si="11"/>
        <v>0</v>
      </c>
      <c r="AC16" s="106">
        <f t="shared" si="11"/>
        <v>0</v>
      </c>
      <c r="AD16" s="106">
        <f t="shared" si="11"/>
        <v>0</v>
      </c>
      <c r="AE16" s="106">
        <f t="shared" si="11"/>
        <v>0</v>
      </c>
      <c r="AF16" s="106">
        <f t="shared" si="11"/>
        <v>0</v>
      </c>
      <c r="AG16" s="106">
        <f t="shared" si="11"/>
        <v>0</v>
      </c>
      <c r="AH16" s="106">
        <f t="shared" si="11"/>
        <v>0</v>
      </c>
      <c r="AI16" s="106">
        <f t="shared" si="11"/>
        <v>0</v>
      </c>
      <c r="AJ16" s="106">
        <f t="shared" si="11"/>
        <v>0</v>
      </c>
      <c r="AK16" s="106">
        <f t="shared" si="11"/>
        <v>0</v>
      </c>
      <c r="AL16" s="108">
        <f t="shared" si="11"/>
        <v>0</v>
      </c>
      <c r="AM16" s="107">
        <f t="shared" si="11"/>
        <v>0</v>
      </c>
      <c r="AN16" s="106">
        <f t="shared" si="11"/>
        <v>0</v>
      </c>
      <c r="AO16" s="106">
        <f t="shared" si="11"/>
        <v>0</v>
      </c>
      <c r="AP16" s="106">
        <f t="shared" si="11"/>
        <v>0</v>
      </c>
      <c r="AQ16" s="106">
        <f t="shared" si="11"/>
        <v>0</v>
      </c>
      <c r="AR16" s="106">
        <f t="shared" si="11"/>
        <v>0</v>
      </c>
      <c r="AS16" s="106">
        <f t="shared" si="11"/>
        <v>0</v>
      </c>
      <c r="AT16" s="106">
        <f t="shared" si="11"/>
        <v>0</v>
      </c>
      <c r="AU16" s="106">
        <f t="shared" si="11"/>
        <v>0</v>
      </c>
      <c r="AV16" s="106">
        <f t="shared" si="11"/>
        <v>0</v>
      </c>
      <c r="AW16" s="106">
        <f t="shared" si="11"/>
        <v>0</v>
      </c>
      <c r="AX16" s="108">
        <f t="shared" si="11"/>
        <v>0</v>
      </c>
      <c r="AY16" s="107">
        <f t="shared" si="11"/>
        <v>0</v>
      </c>
      <c r="AZ16" s="106">
        <f t="shared" si="11"/>
        <v>0</v>
      </c>
      <c r="BA16" s="106">
        <f t="shared" si="11"/>
        <v>0</v>
      </c>
      <c r="BB16" s="106">
        <f t="shared" si="11"/>
        <v>0</v>
      </c>
      <c r="BC16" s="106">
        <f t="shared" si="11"/>
        <v>0</v>
      </c>
      <c r="BD16" s="106">
        <f t="shared" si="11"/>
        <v>0</v>
      </c>
      <c r="BE16" s="106">
        <f t="shared" si="11"/>
        <v>0</v>
      </c>
      <c r="BF16" s="106">
        <f t="shared" si="11"/>
        <v>0</v>
      </c>
      <c r="BG16" s="106">
        <f t="shared" si="11"/>
        <v>0</v>
      </c>
      <c r="BH16" s="106">
        <f t="shared" si="11"/>
        <v>0</v>
      </c>
      <c r="BI16" s="106">
        <f t="shared" si="11"/>
        <v>0</v>
      </c>
      <c r="BJ16" s="108">
        <f t="shared" si="11"/>
        <v>0</v>
      </c>
      <c r="BK16" s="107">
        <f t="shared" si="11"/>
        <v>0</v>
      </c>
      <c r="BL16" s="106">
        <f t="shared" si="11"/>
        <v>0</v>
      </c>
      <c r="BM16" s="106">
        <f t="shared" si="11"/>
        <v>0</v>
      </c>
      <c r="BN16" s="106">
        <f t="shared" si="11"/>
        <v>0</v>
      </c>
      <c r="BO16" s="106">
        <f t="shared" si="11"/>
        <v>0</v>
      </c>
      <c r="BP16" s="106">
        <f t="shared" si="11"/>
        <v>0</v>
      </c>
      <c r="BQ16" s="106">
        <f t="shared" si="11"/>
        <v>0</v>
      </c>
      <c r="BR16" s="106">
        <f t="shared" si="11"/>
        <v>0</v>
      </c>
      <c r="BS16" s="106">
        <f t="shared" si="11"/>
        <v>0</v>
      </c>
      <c r="BT16" s="106">
        <f t="shared" si="11"/>
        <v>0</v>
      </c>
      <c r="BU16" s="106">
        <f t="shared" si="11"/>
        <v>0</v>
      </c>
      <c r="BV16" s="108">
        <f t="shared" si="11"/>
        <v>0</v>
      </c>
      <c r="BW16" s="107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8"/>
      <c r="CI16" s="107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8"/>
      <c r="CU16" s="107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8"/>
      <c r="DG16" s="107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8"/>
    </row>
    <row r="17" spans="1:168" x14ac:dyDescent="0.2">
      <c r="A17" s="134" t="s">
        <v>154</v>
      </c>
      <c r="B17" s="13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482">
        <f t="shared" ref="O17:AT17" si="12">-(O16+O14)</f>
        <v>0</v>
      </c>
      <c r="P17" s="106">
        <f>B15</f>
        <v>0</v>
      </c>
      <c r="Q17" s="106">
        <f t="shared" si="12"/>
        <v>0</v>
      </c>
      <c r="R17" s="106">
        <f t="shared" si="12"/>
        <v>0</v>
      </c>
      <c r="S17" s="106">
        <f t="shared" si="12"/>
        <v>0</v>
      </c>
      <c r="T17" s="106">
        <f t="shared" si="12"/>
        <v>0</v>
      </c>
      <c r="U17" s="106">
        <f t="shared" si="12"/>
        <v>0</v>
      </c>
      <c r="V17" s="106">
        <f t="shared" si="12"/>
        <v>0</v>
      </c>
      <c r="W17" s="106">
        <f t="shared" si="12"/>
        <v>0</v>
      </c>
      <c r="X17" s="106">
        <f t="shared" si="12"/>
        <v>0</v>
      </c>
      <c r="Y17" s="106">
        <f t="shared" si="12"/>
        <v>0</v>
      </c>
      <c r="Z17" s="108">
        <f t="shared" si="12"/>
        <v>0</v>
      </c>
      <c r="AA17" s="107">
        <f t="shared" si="12"/>
        <v>0</v>
      </c>
      <c r="AB17" s="106">
        <f t="shared" si="12"/>
        <v>0</v>
      </c>
      <c r="AC17" s="106">
        <f t="shared" si="12"/>
        <v>0</v>
      </c>
      <c r="AD17" s="106">
        <f t="shared" si="12"/>
        <v>0</v>
      </c>
      <c r="AE17" s="106">
        <f t="shared" si="12"/>
        <v>0</v>
      </c>
      <c r="AF17" s="106">
        <f t="shared" si="12"/>
        <v>0</v>
      </c>
      <c r="AG17" s="106">
        <f t="shared" si="12"/>
        <v>0</v>
      </c>
      <c r="AH17" s="106">
        <f t="shared" si="12"/>
        <v>0</v>
      </c>
      <c r="AI17" s="106">
        <f t="shared" si="12"/>
        <v>0</v>
      </c>
      <c r="AJ17" s="106">
        <f t="shared" si="12"/>
        <v>0</v>
      </c>
      <c r="AK17" s="106">
        <f t="shared" si="12"/>
        <v>0</v>
      </c>
      <c r="AL17" s="108">
        <f t="shared" si="12"/>
        <v>0</v>
      </c>
      <c r="AM17" s="107">
        <f t="shared" si="12"/>
        <v>0</v>
      </c>
      <c r="AN17" s="106">
        <f t="shared" si="12"/>
        <v>0</v>
      </c>
      <c r="AO17" s="106">
        <f t="shared" si="12"/>
        <v>0</v>
      </c>
      <c r="AP17" s="106">
        <f t="shared" si="12"/>
        <v>0</v>
      </c>
      <c r="AQ17" s="106">
        <f t="shared" si="12"/>
        <v>0</v>
      </c>
      <c r="AR17" s="106">
        <f t="shared" si="12"/>
        <v>0</v>
      </c>
      <c r="AS17" s="106">
        <f t="shared" si="12"/>
        <v>0</v>
      </c>
      <c r="AT17" s="106">
        <f t="shared" si="12"/>
        <v>0</v>
      </c>
      <c r="AU17" s="106">
        <f t="shared" ref="AU17:BV17" si="13">-(AU16+AU14)</f>
        <v>0</v>
      </c>
      <c r="AV17" s="106">
        <f t="shared" si="13"/>
        <v>0</v>
      </c>
      <c r="AW17" s="106">
        <f t="shared" si="13"/>
        <v>0</v>
      </c>
      <c r="AX17" s="108">
        <f t="shared" si="13"/>
        <v>0</v>
      </c>
      <c r="AY17" s="107">
        <f t="shared" si="13"/>
        <v>0</v>
      </c>
      <c r="AZ17" s="106">
        <f t="shared" si="13"/>
        <v>0</v>
      </c>
      <c r="BA17" s="106">
        <f t="shared" si="13"/>
        <v>0</v>
      </c>
      <c r="BB17" s="106">
        <f t="shared" si="13"/>
        <v>0</v>
      </c>
      <c r="BC17" s="106">
        <f t="shared" si="13"/>
        <v>0</v>
      </c>
      <c r="BD17" s="106">
        <f t="shared" si="13"/>
        <v>0</v>
      </c>
      <c r="BE17" s="106">
        <f t="shared" si="13"/>
        <v>0</v>
      </c>
      <c r="BF17" s="106">
        <f t="shared" si="13"/>
        <v>0</v>
      </c>
      <c r="BG17" s="106">
        <f t="shared" si="13"/>
        <v>0</v>
      </c>
      <c r="BH17" s="106">
        <f t="shared" si="13"/>
        <v>0</v>
      </c>
      <c r="BI17" s="106">
        <f t="shared" si="13"/>
        <v>0</v>
      </c>
      <c r="BJ17" s="108">
        <f t="shared" si="13"/>
        <v>0</v>
      </c>
      <c r="BK17" s="107">
        <f t="shared" si="13"/>
        <v>0</v>
      </c>
      <c r="BL17" s="106">
        <f t="shared" si="13"/>
        <v>0</v>
      </c>
      <c r="BM17" s="106">
        <f t="shared" si="13"/>
        <v>0</v>
      </c>
      <c r="BN17" s="106">
        <f t="shared" si="13"/>
        <v>0</v>
      </c>
      <c r="BO17" s="106">
        <f t="shared" si="13"/>
        <v>0</v>
      </c>
      <c r="BP17" s="106">
        <f t="shared" si="13"/>
        <v>0</v>
      </c>
      <c r="BQ17" s="106">
        <f t="shared" si="13"/>
        <v>0</v>
      </c>
      <c r="BR17" s="106">
        <f t="shared" si="13"/>
        <v>0</v>
      </c>
      <c r="BS17" s="106">
        <f t="shared" si="13"/>
        <v>0</v>
      </c>
      <c r="BT17" s="106">
        <f t="shared" si="13"/>
        <v>0</v>
      </c>
      <c r="BU17" s="106">
        <f t="shared" si="13"/>
        <v>0</v>
      </c>
      <c r="BV17" s="108">
        <f t="shared" si="13"/>
        <v>0</v>
      </c>
      <c r="BW17" s="107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8"/>
      <c r="CI17" s="107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8"/>
      <c r="CU17" s="107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8"/>
      <c r="DG17" s="107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8"/>
    </row>
    <row r="18" spans="1:168" s="50" customFormat="1" ht="13.5" thickBot="1" x14ac:dyDescent="0.25">
      <c r="A18" s="134" t="s">
        <v>54</v>
      </c>
      <c r="B18" s="135"/>
      <c r="C18" s="107">
        <f>C11+C16</f>
        <v>0</v>
      </c>
      <c r="D18" s="107">
        <f t="shared" ref="D18:I18" si="14">D11+D16</f>
        <v>0</v>
      </c>
      <c r="E18" s="107">
        <f t="shared" si="14"/>
        <v>0</v>
      </c>
      <c r="F18" s="107">
        <f t="shared" si="14"/>
        <v>0</v>
      </c>
      <c r="G18" s="107">
        <f t="shared" si="14"/>
        <v>0</v>
      </c>
      <c r="H18" s="107">
        <f t="shared" si="14"/>
        <v>0</v>
      </c>
      <c r="I18" s="107">
        <f t="shared" si="14"/>
        <v>0</v>
      </c>
      <c r="J18" s="107">
        <f>J11+J16</f>
        <v>0</v>
      </c>
      <c r="K18" s="107">
        <f>K11+K16</f>
        <v>0</v>
      </c>
      <c r="L18" s="107">
        <f>L11+L16</f>
        <v>0</v>
      </c>
      <c r="M18" s="107">
        <f>M11+M16</f>
        <v>0</v>
      </c>
      <c r="N18" s="480">
        <f>N11+N16</f>
        <v>0</v>
      </c>
      <c r="O18" s="345">
        <f>O15-O17</f>
        <v>0</v>
      </c>
      <c r="P18" s="106">
        <f>P15-P17</f>
        <v>0</v>
      </c>
      <c r="Q18" s="106">
        <f t="shared" ref="Q18:BV18" si="15">Q15-Q17</f>
        <v>0</v>
      </c>
      <c r="R18" s="106">
        <f t="shared" si="15"/>
        <v>0</v>
      </c>
      <c r="S18" s="106">
        <f t="shared" si="15"/>
        <v>0</v>
      </c>
      <c r="T18" s="106">
        <f t="shared" si="15"/>
        <v>0</v>
      </c>
      <c r="U18" s="106">
        <f t="shared" si="15"/>
        <v>0</v>
      </c>
      <c r="V18" s="106">
        <f t="shared" si="15"/>
        <v>0</v>
      </c>
      <c r="W18" s="106">
        <f t="shared" si="15"/>
        <v>0</v>
      </c>
      <c r="X18" s="106">
        <f t="shared" si="15"/>
        <v>0</v>
      </c>
      <c r="Y18" s="106">
        <f t="shared" si="15"/>
        <v>0</v>
      </c>
      <c r="Z18" s="108">
        <f t="shared" si="15"/>
        <v>0</v>
      </c>
      <c r="AA18" s="107">
        <f t="shared" si="15"/>
        <v>0</v>
      </c>
      <c r="AB18" s="106">
        <f t="shared" si="15"/>
        <v>0</v>
      </c>
      <c r="AC18" s="106">
        <f t="shared" si="15"/>
        <v>0</v>
      </c>
      <c r="AD18" s="106">
        <f t="shared" si="15"/>
        <v>0</v>
      </c>
      <c r="AE18" s="106">
        <f t="shared" si="15"/>
        <v>0</v>
      </c>
      <c r="AF18" s="106">
        <f t="shared" si="15"/>
        <v>0</v>
      </c>
      <c r="AG18" s="106">
        <f t="shared" si="15"/>
        <v>0</v>
      </c>
      <c r="AH18" s="106">
        <f t="shared" si="15"/>
        <v>0</v>
      </c>
      <c r="AI18" s="106">
        <f t="shared" si="15"/>
        <v>0</v>
      </c>
      <c r="AJ18" s="106">
        <f t="shared" si="15"/>
        <v>0</v>
      </c>
      <c r="AK18" s="106">
        <f t="shared" si="15"/>
        <v>0</v>
      </c>
      <c r="AL18" s="108">
        <f t="shared" si="15"/>
        <v>0</v>
      </c>
      <c r="AM18" s="107">
        <f t="shared" si="15"/>
        <v>0</v>
      </c>
      <c r="AN18" s="106">
        <f t="shared" si="15"/>
        <v>0</v>
      </c>
      <c r="AO18" s="106">
        <f t="shared" si="15"/>
        <v>0</v>
      </c>
      <c r="AP18" s="106">
        <f t="shared" si="15"/>
        <v>0</v>
      </c>
      <c r="AQ18" s="106">
        <f t="shared" si="15"/>
        <v>0</v>
      </c>
      <c r="AR18" s="106">
        <f t="shared" si="15"/>
        <v>0</v>
      </c>
      <c r="AS18" s="106">
        <f t="shared" si="15"/>
        <v>0</v>
      </c>
      <c r="AT18" s="106">
        <f t="shared" si="15"/>
        <v>0</v>
      </c>
      <c r="AU18" s="106">
        <f t="shared" si="15"/>
        <v>0</v>
      </c>
      <c r="AV18" s="106">
        <f t="shared" si="15"/>
        <v>0</v>
      </c>
      <c r="AW18" s="106">
        <f t="shared" si="15"/>
        <v>0</v>
      </c>
      <c r="AX18" s="108">
        <f t="shared" si="15"/>
        <v>0</v>
      </c>
      <c r="AY18" s="107">
        <f t="shared" si="15"/>
        <v>0</v>
      </c>
      <c r="AZ18" s="106">
        <f t="shared" si="15"/>
        <v>0</v>
      </c>
      <c r="BA18" s="106">
        <f t="shared" si="15"/>
        <v>0</v>
      </c>
      <c r="BB18" s="106">
        <f t="shared" si="15"/>
        <v>0</v>
      </c>
      <c r="BC18" s="106">
        <f t="shared" si="15"/>
        <v>0</v>
      </c>
      <c r="BD18" s="106">
        <f t="shared" si="15"/>
        <v>0</v>
      </c>
      <c r="BE18" s="106">
        <f t="shared" si="15"/>
        <v>0</v>
      </c>
      <c r="BF18" s="106">
        <f t="shared" si="15"/>
        <v>0</v>
      </c>
      <c r="BG18" s="106">
        <f t="shared" si="15"/>
        <v>0</v>
      </c>
      <c r="BH18" s="106">
        <f t="shared" si="15"/>
        <v>0</v>
      </c>
      <c r="BI18" s="106">
        <f t="shared" si="15"/>
        <v>0</v>
      </c>
      <c r="BJ18" s="108">
        <f t="shared" si="15"/>
        <v>0</v>
      </c>
      <c r="BK18" s="107">
        <f t="shared" si="15"/>
        <v>0</v>
      </c>
      <c r="BL18" s="106">
        <f t="shared" si="15"/>
        <v>0</v>
      </c>
      <c r="BM18" s="106">
        <f t="shared" si="15"/>
        <v>0</v>
      </c>
      <c r="BN18" s="106">
        <f t="shared" si="15"/>
        <v>0</v>
      </c>
      <c r="BO18" s="106">
        <f t="shared" si="15"/>
        <v>0</v>
      </c>
      <c r="BP18" s="106">
        <f t="shared" si="15"/>
        <v>0</v>
      </c>
      <c r="BQ18" s="106">
        <f t="shared" si="15"/>
        <v>0</v>
      </c>
      <c r="BR18" s="106">
        <f t="shared" si="15"/>
        <v>0</v>
      </c>
      <c r="BS18" s="106">
        <f t="shared" si="15"/>
        <v>0</v>
      </c>
      <c r="BT18" s="106">
        <f t="shared" si="15"/>
        <v>0</v>
      </c>
      <c r="BU18" s="106">
        <f t="shared" si="15"/>
        <v>0</v>
      </c>
      <c r="BV18" s="108">
        <f t="shared" si="15"/>
        <v>0</v>
      </c>
      <c r="BW18" s="107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8"/>
      <c r="CI18" s="107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8"/>
      <c r="CU18" s="107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8"/>
      <c r="DG18" s="107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</row>
    <row r="19" spans="1:168" x14ac:dyDescent="0.2">
      <c r="A19" s="133"/>
      <c r="B19" s="107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</row>
    <row r="20" spans="1:168" x14ac:dyDescent="0.2">
      <c r="A20" s="134" t="s">
        <v>355</v>
      </c>
      <c r="B20" s="283">
        <v>1</v>
      </c>
      <c r="C20" s="278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pans="1:168" x14ac:dyDescent="0.2">
      <c r="A21" s="134" t="s">
        <v>142</v>
      </c>
      <c r="B21" s="136">
        <v>0</v>
      </c>
      <c r="C21" s="582"/>
      <c r="D21" s="474"/>
      <c r="E21" s="474"/>
      <c r="F21" s="474"/>
      <c r="G21" s="474"/>
      <c r="H21" s="474"/>
      <c r="I21" s="474"/>
      <c r="J21" s="474"/>
      <c r="K21" s="479"/>
      <c r="L21" s="472"/>
      <c r="M21" s="472"/>
      <c r="N21" s="472"/>
      <c r="P21" s="279"/>
      <c r="R21" s="280"/>
      <c r="T21" s="281"/>
    </row>
    <row r="22" spans="1:168" x14ac:dyDescent="0.2">
      <c r="A22" s="134"/>
      <c r="B22" s="137"/>
      <c r="C22" s="265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</row>
    <row r="23" spans="1:168" x14ac:dyDescent="0.2">
      <c r="A23" s="134"/>
      <c r="B23" s="136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</row>
    <row r="24" spans="1:168" x14ac:dyDescent="0.2">
      <c r="A24" s="130"/>
      <c r="B24" s="131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</row>
    <row r="25" spans="1:168" ht="26.25" customHeight="1" x14ac:dyDescent="0.3">
      <c r="A25" s="132" t="s">
        <v>465</v>
      </c>
      <c r="B25" s="7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</row>
    <row r="26" spans="1:168" s="50" customFormat="1" ht="13.5" thickBot="1" x14ac:dyDescent="0.25">
      <c r="A26" s="134" t="s">
        <v>86</v>
      </c>
      <c r="B26" s="135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480"/>
      <c r="O26" s="345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8"/>
      <c r="AA26" s="107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8"/>
      <c r="AM26" s="107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8"/>
      <c r="AY26" s="107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8"/>
      <c r="BK26" s="107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8"/>
      <c r="BW26" s="107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8"/>
      <c r="CI26" s="107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8"/>
      <c r="CU26" s="107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8"/>
      <c r="DG26" s="107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</row>
    <row r="27" spans="1:168" x14ac:dyDescent="0.2">
      <c r="A27" s="134" t="s">
        <v>52</v>
      </c>
      <c r="B27" s="135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480"/>
      <c r="O27" s="345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8"/>
      <c r="AA27" s="107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8"/>
      <c r="AM27" s="107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8"/>
      <c r="AY27" s="107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8"/>
      <c r="BK27" s="107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8"/>
      <c r="BW27" s="107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8"/>
      <c r="CI27" s="107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8"/>
      <c r="CU27" s="107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8"/>
      <c r="DG27" s="107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8"/>
    </row>
    <row r="28" spans="1:168" s="50" customFormat="1" ht="13.5" thickBot="1" x14ac:dyDescent="0.25">
      <c r="A28" s="134" t="s">
        <v>146</v>
      </c>
      <c r="B28" s="234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481"/>
      <c r="O28" s="34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</row>
    <row r="29" spans="1:168" s="78" customFormat="1" x14ac:dyDescent="0.2">
      <c r="A29" s="134" t="s">
        <v>150</v>
      </c>
      <c r="B29" s="234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481"/>
      <c r="O29" s="345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8"/>
      <c r="AA29" s="107"/>
      <c r="AB29" s="106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8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</row>
    <row r="30" spans="1:168" x14ac:dyDescent="0.2">
      <c r="A30" s="134" t="s">
        <v>163</v>
      </c>
      <c r="B30" s="13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480"/>
      <c r="O30" s="345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8"/>
      <c r="AA30" s="107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8"/>
      <c r="AM30" s="107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8"/>
      <c r="AY30" s="107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8"/>
      <c r="BK30" s="107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8"/>
      <c r="BW30" s="107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8"/>
      <c r="CI30" s="107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8"/>
      <c r="CU30" s="107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8"/>
      <c r="DG30" s="107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8"/>
    </row>
    <row r="31" spans="1:168" x14ac:dyDescent="0.2">
      <c r="A31" s="134" t="s">
        <v>53</v>
      </c>
      <c r="B31" s="135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480"/>
      <c r="O31" s="483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8"/>
      <c r="AA31" s="107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8"/>
      <c r="AM31" s="107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8"/>
      <c r="AY31" s="107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8"/>
      <c r="BK31" s="107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8"/>
      <c r="BW31" s="107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8"/>
      <c r="CI31" s="107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8"/>
      <c r="CU31" s="107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8"/>
      <c r="DG31" s="107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8"/>
    </row>
    <row r="32" spans="1:168" x14ac:dyDescent="0.2">
      <c r="A32" s="134" t="s">
        <v>154</v>
      </c>
      <c r="B32" s="13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482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8"/>
      <c r="AA32" s="107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8"/>
      <c r="AM32" s="107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8"/>
      <c r="AY32" s="107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8"/>
      <c r="BK32" s="107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8"/>
      <c r="BW32" s="107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8"/>
      <c r="CI32" s="107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8"/>
      <c r="CU32" s="107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8"/>
      <c r="DG32" s="107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8"/>
    </row>
    <row r="33" spans="1:168" s="50" customFormat="1" ht="13.5" thickBot="1" x14ac:dyDescent="0.25">
      <c r="A33" s="134" t="s">
        <v>54</v>
      </c>
      <c r="B33" s="13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480"/>
      <c r="O33" s="345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8"/>
      <c r="AA33" s="107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8"/>
      <c r="AM33" s="107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8"/>
      <c r="AY33" s="107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8"/>
      <c r="BK33" s="107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8"/>
      <c r="BW33" s="107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8"/>
      <c r="CI33" s="107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8"/>
      <c r="CU33" s="107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8"/>
      <c r="DG33" s="107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</row>
    <row r="34" spans="1:168" x14ac:dyDescent="0.2">
      <c r="A34" s="133"/>
      <c r="B34" s="107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</row>
    <row r="35" spans="1:168" x14ac:dyDescent="0.2">
      <c r="A35" s="134" t="s">
        <v>164</v>
      </c>
      <c r="B35" s="283">
        <v>0</v>
      </c>
      <c r="C35" s="278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168" x14ac:dyDescent="0.2">
      <c r="A36" s="134" t="s">
        <v>142</v>
      </c>
      <c r="B36" s="234">
        <v>0</v>
      </c>
      <c r="C36" s="265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P36" s="279"/>
      <c r="R36" s="280"/>
      <c r="T36" s="281"/>
    </row>
    <row r="37" spans="1:168" x14ac:dyDescent="0.2">
      <c r="A37" s="134" t="s">
        <v>155</v>
      </c>
      <c r="B37" s="137">
        <v>0</v>
      </c>
      <c r="C37" s="265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</row>
    <row r="38" spans="1:168" x14ac:dyDescent="0.2">
      <c r="A38" s="134"/>
      <c r="B38" s="136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</row>
    <row r="39" spans="1:168" x14ac:dyDescent="0.2">
      <c r="A39" s="130"/>
      <c r="B39" s="131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</row>
    <row r="40" spans="1:168" x14ac:dyDescent="0.2">
      <c r="A40" s="78"/>
      <c r="B40" s="7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68" x14ac:dyDescent="0.2"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</row>
    <row r="42" spans="1:168" x14ac:dyDescent="0.2"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</row>
    <row r="43" spans="1:168" x14ac:dyDescent="0.2"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</row>
    <row r="44" spans="1:168" x14ac:dyDescent="0.2"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</row>
    <row r="45" spans="1:168" x14ac:dyDescent="0.2"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</row>
    <row r="46" spans="1:168" x14ac:dyDescent="0.2"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</row>
    <row r="47" spans="1:168" x14ac:dyDescent="0.2"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</row>
    <row r="48" spans="1:168" x14ac:dyDescent="0.2"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</row>
    <row r="49" spans="3:14" x14ac:dyDescent="0.2"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</row>
    <row r="50" spans="3:14" x14ac:dyDescent="0.2"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</row>
    <row r="51" spans="3:14" x14ac:dyDescent="0.2"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</row>
    <row r="52" spans="3:14" x14ac:dyDescent="0.2"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</row>
    <row r="53" spans="3:14" x14ac:dyDescent="0.2"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</row>
    <row r="54" spans="3:14" x14ac:dyDescent="0.2"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</row>
    <row r="55" spans="3:14" x14ac:dyDescent="0.2"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</row>
    <row r="56" spans="3:14" x14ac:dyDescent="0.2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</row>
    <row r="57" spans="3:14" x14ac:dyDescent="0.2"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</row>
  </sheetData>
  <mergeCells count="14">
    <mergeCell ref="CU2:DF2"/>
    <mergeCell ref="DG2:DR2"/>
    <mergeCell ref="C2:N2"/>
    <mergeCell ref="A7:B7"/>
    <mergeCell ref="A8:B8"/>
    <mergeCell ref="O2:Z2"/>
    <mergeCell ref="AA2:AL2"/>
    <mergeCell ref="AM2:AX2"/>
    <mergeCell ref="BK2:BV2"/>
    <mergeCell ref="BW2:CH2"/>
    <mergeCell ref="AY2:BJ2"/>
    <mergeCell ref="A1:B3"/>
    <mergeCell ref="CI2:CT2"/>
    <mergeCell ref="A6:B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2"/>
  <sheetViews>
    <sheetView zoomScale="110" zoomScaleNormal="110" zoomScalePageLayoutView="85" workbookViewId="0">
      <selection activeCell="B5" sqref="B5"/>
    </sheetView>
  </sheetViews>
  <sheetFormatPr defaultColWidth="8.85546875" defaultRowHeight="12.75" x14ac:dyDescent="0.2"/>
  <cols>
    <col min="1" max="1" width="32.42578125" style="2" bestFit="1" customWidth="1"/>
    <col min="2" max="2" width="15.5703125" style="2" bestFit="1" customWidth="1"/>
    <col min="3" max="3" width="9.85546875" style="2" customWidth="1"/>
    <col min="4" max="11" width="9.28515625" style="2" bestFit="1" customWidth="1"/>
    <col min="12" max="12" width="9.42578125" style="2" bestFit="1" customWidth="1"/>
    <col min="13" max="16384" width="8.85546875" style="2"/>
  </cols>
  <sheetData>
    <row r="1" spans="1:13" ht="12.75" customHeight="1" x14ac:dyDescent="0.2">
      <c r="A1" s="1345" t="s">
        <v>182</v>
      </c>
      <c r="B1" s="1345"/>
      <c r="C1" s="520"/>
      <c r="D1" s="24"/>
      <c r="E1" s="24"/>
      <c r="F1" s="24"/>
      <c r="G1" s="24"/>
      <c r="H1" s="24"/>
      <c r="I1" s="24"/>
      <c r="J1" s="24"/>
      <c r="K1" s="24"/>
      <c r="L1" s="24"/>
    </row>
    <row r="2" spans="1:13" ht="12.75" customHeight="1" x14ac:dyDescent="0.2">
      <c r="A2" s="1345"/>
      <c r="B2" s="1345"/>
      <c r="C2" s="520"/>
      <c r="D2" s="24"/>
      <c r="E2" s="24"/>
      <c r="F2" s="24"/>
      <c r="G2" s="24"/>
      <c r="H2" s="24"/>
      <c r="I2" s="24"/>
      <c r="J2" s="24"/>
      <c r="K2" s="24"/>
      <c r="L2" s="24"/>
    </row>
    <row r="3" spans="1:13" ht="33.75" customHeight="1" x14ac:dyDescent="0.2">
      <c r="A3" s="1345"/>
      <c r="B3" s="1345"/>
      <c r="C3" s="520"/>
      <c r="D3" s="30"/>
      <c r="E3" s="30"/>
      <c r="F3" s="30"/>
      <c r="G3" s="30"/>
      <c r="H3" s="30"/>
      <c r="I3" s="30"/>
      <c r="J3" s="30"/>
      <c r="K3" s="30"/>
      <c r="L3" s="30"/>
      <c r="M3" s="3"/>
    </row>
    <row r="4" spans="1:13" ht="12.75" customHeight="1" x14ac:dyDescent="0.2">
      <c r="A4" s="154"/>
      <c r="B4" s="154"/>
      <c r="C4" s="139"/>
      <c r="D4" s="30"/>
      <c r="E4" s="30"/>
      <c r="F4" s="30"/>
      <c r="G4" s="30"/>
      <c r="H4" s="30"/>
      <c r="I4" s="30"/>
      <c r="J4" s="30"/>
      <c r="K4" s="30"/>
      <c r="L4" s="30"/>
    </row>
    <row r="5" spans="1:13" ht="15.75" x14ac:dyDescent="0.25">
      <c r="A5" s="155" t="s">
        <v>20</v>
      </c>
      <c r="B5" s="157" t="s">
        <v>51</v>
      </c>
      <c r="C5" s="580" t="s">
        <v>454</v>
      </c>
      <c r="D5" s="580" t="s">
        <v>455</v>
      </c>
      <c r="E5" s="580" t="s">
        <v>456</v>
      </c>
      <c r="F5" s="580" t="s">
        <v>457</v>
      </c>
      <c r="G5" s="580" t="s">
        <v>458</v>
      </c>
      <c r="H5" s="580" t="s">
        <v>459</v>
      </c>
      <c r="I5" s="580" t="s">
        <v>460</v>
      </c>
      <c r="J5" s="580" t="s">
        <v>461</v>
      </c>
      <c r="K5" s="580" t="s">
        <v>462</v>
      </c>
      <c r="L5" s="580" t="s">
        <v>463</v>
      </c>
    </row>
    <row r="6" spans="1:13" ht="15" x14ac:dyDescent="0.25">
      <c r="A6" s="95"/>
      <c r="B6" s="158">
        <v>0</v>
      </c>
      <c r="C6" s="158"/>
      <c r="D6" s="113"/>
      <c r="E6" s="113"/>
      <c r="F6" s="113"/>
      <c r="G6" s="113"/>
      <c r="H6" s="113"/>
      <c r="I6" s="113"/>
      <c r="J6" s="113"/>
      <c r="K6" s="113"/>
      <c r="L6" s="113"/>
    </row>
    <row r="7" spans="1:13" ht="16.5" thickBot="1" x14ac:dyDescent="0.3">
      <c r="A7" s="155" t="s">
        <v>66</v>
      </c>
      <c r="B7" s="145"/>
      <c r="C7" s="156">
        <f>'Fin Statements'!D6</f>
        <v>0</v>
      </c>
      <c r="D7" s="156">
        <f>'Fin Statements'!E6</f>
        <v>0</v>
      </c>
      <c r="E7" s="156">
        <f>'Fin Statements'!F6</f>
        <v>6914.1301558504438</v>
      </c>
      <c r="F7" s="156">
        <f>'Fin Statements'!G6</f>
        <v>43671.72243011884</v>
      </c>
      <c r="G7" s="156">
        <f>'Fin Statements'!H6</f>
        <v>46423.040943216314</v>
      </c>
      <c r="H7" s="156">
        <f>'Fin Statements'!I6</f>
        <v>49347.69252263895</v>
      </c>
      <c r="I7" s="156">
        <f>'Fin Statements'!J6</f>
        <v>52456.597151565191</v>
      </c>
      <c r="J7" s="156">
        <f>'Fin Statements'!K6</f>
        <v>55761.362772113782</v>
      </c>
      <c r="K7" s="156">
        <f>'Fin Statements'!L6</f>
        <v>59274.328626756971</v>
      </c>
      <c r="L7" s="156">
        <f>'Fin Statements'!M6</f>
        <v>63008.611330242646</v>
      </c>
    </row>
    <row r="8" spans="1:13" ht="15" x14ac:dyDescent="0.25">
      <c r="A8" s="95"/>
      <c r="D8" s="113"/>
      <c r="E8" s="113"/>
      <c r="F8" s="113"/>
      <c r="G8" s="113"/>
      <c r="H8" s="113"/>
      <c r="I8" s="113"/>
      <c r="J8" s="113"/>
      <c r="K8" s="113"/>
      <c r="L8" s="113"/>
    </row>
    <row r="9" spans="1:13" ht="16.5" thickBot="1" x14ac:dyDescent="0.3">
      <c r="A9" s="155" t="s">
        <v>33</v>
      </c>
      <c r="B9" s="145"/>
      <c r="C9" s="156">
        <f>'Fin Statements'!D16</f>
        <v>-3545.0705393978515</v>
      </c>
      <c r="D9" s="156">
        <f>'Fin Statements'!E16</f>
        <v>-14733.558485462214</v>
      </c>
      <c r="E9" s="156">
        <f>'Fin Statements'!F16</f>
        <v>-22827.112987550277</v>
      </c>
      <c r="F9" s="156">
        <f>'Fin Statements'!G16</f>
        <v>-1265.8426125734836</v>
      </c>
      <c r="G9" s="156">
        <f>'Fin Statements'!H16</f>
        <v>-1534.6851750051997</v>
      </c>
      <c r="H9" s="156">
        <f>'Fin Statements'!I16</f>
        <v>-2376.3566540620996</v>
      </c>
      <c r="I9" s="156">
        <f>'Fin Statements'!J16</f>
        <v>-352.74638059831364</v>
      </c>
      <c r="J9" s="156">
        <f>'Fin Statements'!K16</f>
        <v>-553.70957570005908</v>
      </c>
      <c r="K9" s="156">
        <f>'Fin Statements'!L16</f>
        <v>-842.78093825622113</v>
      </c>
      <c r="L9" s="156">
        <f>'Fin Statements'!M16</f>
        <v>-4013.1751583266496</v>
      </c>
    </row>
    <row r="10" spans="1:13" ht="15" x14ac:dyDescent="0.25">
      <c r="A10" s="95"/>
      <c r="B10" s="145"/>
      <c r="C10" s="145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 ht="15" x14ac:dyDescent="0.25">
      <c r="A11" s="95"/>
      <c r="B11" s="145"/>
      <c r="C11" s="145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 ht="15" x14ac:dyDescent="0.25">
      <c r="A12" s="95" t="s">
        <v>34</v>
      </c>
      <c r="B12" s="145"/>
      <c r="C12" s="145"/>
      <c r="D12" s="113">
        <f>D9</f>
        <v>-14733.558485462214</v>
      </c>
      <c r="E12" s="113">
        <f t="shared" ref="E12:L12" si="0">E9</f>
        <v>-22827.112987550277</v>
      </c>
      <c r="F12" s="113">
        <f t="shared" si="0"/>
        <v>-1265.8426125734836</v>
      </c>
      <c r="G12" s="113">
        <f t="shared" si="0"/>
        <v>-1534.6851750051997</v>
      </c>
      <c r="H12" s="113">
        <f t="shared" si="0"/>
        <v>-2376.3566540620996</v>
      </c>
      <c r="I12" s="113">
        <f t="shared" si="0"/>
        <v>-352.74638059831364</v>
      </c>
      <c r="J12" s="113">
        <f t="shared" si="0"/>
        <v>-553.70957570005908</v>
      </c>
      <c r="K12" s="113">
        <f t="shared" si="0"/>
        <v>-842.78093825622113</v>
      </c>
      <c r="L12" s="113">
        <f t="shared" si="0"/>
        <v>-4013.1751583266496</v>
      </c>
    </row>
    <row r="13" spans="1:13" ht="15" x14ac:dyDescent="0.25">
      <c r="A13" s="95" t="s">
        <v>35</v>
      </c>
      <c r="B13" s="145"/>
      <c r="C13" s="145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 ht="15.75" thickBot="1" x14ac:dyDescent="0.3">
      <c r="A14" s="95" t="s">
        <v>36</v>
      </c>
      <c r="B14" s="145"/>
      <c r="C14" s="475"/>
      <c r="D14" s="115">
        <f t="shared" ref="D14:L14" si="1">MIN(MAX(0,D12),D23)</f>
        <v>0</v>
      </c>
      <c r="E14" s="115">
        <f t="shared" si="1"/>
        <v>-14733.558485462214</v>
      </c>
      <c r="F14" s="115">
        <f t="shared" si="1"/>
        <v>-37560.671473012495</v>
      </c>
      <c r="G14" s="115">
        <f t="shared" si="1"/>
        <v>-38826.514085585979</v>
      </c>
      <c r="H14" s="115">
        <f t="shared" si="1"/>
        <v>-40361.19926059118</v>
      </c>
      <c r="I14" s="115">
        <f t="shared" si="1"/>
        <v>-42737.555914653276</v>
      </c>
      <c r="J14" s="115">
        <f t="shared" si="1"/>
        <v>-43090.302295251589</v>
      </c>
      <c r="K14" s="115">
        <f t="shared" si="1"/>
        <v>-43644.011870951646</v>
      </c>
      <c r="L14" s="115">
        <f t="shared" si="1"/>
        <v>-44486.792809207866</v>
      </c>
    </row>
    <row r="15" spans="1:13" ht="15" x14ac:dyDescent="0.25">
      <c r="A15" s="95"/>
      <c r="B15" s="145"/>
      <c r="C15" s="145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 ht="15" x14ac:dyDescent="0.25">
      <c r="A16" s="95" t="s">
        <v>37</v>
      </c>
      <c r="B16" s="145"/>
      <c r="C16" s="145"/>
      <c r="D16" s="113">
        <f t="shared" ref="D16:L16" si="2">IF(D26&lt;0,0,D12+D14)</f>
        <v>0</v>
      </c>
      <c r="E16" s="113">
        <f t="shared" si="2"/>
        <v>0</v>
      </c>
      <c r="F16" s="113">
        <f t="shared" si="2"/>
        <v>0</v>
      </c>
      <c r="G16" s="113">
        <f t="shared" si="2"/>
        <v>0</v>
      </c>
      <c r="H16" s="113">
        <f t="shared" si="2"/>
        <v>0</v>
      </c>
      <c r="I16" s="113">
        <f t="shared" si="2"/>
        <v>0</v>
      </c>
      <c r="J16" s="113">
        <f t="shared" si="2"/>
        <v>0</v>
      </c>
      <c r="K16" s="113">
        <f t="shared" si="2"/>
        <v>0</v>
      </c>
      <c r="L16" s="113">
        <f t="shared" si="2"/>
        <v>0</v>
      </c>
    </row>
    <row r="17" spans="1:12" ht="16.5" thickBot="1" x14ac:dyDescent="0.3">
      <c r="A17" s="155" t="s">
        <v>38</v>
      </c>
      <c r="B17" s="145"/>
      <c r="C17" s="475"/>
      <c r="D17" s="156">
        <f>-MAX(MAX(0,D16)*Assumptions!$C$9,D7*Assumptions!$C$10)</f>
        <v>0</v>
      </c>
      <c r="E17" s="156">
        <f>-MAX(MAX(0,E16)*Assumptions!$C$9,E7*Assumptions!$C$10)</f>
        <v>0</v>
      </c>
      <c r="F17" s="156">
        <f>-MAX(MAX(0,F16)*Assumptions!$C$9,F7*Assumptions!$C$10)</f>
        <v>0</v>
      </c>
      <c r="G17" s="156">
        <f>-MAX(MAX(0,G16)*Assumptions!$C$9,G7*Assumptions!$C$10)</f>
        <v>0</v>
      </c>
      <c r="H17" s="156">
        <f>-MAX(MAX(0,H16)*Assumptions!$C$9,H7*Assumptions!$C$10)</f>
        <v>0</v>
      </c>
      <c r="I17" s="156">
        <f>-MAX(MAX(0,I16)*Assumptions!$C$9,I7*Assumptions!$C$10)</f>
        <v>0</v>
      </c>
      <c r="J17" s="156">
        <f>-MAX(MAX(0,J16)*Assumptions!$C$9,J7*Assumptions!$C$10)</f>
        <v>0</v>
      </c>
      <c r="K17" s="156">
        <f>-MAX(MAX(0,K16)*Assumptions!$C$9,K7*Assumptions!$C$10)</f>
        <v>0</v>
      </c>
      <c r="L17" s="156">
        <f>-MAX(MAX(0,L16)*Assumptions!$C$9,L7*Assumptions!$C$10)</f>
        <v>0</v>
      </c>
    </row>
    <row r="18" spans="1:12" ht="15" x14ac:dyDescent="0.25">
      <c r="A18" s="95"/>
      <c r="B18" s="145"/>
      <c r="C18" s="145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5" x14ac:dyDescent="0.25">
      <c r="A19" s="95" t="s">
        <v>39</v>
      </c>
      <c r="B19" s="145"/>
      <c r="C19" s="145"/>
      <c r="D19" s="113">
        <f>D17</f>
        <v>0</v>
      </c>
      <c r="E19" s="113">
        <f t="shared" ref="E19:L19" si="3">E17</f>
        <v>0</v>
      </c>
      <c r="F19" s="113">
        <f t="shared" si="3"/>
        <v>0</v>
      </c>
      <c r="G19" s="113">
        <f t="shared" si="3"/>
        <v>0</v>
      </c>
      <c r="H19" s="113">
        <f t="shared" si="3"/>
        <v>0</v>
      </c>
      <c r="I19" s="113">
        <f t="shared" si="3"/>
        <v>0</v>
      </c>
      <c r="J19" s="113">
        <f t="shared" si="3"/>
        <v>0</v>
      </c>
      <c r="K19" s="113">
        <f t="shared" si="3"/>
        <v>0</v>
      </c>
      <c r="L19" s="113">
        <f t="shared" si="3"/>
        <v>0</v>
      </c>
    </row>
    <row r="20" spans="1:12" ht="15.75" thickBot="1" x14ac:dyDescent="0.3">
      <c r="A20" s="95" t="s">
        <v>84</v>
      </c>
      <c r="B20" s="145"/>
      <c r="C20" s="475"/>
      <c r="D20" s="115">
        <f t="shared" ref="D20:L20" si="4">D19-D17</f>
        <v>0</v>
      </c>
      <c r="E20" s="115">
        <f t="shared" si="4"/>
        <v>0</v>
      </c>
      <c r="F20" s="115">
        <f t="shared" si="4"/>
        <v>0</v>
      </c>
      <c r="G20" s="115">
        <f t="shared" si="4"/>
        <v>0</v>
      </c>
      <c r="H20" s="115">
        <f t="shared" si="4"/>
        <v>0</v>
      </c>
      <c r="I20" s="115">
        <f t="shared" si="4"/>
        <v>0</v>
      </c>
      <c r="J20" s="115">
        <f t="shared" si="4"/>
        <v>0</v>
      </c>
      <c r="K20" s="115">
        <f t="shared" si="4"/>
        <v>0</v>
      </c>
      <c r="L20" s="115">
        <f t="shared" si="4"/>
        <v>0</v>
      </c>
    </row>
    <row r="21" spans="1:12" ht="15" x14ac:dyDescent="0.25">
      <c r="A21" s="95"/>
      <c r="B21" s="145"/>
      <c r="C21" s="145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ht="15" x14ac:dyDescent="0.25">
      <c r="A22" s="95"/>
      <c r="B22" s="145"/>
      <c r="C22" s="145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5" x14ac:dyDescent="0.25">
      <c r="A23" s="95" t="s">
        <v>85</v>
      </c>
      <c r="B23" s="145"/>
      <c r="C23" s="145"/>
      <c r="D23" s="113">
        <v>0</v>
      </c>
      <c r="E23" s="113">
        <f>IF(D26&lt;0,D26,0)</f>
        <v>-14733.558485462214</v>
      </c>
      <c r="F23" s="113">
        <f t="shared" ref="F23:L23" si="5">IF(E26&lt;0,E26,0)</f>
        <v>-37560.671473012495</v>
      </c>
      <c r="G23" s="113">
        <f t="shared" si="5"/>
        <v>-38826.514085585979</v>
      </c>
      <c r="H23" s="113">
        <f t="shared" si="5"/>
        <v>-40361.19926059118</v>
      </c>
      <c r="I23" s="113">
        <f t="shared" si="5"/>
        <v>-42737.555914653276</v>
      </c>
      <c r="J23" s="113">
        <f t="shared" si="5"/>
        <v>-43090.302295251589</v>
      </c>
      <c r="K23" s="113">
        <f t="shared" si="5"/>
        <v>-43644.011870951646</v>
      </c>
      <c r="L23" s="113">
        <f t="shared" si="5"/>
        <v>-44486.792809207866</v>
      </c>
    </row>
    <row r="24" spans="1:12" ht="15" x14ac:dyDescent="0.25">
      <c r="A24" s="95" t="s">
        <v>40</v>
      </c>
      <c r="B24" s="145"/>
      <c r="C24" s="145"/>
      <c r="D24" s="113">
        <f t="shared" ref="D24:L24" si="6">IF(D12&lt;0,D12,0)</f>
        <v>-14733.558485462214</v>
      </c>
      <c r="E24" s="113">
        <f t="shared" si="6"/>
        <v>-22827.112987550277</v>
      </c>
      <c r="F24" s="113">
        <f t="shared" si="6"/>
        <v>-1265.8426125734836</v>
      </c>
      <c r="G24" s="113">
        <f t="shared" si="6"/>
        <v>-1534.6851750051997</v>
      </c>
      <c r="H24" s="113">
        <f t="shared" si="6"/>
        <v>-2376.3566540620996</v>
      </c>
      <c r="I24" s="113">
        <f t="shared" si="6"/>
        <v>-352.74638059831364</v>
      </c>
      <c r="J24" s="113">
        <f t="shared" si="6"/>
        <v>-553.70957570005908</v>
      </c>
      <c r="K24" s="113">
        <f t="shared" si="6"/>
        <v>-842.78093825622113</v>
      </c>
      <c r="L24" s="113">
        <f t="shared" si="6"/>
        <v>-4013.1751583266496</v>
      </c>
    </row>
    <row r="25" spans="1:12" ht="15" x14ac:dyDescent="0.25">
      <c r="A25" s="95" t="s">
        <v>41</v>
      </c>
      <c r="B25" s="145"/>
      <c r="C25" s="145"/>
      <c r="D25" s="581">
        <f>B6</f>
        <v>0</v>
      </c>
      <c r="E25" s="113">
        <f t="shared" ref="E25:L25" si="7">IF(E12&gt;0,E12,0)</f>
        <v>0</v>
      </c>
      <c r="F25" s="113">
        <f t="shared" si="7"/>
        <v>0</v>
      </c>
      <c r="G25" s="113">
        <f t="shared" si="7"/>
        <v>0</v>
      </c>
      <c r="H25" s="113">
        <f t="shared" si="7"/>
        <v>0</v>
      </c>
      <c r="I25" s="113">
        <f t="shared" si="7"/>
        <v>0</v>
      </c>
      <c r="J25" s="113">
        <f t="shared" si="7"/>
        <v>0</v>
      </c>
      <c r="K25" s="113">
        <f t="shared" si="7"/>
        <v>0</v>
      </c>
      <c r="L25" s="113">
        <f t="shared" si="7"/>
        <v>0</v>
      </c>
    </row>
    <row r="26" spans="1:12" ht="15.75" thickBot="1" x14ac:dyDescent="0.3">
      <c r="A26" s="95" t="s">
        <v>42</v>
      </c>
      <c r="B26" s="145"/>
      <c r="C26" s="475"/>
      <c r="D26" s="115">
        <f>D23+D24+D25</f>
        <v>-14733.558485462214</v>
      </c>
      <c r="E26" s="115">
        <f t="shared" ref="E26:L26" si="8">E23+E24+E25</f>
        <v>-37560.671473012495</v>
      </c>
      <c r="F26" s="115">
        <f t="shared" si="8"/>
        <v>-38826.514085585979</v>
      </c>
      <c r="G26" s="115">
        <f t="shared" si="8"/>
        <v>-40361.19926059118</v>
      </c>
      <c r="H26" s="115">
        <f t="shared" si="8"/>
        <v>-42737.555914653276</v>
      </c>
      <c r="I26" s="115">
        <f t="shared" si="8"/>
        <v>-43090.302295251589</v>
      </c>
      <c r="J26" s="115">
        <f t="shared" si="8"/>
        <v>-43644.011870951646</v>
      </c>
      <c r="K26" s="115">
        <f t="shared" si="8"/>
        <v>-44486.792809207866</v>
      </c>
      <c r="L26" s="115">
        <f t="shared" si="8"/>
        <v>-48499.967967534518</v>
      </c>
    </row>
    <row r="27" spans="1:12" ht="15" x14ac:dyDescent="0.25">
      <c r="A27" s="95"/>
      <c r="B27" s="145"/>
      <c r="C27" s="145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2" ht="15" x14ac:dyDescent="0.25">
      <c r="A28" s="95"/>
      <c r="B28" s="145"/>
      <c r="C28" s="145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ht="15.75" thickBot="1" x14ac:dyDescent="0.3">
      <c r="A29" s="95" t="s">
        <v>43</v>
      </c>
      <c r="B29" s="145"/>
      <c r="C29" s="47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1:12" ht="15" x14ac:dyDescent="0.25">
      <c r="A30" s="95"/>
      <c r="B30" s="145"/>
      <c r="C30" s="145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12" ht="15.75" thickBot="1" x14ac:dyDescent="0.3">
      <c r="A31" s="95" t="s">
        <v>44</v>
      </c>
      <c r="B31" s="145"/>
      <c r="C31" s="47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ht="15" x14ac:dyDescent="0.25">
      <c r="A32" s="95"/>
      <c r="B32" s="145"/>
      <c r="C32" s="145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15" x14ac:dyDescent="0.25">
      <c r="A33" s="95" t="s">
        <v>45</v>
      </c>
      <c r="B33" s="145"/>
      <c r="C33" s="145"/>
      <c r="D33" s="113">
        <f t="shared" ref="D33:L33" si="9">SUM(D41:D42)</f>
        <v>0</v>
      </c>
      <c r="E33" s="113">
        <f t="shared" si="9"/>
        <v>0</v>
      </c>
      <c r="F33" s="113">
        <f t="shared" si="9"/>
        <v>0</v>
      </c>
      <c r="G33" s="113">
        <f t="shared" si="9"/>
        <v>0</v>
      </c>
      <c r="H33" s="113">
        <f t="shared" si="9"/>
        <v>0</v>
      </c>
      <c r="I33" s="113">
        <f t="shared" si="9"/>
        <v>0</v>
      </c>
      <c r="J33" s="113">
        <f t="shared" si="9"/>
        <v>0</v>
      </c>
      <c r="K33" s="113">
        <f t="shared" si="9"/>
        <v>0</v>
      </c>
      <c r="L33" s="113">
        <f t="shared" si="9"/>
        <v>0</v>
      </c>
    </row>
    <row r="34" spans="1:12" ht="15.75" thickBot="1" x14ac:dyDescent="0.3">
      <c r="A34" s="95" t="s">
        <v>46</v>
      </c>
      <c r="B34" s="145"/>
      <c r="C34" s="47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15" x14ac:dyDescent="0.25">
      <c r="A35" s="95"/>
      <c r="B35" s="145"/>
      <c r="C35" s="145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15" x14ac:dyDescent="0.25">
      <c r="A36" s="95" t="s">
        <v>47</v>
      </c>
      <c r="B36" s="145"/>
      <c r="C36" s="145"/>
      <c r="D36" s="113">
        <f t="shared" ref="D36:L36" si="10">D31-D33</f>
        <v>0</v>
      </c>
      <c r="E36" s="113">
        <f t="shared" si="10"/>
        <v>0</v>
      </c>
      <c r="F36" s="113">
        <f t="shared" si="10"/>
        <v>0</v>
      </c>
      <c r="G36" s="113">
        <f t="shared" si="10"/>
        <v>0</v>
      </c>
      <c r="H36" s="113">
        <f t="shared" si="10"/>
        <v>0</v>
      </c>
      <c r="I36" s="113">
        <f t="shared" si="10"/>
        <v>0</v>
      </c>
      <c r="J36" s="113">
        <f t="shared" si="10"/>
        <v>0</v>
      </c>
      <c r="K36" s="113">
        <f t="shared" si="10"/>
        <v>0</v>
      </c>
      <c r="L36" s="113">
        <f t="shared" si="10"/>
        <v>0</v>
      </c>
    </row>
    <row r="37" spans="1:12" ht="15.75" thickBot="1" x14ac:dyDescent="0.3">
      <c r="A37" s="95" t="s">
        <v>48</v>
      </c>
      <c r="B37" s="145"/>
      <c r="C37" s="475"/>
      <c r="D37" s="115">
        <f t="shared" ref="D37:L37" si="11">D31-D34</f>
        <v>0</v>
      </c>
      <c r="E37" s="115">
        <f t="shared" si="11"/>
        <v>0</v>
      </c>
      <c r="F37" s="115">
        <f t="shared" si="11"/>
        <v>0</v>
      </c>
      <c r="G37" s="115">
        <f t="shared" si="11"/>
        <v>0</v>
      </c>
      <c r="H37" s="115">
        <f t="shared" si="11"/>
        <v>0</v>
      </c>
      <c r="I37" s="115">
        <f t="shared" si="11"/>
        <v>0</v>
      </c>
      <c r="J37" s="115">
        <f t="shared" si="11"/>
        <v>0</v>
      </c>
      <c r="K37" s="115">
        <f t="shared" si="11"/>
        <v>0</v>
      </c>
      <c r="L37" s="115">
        <f t="shared" si="11"/>
        <v>0</v>
      </c>
    </row>
    <row r="38" spans="1:12" ht="15" x14ac:dyDescent="0.25">
      <c r="A38" s="95"/>
      <c r="B38" s="145"/>
      <c r="C38" s="145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15" x14ac:dyDescent="0.25">
      <c r="A39" s="95"/>
      <c r="B39" s="145"/>
      <c r="C39" s="145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5" x14ac:dyDescent="0.25">
      <c r="A40" s="95" t="s">
        <v>49</v>
      </c>
      <c r="B40" s="145"/>
      <c r="C40" s="145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15" x14ac:dyDescent="0.25">
      <c r="A41" s="95" t="s">
        <v>69</v>
      </c>
      <c r="B41" s="145"/>
      <c r="C41" s="145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2" ht="15.75" thickBot="1" x14ac:dyDescent="0.3">
      <c r="A42" s="95" t="s">
        <v>70</v>
      </c>
      <c r="B42" s="145"/>
      <c r="C42" s="475"/>
      <c r="D42" s="115"/>
      <c r="E42" s="115"/>
      <c r="F42" s="115"/>
      <c r="G42" s="115"/>
      <c r="H42" s="115"/>
      <c r="I42" s="115"/>
      <c r="J42" s="115"/>
      <c r="K42" s="115"/>
      <c r="L42" s="115"/>
    </row>
  </sheetData>
  <mergeCells count="1">
    <mergeCell ref="A1:B3"/>
  </mergeCells>
  <pageMargins left="0.25" right="0.25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B112"/>
  <sheetViews>
    <sheetView zoomScale="53" zoomScaleNormal="53" zoomScalePageLayoutView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A23" sqref="A23:B23"/>
    </sheetView>
  </sheetViews>
  <sheetFormatPr defaultColWidth="8.85546875" defaultRowHeight="12.75" x14ac:dyDescent="0.2"/>
  <cols>
    <col min="1" max="1" width="26.140625" style="2" customWidth="1"/>
    <col min="2" max="2" width="21.85546875" style="2" customWidth="1"/>
    <col min="3" max="3" width="17.85546875" style="2" customWidth="1"/>
    <col min="4" max="4" width="1.28515625" style="2" customWidth="1"/>
    <col min="5" max="124" width="11.7109375" style="2" customWidth="1"/>
    <col min="125" max="16384" width="8.85546875" style="2"/>
  </cols>
  <sheetData>
    <row r="1" spans="1:132" ht="12.75" customHeight="1" x14ac:dyDescent="0.2">
      <c r="A1" s="57"/>
      <c r="B1" s="29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42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42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42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87"/>
      <c r="AZ1" s="842"/>
      <c r="BA1" s="887"/>
      <c r="BB1" s="887"/>
      <c r="BC1" s="887"/>
      <c r="BD1" s="887"/>
      <c r="BE1" s="887"/>
      <c r="BF1" s="887"/>
      <c r="BG1" s="887"/>
      <c r="BH1" s="887"/>
      <c r="BI1" s="887"/>
      <c r="BJ1" s="887"/>
      <c r="BK1" s="887"/>
      <c r="BL1" s="842"/>
      <c r="BM1" s="887"/>
      <c r="BN1" s="887"/>
      <c r="BO1" s="887"/>
      <c r="BP1" s="887"/>
      <c r="BQ1" s="887"/>
      <c r="BR1" s="887"/>
      <c r="BS1" s="887"/>
      <c r="BT1" s="887"/>
      <c r="BU1" s="887"/>
      <c r="BV1" s="887"/>
      <c r="BW1" s="887"/>
      <c r="BX1" s="842"/>
      <c r="BY1" s="887"/>
      <c r="BZ1" s="887"/>
      <c r="CA1" s="887"/>
      <c r="CB1" s="887"/>
      <c r="CC1" s="887"/>
      <c r="CD1" s="887"/>
      <c r="CE1" s="887"/>
      <c r="CF1" s="887"/>
      <c r="CG1" s="887"/>
      <c r="CH1" s="887"/>
      <c r="CI1" s="887"/>
      <c r="CJ1" s="842"/>
      <c r="CK1" s="887"/>
      <c r="CL1" s="887"/>
      <c r="CM1" s="887"/>
      <c r="CN1" s="887"/>
      <c r="CO1" s="887"/>
      <c r="CP1" s="887"/>
      <c r="CQ1" s="887"/>
      <c r="CR1" s="887"/>
      <c r="CS1" s="887"/>
      <c r="CT1" s="887"/>
      <c r="CU1" s="887"/>
      <c r="CV1" s="842"/>
      <c r="CW1" s="887"/>
      <c r="CX1" s="887"/>
      <c r="CY1" s="887"/>
      <c r="CZ1" s="887"/>
      <c r="DA1" s="887"/>
      <c r="DB1" s="887"/>
      <c r="DC1" s="887"/>
      <c r="DD1" s="887"/>
      <c r="DE1" s="887"/>
      <c r="DF1" s="887"/>
      <c r="DG1" s="887"/>
      <c r="DH1" s="842"/>
      <c r="DI1" s="887"/>
      <c r="DJ1" s="887"/>
      <c r="DK1" s="887"/>
      <c r="DL1" s="887"/>
      <c r="DM1" s="887"/>
      <c r="DN1" s="887"/>
      <c r="DO1" s="887"/>
      <c r="DP1" s="887"/>
      <c r="DQ1" s="887"/>
      <c r="DR1" s="887"/>
      <c r="DS1" s="887"/>
      <c r="DT1" s="842"/>
    </row>
    <row r="2" spans="1:132" s="59" customFormat="1" ht="39" customHeight="1" x14ac:dyDescent="0.2">
      <c r="A2" s="1345" t="s">
        <v>181</v>
      </c>
      <c r="B2" s="1345"/>
      <c r="C2" s="58"/>
      <c r="D2" s="58"/>
      <c r="E2" s="1340" t="s">
        <v>454</v>
      </c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1"/>
      <c r="Q2" s="1340" t="s">
        <v>455</v>
      </c>
      <c r="R2" s="1340"/>
      <c r="S2" s="1340"/>
      <c r="T2" s="1340"/>
      <c r="U2" s="1340"/>
      <c r="V2" s="1340"/>
      <c r="W2" s="1340"/>
      <c r="X2" s="1340"/>
      <c r="Y2" s="1340"/>
      <c r="Z2" s="1340"/>
      <c r="AA2" s="1340"/>
      <c r="AB2" s="1341"/>
      <c r="AC2" s="1340" t="s">
        <v>456</v>
      </c>
      <c r="AD2" s="1340"/>
      <c r="AE2" s="1340"/>
      <c r="AF2" s="1340"/>
      <c r="AG2" s="1340"/>
      <c r="AH2" s="1340"/>
      <c r="AI2" s="1340"/>
      <c r="AJ2" s="1340"/>
      <c r="AK2" s="1340"/>
      <c r="AL2" s="1340"/>
      <c r="AM2" s="1340"/>
      <c r="AN2" s="1341"/>
      <c r="AO2" s="1340" t="s">
        <v>457</v>
      </c>
      <c r="AP2" s="1340"/>
      <c r="AQ2" s="1340"/>
      <c r="AR2" s="1340"/>
      <c r="AS2" s="1340"/>
      <c r="AT2" s="1340"/>
      <c r="AU2" s="1340"/>
      <c r="AV2" s="1340"/>
      <c r="AW2" s="1340"/>
      <c r="AX2" s="1340"/>
      <c r="AY2" s="1340"/>
      <c r="AZ2" s="1341"/>
      <c r="BA2" s="1340" t="s">
        <v>458</v>
      </c>
      <c r="BB2" s="1340"/>
      <c r="BC2" s="1340"/>
      <c r="BD2" s="1340"/>
      <c r="BE2" s="1340"/>
      <c r="BF2" s="1340"/>
      <c r="BG2" s="1340"/>
      <c r="BH2" s="1340"/>
      <c r="BI2" s="1340"/>
      <c r="BJ2" s="1340"/>
      <c r="BK2" s="1340"/>
      <c r="BL2" s="1341"/>
      <c r="BM2" s="1340" t="s">
        <v>459</v>
      </c>
      <c r="BN2" s="1340"/>
      <c r="BO2" s="1340"/>
      <c r="BP2" s="1340"/>
      <c r="BQ2" s="1340"/>
      <c r="BR2" s="1340"/>
      <c r="BS2" s="1340"/>
      <c r="BT2" s="1340"/>
      <c r="BU2" s="1340"/>
      <c r="BV2" s="1340"/>
      <c r="BW2" s="1340"/>
      <c r="BX2" s="1341"/>
      <c r="BY2" s="1340" t="s">
        <v>460</v>
      </c>
      <c r="BZ2" s="1340"/>
      <c r="CA2" s="1340"/>
      <c r="CB2" s="1340"/>
      <c r="CC2" s="1340"/>
      <c r="CD2" s="1340"/>
      <c r="CE2" s="1340"/>
      <c r="CF2" s="1340"/>
      <c r="CG2" s="1340"/>
      <c r="CH2" s="1340"/>
      <c r="CI2" s="1340"/>
      <c r="CJ2" s="1341"/>
      <c r="CK2" s="1340" t="s">
        <v>461</v>
      </c>
      <c r="CL2" s="1340"/>
      <c r="CM2" s="1340"/>
      <c r="CN2" s="1340"/>
      <c r="CO2" s="1340"/>
      <c r="CP2" s="1340"/>
      <c r="CQ2" s="1340"/>
      <c r="CR2" s="1340"/>
      <c r="CS2" s="1340"/>
      <c r="CT2" s="1340"/>
      <c r="CU2" s="1340"/>
      <c r="CV2" s="1341"/>
      <c r="CW2" s="1340" t="s">
        <v>462</v>
      </c>
      <c r="CX2" s="1340"/>
      <c r="CY2" s="1340"/>
      <c r="CZ2" s="1340"/>
      <c r="DA2" s="1340"/>
      <c r="DB2" s="1340"/>
      <c r="DC2" s="1340"/>
      <c r="DD2" s="1340"/>
      <c r="DE2" s="1340"/>
      <c r="DF2" s="1340"/>
      <c r="DG2" s="1340"/>
      <c r="DH2" s="1341"/>
      <c r="DI2" s="1340" t="s">
        <v>463</v>
      </c>
      <c r="DJ2" s="1340"/>
      <c r="DK2" s="1340"/>
      <c r="DL2" s="1340"/>
      <c r="DM2" s="1340"/>
      <c r="DN2" s="1340"/>
      <c r="DO2" s="1340"/>
      <c r="DP2" s="1340"/>
      <c r="DQ2" s="1340"/>
      <c r="DR2" s="1340"/>
      <c r="DS2" s="1340"/>
      <c r="DT2" s="1341"/>
      <c r="DU2" s="68"/>
      <c r="DV2" s="68"/>
      <c r="DW2" s="68"/>
      <c r="DX2" s="68"/>
      <c r="DY2" s="68"/>
      <c r="DZ2" s="68"/>
      <c r="EA2" s="68"/>
      <c r="EB2" s="68"/>
    </row>
    <row r="3" spans="1:132" ht="21" x14ac:dyDescent="0.25">
      <c r="A3" s="57"/>
      <c r="B3" s="29"/>
      <c r="C3" s="7"/>
      <c r="D3" s="7"/>
      <c r="E3" s="891" t="s">
        <v>174</v>
      </c>
      <c r="F3" s="891" t="s">
        <v>175</v>
      </c>
      <c r="G3" s="891" t="s">
        <v>176</v>
      </c>
      <c r="H3" s="891" t="s">
        <v>177</v>
      </c>
      <c r="I3" s="891" t="s">
        <v>166</v>
      </c>
      <c r="J3" s="891" t="s">
        <v>167</v>
      </c>
      <c r="K3" s="891" t="s">
        <v>168</v>
      </c>
      <c r="L3" s="891" t="s">
        <v>169</v>
      </c>
      <c r="M3" s="891" t="s">
        <v>170</v>
      </c>
      <c r="N3" s="891" t="s">
        <v>171</v>
      </c>
      <c r="O3" s="891" t="s">
        <v>172</v>
      </c>
      <c r="P3" s="846" t="s">
        <v>173</v>
      </c>
      <c r="Q3" s="891" t="s">
        <v>174</v>
      </c>
      <c r="R3" s="891" t="s">
        <v>175</v>
      </c>
      <c r="S3" s="891" t="s">
        <v>176</v>
      </c>
      <c r="T3" s="891" t="s">
        <v>177</v>
      </c>
      <c r="U3" s="891" t="s">
        <v>166</v>
      </c>
      <c r="V3" s="891" t="s">
        <v>167</v>
      </c>
      <c r="W3" s="891" t="s">
        <v>168</v>
      </c>
      <c r="X3" s="891" t="s">
        <v>169</v>
      </c>
      <c r="Y3" s="891" t="s">
        <v>170</v>
      </c>
      <c r="Z3" s="891" t="s">
        <v>171</v>
      </c>
      <c r="AA3" s="891" t="s">
        <v>172</v>
      </c>
      <c r="AB3" s="846" t="s">
        <v>173</v>
      </c>
      <c r="AC3" s="891" t="s">
        <v>174</v>
      </c>
      <c r="AD3" s="891" t="s">
        <v>175</v>
      </c>
      <c r="AE3" s="891" t="s">
        <v>176</v>
      </c>
      <c r="AF3" s="891" t="s">
        <v>177</v>
      </c>
      <c r="AG3" s="891" t="s">
        <v>166</v>
      </c>
      <c r="AH3" s="891" t="s">
        <v>167</v>
      </c>
      <c r="AI3" s="891" t="s">
        <v>168</v>
      </c>
      <c r="AJ3" s="891" t="s">
        <v>169</v>
      </c>
      <c r="AK3" s="891" t="s">
        <v>170</v>
      </c>
      <c r="AL3" s="891" t="s">
        <v>171</v>
      </c>
      <c r="AM3" s="891" t="s">
        <v>172</v>
      </c>
      <c r="AN3" s="846" t="s">
        <v>173</v>
      </c>
      <c r="AO3" s="891" t="s">
        <v>174</v>
      </c>
      <c r="AP3" s="891" t="s">
        <v>175</v>
      </c>
      <c r="AQ3" s="891" t="s">
        <v>176</v>
      </c>
      <c r="AR3" s="891" t="s">
        <v>177</v>
      </c>
      <c r="AS3" s="891" t="s">
        <v>166</v>
      </c>
      <c r="AT3" s="891" t="s">
        <v>167</v>
      </c>
      <c r="AU3" s="891" t="s">
        <v>168</v>
      </c>
      <c r="AV3" s="891" t="s">
        <v>169</v>
      </c>
      <c r="AW3" s="891" t="s">
        <v>170</v>
      </c>
      <c r="AX3" s="891" t="s">
        <v>171</v>
      </c>
      <c r="AY3" s="891" t="s">
        <v>172</v>
      </c>
      <c r="AZ3" s="846" t="s">
        <v>173</v>
      </c>
      <c r="BA3" s="891" t="s">
        <v>174</v>
      </c>
      <c r="BB3" s="891" t="s">
        <v>175</v>
      </c>
      <c r="BC3" s="891" t="s">
        <v>176</v>
      </c>
      <c r="BD3" s="891" t="s">
        <v>177</v>
      </c>
      <c r="BE3" s="891" t="s">
        <v>166</v>
      </c>
      <c r="BF3" s="891" t="s">
        <v>167</v>
      </c>
      <c r="BG3" s="891" t="s">
        <v>168</v>
      </c>
      <c r="BH3" s="891" t="s">
        <v>169</v>
      </c>
      <c r="BI3" s="891" t="s">
        <v>170</v>
      </c>
      <c r="BJ3" s="891" t="s">
        <v>171</v>
      </c>
      <c r="BK3" s="891" t="s">
        <v>172</v>
      </c>
      <c r="BL3" s="846" t="s">
        <v>173</v>
      </c>
      <c r="BM3" s="891" t="s">
        <v>174</v>
      </c>
      <c r="BN3" s="891" t="s">
        <v>175</v>
      </c>
      <c r="BO3" s="891" t="s">
        <v>176</v>
      </c>
      <c r="BP3" s="891" t="s">
        <v>177</v>
      </c>
      <c r="BQ3" s="891" t="s">
        <v>166</v>
      </c>
      <c r="BR3" s="891" t="s">
        <v>167</v>
      </c>
      <c r="BS3" s="891" t="s">
        <v>168</v>
      </c>
      <c r="BT3" s="891" t="s">
        <v>169</v>
      </c>
      <c r="BU3" s="891" t="s">
        <v>170</v>
      </c>
      <c r="BV3" s="891" t="s">
        <v>171</v>
      </c>
      <c r="BW3" s="891" t="s">
        <v>172</v>
      </c>
      <c r="BX3" s="846" t="s">
        <v>173</v>
      </c>
      <c r="BY3" s="891" t="s">
        <v>174</v>
      </c>
      <c r="BZ3" s="891" t="s">
        <v>175</v>
      </c>
      <c r="CA3" s="891" t="s">
        <v>176</v>
      </c>
      <c r="CB3" s="891" t="s">
        <v>177</v>
      </c>
      <c r="CC3" s="891" t="s">
        <v>166</v>
      </c>
      <c r="CD3" s="891" t="s">
        <v>167</v>
      </c>
      <c r="CE3" s="891" t="s">
        <v>168</v>
      </c>
      <c r="CF3" s="891" t="s">
        <v>169</v>
      </c>
      <c r="CG3" s="891" t="s">
        <v>170</v>
      </c>
      <c r="CH3" s="891" t="s">
        <v>171</v>
      </c>
      <c r="CI3" s="891" t="s">
        <v>172</v>
      </c>
      <c r="CJ3" s="846" t="s">
        <v>173</v>
      </c>
      <c r="CK3" s="891" t="s">
        <v>174</v>
      </c>
      <c r="CL3" s="891" t="s">
        <v>175</v>
      </c>
      <c r="CM3" s="891" t="s">
        <v>176</v>
      </c>
      <c r="CN3" s="891" t="s">
        <v>177</v>
      </c>
      <c r="CO3" s="891" t="s">
        <v>166</v>
      </c>
      <c r="CP3" s="891" t="s">
        <v>167</v>
      </c>
      <c r="CQ3" s="891" t="s">
        <v>168</v>
      </c>
      <c r="CR3" s="891" t="s">
        <v>169</v>
      </c>
      <c r="CS3" s="891" t="s">
        <v>170</v>
      </c>
      <c r="CT3" s="891" t="s">
        <v>171</v>
      </c>
      <c r="CU3" s="891" t="s">
        <v>172</v>
      </c>
      <c r="CV3" s="846" t="s">
        <v>173</v>
      </c>
      <c r="CW3" s="891" t="s">
        <v>174</v>
      </c>
      <c r="CX3" s="891" t="s">
        <v>175</v>
      </c>
      <c r="CY3" s="891" t="s">
        <v>176</v>
      </c>
      <c r="CZ3" s="891" t="s">
        <v>177</v>
      </c>
      <c r="DA3" s="891" t="s">
        <v>166</v>
      </c>
      <c r="DB3" s="891" t="s">
        <v>167</v>
      </c>
      <c r="DC3" s="891" t="s">
        <v>168</v>
      </c>
      <c r="DD3" s="891" t="s">
        <v>169</v>
      </c>
      <c r="DE3" s="891" t="s">
        <v>170</v>
      </c>
      <c r="DF3" s="891" t="s">
        <v>171</v>
      </c>
      <c r="DG3" s="891" t="s">
        <v>172</v>
      </c>
      <c r="DH3" s="846" t="s">
        <v>173</v>
      </c>
      <c r="DI3" s="891" t="s">
        <v>174</v>
      </c>
      <c r="DJ3" s="891" t="s">
        <v>175</v>
      </c>
      <c r="DK3" s="891" t="s">
        <v>176</v>
      </c>
      <c r="DL3" s="891" t="s">
        <v>177</v>
      </c>
      <c r="DM3" s="891" t="s">
        <v>166</v>
      </c>
      <c r="DN3" s="891" t="s">
        <v>167</v>
      </c>
      <c r="DO3" s="891" t="s">
        <v>168</v>
      </c>
      <c r="DP3" s="891" t="s">
        <v>169</v>
      </c>
      <c r="DQ3" s="891" t="s">
        <v>170</v>
      </c>
      <c r="DR3" s="891" t="s">
        <v>171</v>
      </c>
      <c r="DS3" s="891" t="s">
        <v>172</v>
      </c>
      <c r="DT3" s="846" t="s">
        <v>173</v>
      </c>
    </row>
    <row r="4" spans="1:132" hidden="1" x14ac:dyDescent="0.2">
      <c r="B4" s="21" t="s">
        <v>88</v>
      </c>
      <c r="C4" s="20"/>
      <c r="D4" s="20"/>
      <c r="E4" s="834" t="e">
        <f>#REF!</f>
        <v>#REF!</v>
      </c>
      <c r="F4" s="834" t="e">
        <f>#REF!</f>
        <v>#REF!</v>
      </c>
      <c r="G4" s="834" t="e">
        <f>#REF!</f>
        <v>#REF!</v>
      </c>
      <c r="H4" s="834" t="e">
        <f>#REF!</f>
        <v>#REF!</v>
      </c>
      <c r="I4" s="834" t="e">
        <f>#REF!</f>
        <v>#REF!</v>
      </c>
      <c r="J4" s="834" t="e">
        <f>#REF!</f>
        <v>#REF!</v>
      </c>
      <c r="K4" s="834" t="e">
        <f>#REF!</f>
        <v>#REF!</v>
      </c>
      <c r="L4" s="834" t="e">
        <f>#REF!</f>
        <v>#REF!</v>
      </c>
      <c r="M4" s="834" t="e">
        <f>#REF!</f>
        <v>#REF!</v>
      </c>
      <c r="N4" s="834" t="e">
        <f>#REF!</f>
        <v>#REF!</v>
      </c>
      <c r="O4" s="834" t="e">
        <f>#REF!</f>
        <v>#REF!</v>
      </c>
      <c r="P4" s="847" t="e">
        <f>#REF!</f>
        <v>#REF!</v>
      </c>
      <c r="Q4" s="690" t="e">
        <f>#REF!</f>
        <v>#REF!</v>
      </c>
      <c r="R4" s="834" t="e">
        <f>#REF!</f>
        <v>#REF!</v>
      </c>
      <c r="S4" s="834" t="e">
        <f>#REF!</f>
        <v>#REF!</v>
      </c>
      <c r="T4" s="834" t="e">
        <f>#REF!</f>
        <v>#REF!</v>
      </c>
      <c r="U4" s="834" t="e">
        <f>#REF!</f>
        <v>#REF!</v>
      </c>
      <c r="V4" s="834" t="e">
        <f>#REF!</f>
        <v>#REF!</v>
      </c>
      <c r="W4" s="834" t="e">
        <f>#REF!</f>
        <v>#REF!</v>
      </c>
      <c r="X4" s="834" t="e">
        <f>#REF!</f>
        <v>#REF!</v>
      </c>
      <c r="Y4" s="834" t="e">
        <f>#REF!</f>
        <v>#REF!</v>
      </c>
      <c r="Z4" s="834" t="e">
        <f>#REF!</f>
        <v>#REF!</v>
      </c>
      <c r="AA4" s="834" t="e">
        <f>#REF!</f>
        <v>#REF!</v>
      </c>
      <c r="AB4" s="847" t="e">
        <f>#REF!</f>
        <v>#REF!</v>
      </c>
      <c r="AC4" s="690" t="e">
        <f>#REF!</f>
        <v>#REF!</v>
      </c>
      <c r="AD4" s="834" t="e">
        <f>#REF!</f>
        <v>#REF!</v>
      </c>
      <c r="AE4" s="834" t="e">
        <f>#REF!</f>
        <v>#REF!</v>
      </c>
      <c r="AF4" s="834" t="e">
        <f>#REF!</f>
        <v>#REF!</v>
      </c>
      <c r="AG4" s="834" t="e">
        <f>#REF!</f>
        <v>#REF!</v>
      </c>
      <c r="AH4" s="834" t="e">
        <f>#REF!</f>
        <v>#REF!</v>
      </c>
      <c r="AI4" s="834" t="e">
        <f>#REF!</f>
        <v>#REF!</v>
      </c>
      <c r="AJ4" s="834" t="e">
        <f>#REF!</f>
        <v>#REF!</v>
      </c>
      <c r="AK4" s="834" t="e">
        <f>#REF!</f>
        <v>#REF!</v>
      </c>
      <c r="AL4" s="834" t="e">
        <f>#REF!</f>
        <v>#REF!</v>
      </c>
      <c r="AM4" s="834" t="e">
        <f>#REF!</f>
        <v>#REF!</v>
      </c>
      <c r="AN4" s="847" t="e">
        <f>#REF!</f>
        <v>#REF!</v>
      </c>
      <c r="AO4" s="690" t="e">
        <f>#REF!</f>
        <v>#REF!</v>
      </c>
      <c r="AP4" s="834" t="e">
        <f>#REF!</f>
        <v>#REF!</v>
      </c>
      <c r="AQ4" s="834" t="e">
        <f>#REF!</f>
        <v>#REF!</v>
      </c>
      <c r="AR4" s="834" t="e">
        <f>#REF!</f>
        <v>#REF!</v>
      </c>
      <c r="AS4" s="834" t="e">
        <f>#REF!</f>
        <v>#REF!</v>
      </c>
      <c r="AT4" s="834" t="e">
        <f>#REF!</f>
        <v>#REF!</v>
      </c>
      <c r="AU4" s="834" t="e">
        <f>#REF!</f>
        <v>#REF!</v>
      </c>
      <c r="AV4" s="834" t="e">
        <f>#REF!</f>
        <v>#REF!</v>
      </c>
      <c r="AW4" s="834" t="e">
        <f>#REF!</f>
        <v>#REF!</v>
      </c>
      <c r="AX4" s="834" t="e">
        <f>#REF!</f>
        <v>#REF!</v>
      </c>
      <c r="AY4" s="834" t="e">
        <f>#REF!</f>
        <v>#REF!</v>
      </c>
      <c r="AZ4" s="847" t="e">
        <f>#REF!</f>
        <v>#REF!</v>
      </c>
      <c r="BA4" s="690" t="e">
        <f>#REF!</f>
        <v>#REF!</v>
      </c>
      <c r="BB4" s="834" t="e">
        <f>#REF!</f>
        <v>#REF!</v>
      </c>
      <c r="BC4" s="834" t="e">
        <f>#REF!</f>
        <v>#REF!</v>
      </c>
      <c r="BD4" s="834" t="e">
        <f>#REF!</f>
        <v>#REF!</v>
      </c>
      <c r="BE4" s="834" t="e">
        <f>#REF!</f>
        <v>#REF!</v>
      </c>
      <c r="BF4" s="834" t="e">
        <f>#REF!</f>
        <v>#REF!</v>
      </c>
      <c r="BG4" s="834" t="e">
        <f>#REF!</f>
        <v>#REF!</v>
      </c>
      <c r="BH4" s="834" t="e">
        <f>#REF!</f>
        <v>#REF!</v>
      </c>
      <c r="BI4" s="834" t="e">
        <f>#REF!</f>
        <v>#REF!</v>
      </c>
      <c r="BJ4" s="834" t="e">
        <f>#REF!</f>
        <v>#REF!</v>
      </c>
      <c r="BK4" s="834" t="e">
        <f>#REF!</f>
        <v>#REF!</v>
      </c>
      <c r="BL4" s="847" t="e">
        <f>#REF!</f>
        <v>#REF!</v>
      </c>
      <c r="BM4" s="690" t="e">
        <f>#REF!</f>
        <v>#REF!</v>
      </c>
      <c r="BN4" s="834" t="e">
        <f>#REF!</f>
        <v>#REF!</v>
      </c>
      <c r="BO4" s="834" t="e">
        <f>#REF!</f>
        <v>#REF!</v>
      </c>
      <c r="BP4" s="834" t="e">
        <f>#REF!</f>
        <v>#REF!</v>
      </c>
      <c r="BQ4" s="834" t="e">
        <f>#REF!</f>
        <v>#REF!</v>
      </c>
      <c r="BR4" s="834" t="e">
        <f>#REF!</f>
        <v>#REF!</v>
      </c>
      <c r="BS4" s="834" t="e">
        <f>#REF!</f>
        <v>#REF!</v>
      </c>
      <c r="BT4" s="834" t="e">
        <f>#REF!</f>
        <v>#REF!</v>
      </c>
      <c r="BU4" s="834" t="e">
        <f>#REF!</f>
        <v>#REF!</v>
      </c>
      <c r="BV4" s="834" t="e">
        <f>#REF!</f>
        <v>#REF!</v>
      </c>
      <c r="BW4" s="834" t="e">
        <f>#REF!</f>
        <v>#REF!</v>
      </c>
      <c r="BX4" s="847" t="e">
        <f>#REF!</f>
        <v>#REF!</v>
      </c>
      <c r="BY4" s="690" t="e">
        <f>#REF!</f>
        <v>#REF!</v>
      </c>
      <c r="BZ4" s="834" t="e">
        <f>#REF!</f>
        <v>#REF!</v>
      </c>
      <c r="CA4" s="834" t="e">
        <f>#REF!</f>
        <v>#REF!</v>
      </c>
      <c r="CB4" s="834" t="e">
        <f>#REF!</f>
        <v>#REF!</v>
      </c>
      <c r="CC4" s="834" t="e">
        <f>#REF!</f>
        <v>#REF!</v>
      </c>
      <c r="CD4" s="834" t="e">
        <f>#REF!</f>
        <v>#REF!</v>
      </c>
      <c r="CE4" s="834" t="e">
        <f>#REF!</f>
        <v>#REF!</v>
      </c>
      <c r="CF4" s="834" t="e">
        <f>#REF!</f>
        <v>#REF!</v>
      </c>
      <c r="CG4" s="834" t="e">
        <f>#REF!</f>
        <v>#REF!</v>
      </c>
      <c r="CH4" s="834" t="e">
        <f>#REF!</f>
        <v>#REF!</v>
      </c>
      <c r="CI4" s="834" t="e">
        <f>#REF!</f>
        <v>#REF!</v>
      </c>
      <c r="CJ4" s="847" t="e">
        <f>#REF!</f>
        <v>#REF!</v>
      </c>
      <c r="CK4" s="690" t="e">
        <f>#REF!</f>
        <v>#REF!</v>
      </c>
      <c r="CL4" s="834" t="e">
        <f>#REF!</f>
        <v>#REF!</v>
      </c>
      <c r="CM4" s="834" t="e">
        <f>#REF!</f>
        <v>#REF!</v>
      </c>
      <c r="CN4" s="834" t="e">
        <f>#REF!</f>
        <v>#REF!</v>
      </c>
      <c r="CO4" s="834" t="e">
        <f>#REF!</f>
        <v>#REF!</v>
      </c>
      <c r="CP4" s="834" t="e">
        <f>#REF!</f>
        <v>#REF!</v>
      </c>
      <c r="CQ4" s="834" t="e">
        <f>#REF!</f>
        <v>#REF!</v>
      </c>
      <c r="CR4" s="834" t="e">
        <f>#REF!</f>
        <v>#REF!</v>
      </c>
      <c r="CS4" s="834" t="e">
        <f>#REF!</f>
        <v>#REF!</v>
      </c>
      <c r="CT4" s="834" t="e">
        <f>#REF!</f>
        <v>#REF!</v>
      </c>
      <c r="CU4" s="834" t="e">
        <f>#REF!</f>
        <v>#REF!</v>
      </c>
      <c r="CV4" s="847" t="e">
        <f>#REF!</f>
        <v>#REF!</v>
      </c>
      <c r="CW4" s="690" t="e">
        <f>#REF!</f>
        <v>#REF!</v>
      </c>
      <c r="CX4" s="834" t="e">
        <f>#REF!</f>
        <v>#REF!</v>
      </c>
      <c r="CY4" s="834" t="e">
        <f>#REF!</f>
        <v>#REF!</v>
      </c>
      <c r="CZ4" s="834" t="e">
        <f>#REF!</f>
        <v>#REF!</v>
      </c>
      <c r="DA4" s="834" t="e">
        <f>#REF!</f>
        <v>#REF!</v>
      </c>
      <c r="DB4" s="834" t="e">
        <f>#REF!</f>
        <v>#REF!</v>
      </c>
      <c r="DC4" s="834" t="e">
        <f>#REF!</f>
        <v>#REF!</v>
      </c>
      <c r="DD4" s="834" t="e">
        <f>#REF!</f>
        <v>#REF!</v>
      </c>
      <c r="DE4" s="834" t="e">
        <f>#REF!</f>
        <v>#REF!</v>
      </c>
      <c r="DF4" s="834" t="e">
        <f>#REF!</f>
        <v>#REF!</v>
      </c>
      <c r="DG4" s="834" t="e">
        <f>#REF!</f>
        <v>#REF!</v>
      </c>
      <c r="DH4" s="847" t="e">
        <f>#REF!</f>
        <v>#REF!</v>
      </c>
      <c r="DI4" s="690" t="e">
        <f>#REF!</f>
        <v>#REF!</v>
      </c>
      <c r="DJ4" s="834" t="e">
        <f>#REF!</f>
        <v>#REF!</v>
      </c>
      <c r="DK4" s="834" t="e">
        <f>#REF!</f>
        <v>#REF!</v>
      </c>
      <c r="DL4" s="834" t="e">
        <f>#REF!</f>
        <v>#REF!</v>
      </c>
      <c r="DM4" s="834" t="e">
        <f>#REF!</f>
        <v>#REF!</v>
      </c>
      <c r="DN4" s="834" t="e">
        <f>#REF!</f>
        <v>#REF!</v>
      </c>
      <c r="DO4" s="834" t="e">
        <f>#REF!</f>
        <v>#REF!</v>
      </c>
      <c r="DP4" s="834" t="e">
        <f>#REF!</f>
        <v>#REF!</v>
      </c>
      <c r="DQ4" s="834" t="e">
        <f>#REF!</f>
        <v>#REF!</v>
      </c>
      <c r="DR4" s="834" t="e">
        <f>#REF!</f>
        <v>#REF!</v>
      </c>
      <c r="DS4" s="834" t="e">
        <f>#REF!</f>
        <v>#REF!</v>
      </c>
      <c r="DT4" s="847" t="e">
        <f>#REF!</f>
        <v>#REF!</v>
      </c>
    </row>
    <row r="5" spans="1:132" hidden="1" x14ac:dyDescent="0.2">
      <c r="B5" s="21" t="s">
        <v>89</v>
      </c>
      <c r="C5" s="20"/>
      <c r="D5" s="20"/>
      <c r="E5" s="834" t="e">
        <f>#REF!</f>
        <v>#REF!</v>
      </c>
      <c r="F5" s="834" t="e">
        <f>#REF!</f>
        <v>#REF!</v>
      </c>
      <c r="G5" s="834" t="e">
        <f>#REF!</f>
        <v>#REF!</v>
      </c>
      <c r="H5" s="834" t="e">
        <f>#REF!</f>
        <v>#REF!</v>
      </c>
      <c r="I5" s="834" t="e">
        <f>#REF!</f>
        <v>#REF!</v>
      </c>
      <c r="J5" s="834" t="e">
        <f>#REF!</f>
        <v>#REF!</v>
      </c>
      <c r="K5" s="834" t="e">
        <f>#REF!</f>
        <v>#REF!</v>
      </c>
      <c r="L5" s="834" t="e">
        <f>#REF!</f>
        <v>#REF!</v>
      </c>
      <c r="M5" s="834" t="e">
        <f>#REF!</f>
        <v>#REF!</v>
      </c>
      <c r="N5" s="834" t="e">
        <f>#REF!</f>
        <v>#REF!</v>
      </c>
      <c r="O5" s="834" t="e">
        <f>#REF!</f>
        <v>#REF!</v>
      </c>
      <c r="P5" s="847" t="e">
        <f>#REF!</f>
        <v>#REF!</v>
      </c>
      <c r="Q5" s="690" t="e">
        <f>#REF!</f>
        <v>#REF!</v>
      </c>
      <c r="R5" s="834" t="e">
        <f>#REF!</f>
        <v>#REF!</v>
      </c>
      <c r="S5" s="834" t="e">
        <f>#REF!</f>
        <v>#REF!</v>
      </c>
      <c r="T5" s="834" t="e">
        <f>#REF!</f>
        <v>#REF!</v>
      </c>
      <c r="U5" s="834" t="e">
        <f>#REF!</f>
        <v>#REF!</v>
      </c>
      <c r="V5" s="834" t="e">
        <f>#REF!</f>
        <v>#REF!</v>
      </c>
      <c r="W5" s="834" t="e">
        <f>#REF!</f>
        <v>#REF!</v>
      </c>
      <c r="X5" s="834" t="e">
        <f>#REF!</f>
        <v>#REF!</v>
      </c>
      <c r="Y5" s="834" t="e">
        <f>#REF!</f>
        <v>#REF!</v>
      </c>
      <c r="Z5" s="834" t="e">
        <f>#REF!</f>
        <v>#REF!</v>
      </c>
      <c r="AA5" s="834" t="e">
        <f>#REF!</f>
        <v>#REF!</v>
      </c>
      <c r="AB5" s="847" t="e">
        <f>#REF!</f>
        <v>#REF!</v>
      </c>
      <c r="AC5" s="690" t="e">
        <f>#REF!</f>
        <v>#REF!</v>
      </c>
      <c r="AD5" s="834" t="e">
        <f>#REF!</f>
        <v>#REF!</v>
      </c>
      <c r="AE5" s="834" t="e">
        <f>#REF!</f>
        <v>#REF!</v>
      </c>
      <c r="AF5" s="834" t="e">
        <f>#REF!</f>
        <v>#REF!</v>
      </c>
      <c r="AG5" s="834" t="e">
        <f>#REF!</f>
        <v>#REF!</v>
      </c>
      <c r="AH5" s="834" t="e">
        <f>#REF!</f>
        <v>#REF!</v>
      </c>
      <c r="AI5" s="834" t="e">
        <f>#REF!</f>
        <v>#REF!</v>
      </c>
      <c r="AJ5" s="834" t="e">
        <f>#REF!</f>
        <v>#REF!</v>
      </c>
      <c r="AK5" s="834" t="e">
        <f>#REF!</f>
        <v>#REF!</v>
      </c>
      <c r="AL5" s="834" t="e">
        <f>#REF!</f>
        <v>#REF!</v>
      </c>
      <c r="AM5" s="834" t="e">
        <f>#REF!</f>
        <v>#REF!</v>
      </c>
      <c r="AN5" s="847" t="e">
        <f>#REF!</f>
        <v>#REF!</v>
      </c>
      <c r="AO5" s="690" t="e">
        <f>#REF!</f>
        <v>#REF!</v>
      </c>
      <c r="AP5" s="834" t="e">
        <f>#REF!</f>
        <v>#REF!</v>
      </c>
      <c r="AQ5" s="834" t="e">
        <f>#REF!</f>
        <v>#REF!</v>
      </c>
      <c r="AR5" s="834" t="e">
        <f>#REF!</f>
        <v>#REF!</v>
      </c>
      <c r="AS5" s="834" t="e">
        <f>#REF!</f>
        <v>#REF!</v>
      </c>
      <c r="AT5" s="834" t="e">
        <f>#REF!</f>
        <v>#REF!</v>
      </c>
      <c r="AU5" s="834" t="e">
        <f>#REF!</f>
        <v>#REF!</v>
      </c>
      <c r="AV5" s="834" t="e">
        <f>#REF!</f>
        <v>#REF!</v>
      </c>
      <c r="AW5" s="834" t="e">
        <f>#REF!</f>
        <v>#REF!</v>
      </c>
      <c r="AX5" s="834" t="e">
        <f>#REF!</f>
        <v>#REF!</v>
      </c>
      <c r="AY5" s="834" t="e">
        <f>#REF!</f>
        <v>#REF!</v>
      </c>
      <c r="AZ5" s="847" t="e">
        <f>#REF!</f>
        <v>#REF!</v>
      </c>
      <c r="BA5" s="690" t="e">
        <f>#REF!</f>
        <v>#REF!</v>
      </c>
      <c r="BB5" s="834" t="e">
        <f>#REF!</f>
        <v>#REF!</v>
      </c>
      <c r="BC5" s="834" t="e">
        <f>#REF!</f>
        <v>#REF!</v>
      </c>
      <c r="BD5" s="834" t="e">
        <f>#REF!</f>
        <v>#REF!</v>
      </c>
      <c r="BE5" s="834" t="e">
        <f>#REF!</f>
        <v>#REF!</v>
      </c>
      <c r="BF5" s="834" t="e">
        <f>#REF!</f>
        <v>#REF!</v>
      </c>
      <c r="BG5" s="834" t="e">
        <f>#REF!</f>
        <v>#REF!</v>
      </c>
      <c r="BH5" s="834" t="e">
        <f>#REF!</f>
        <v>#REF!</v>
      </c>
      <c r="BI5" s="834" t="e">
        <f>#REF!</f>
        <v>#REF!</v>
      </c>
      <c r="BJ5" s="834" t="e">
        <f>#REF!</f>
        <v>#REF!</v>
      </c>
      <c r="BK5" s="834" t="e">
        <f>#REF!</f>
        <v>#REF!</v>
      </c>
      <c r="BL5" s="847" t="e">
        <f>#REF!</f>
        <v>#REF!</v>
      </c>
      <c r="BM5" s="690" t="e">
        <f>#REF!</f>
        <v>#REF!</v>
      </c>
      <c r="BN5" s="834" t="e">
        <f>#REF!</f>
        <v>#REF!</v>
      </c>
      <c r="BO5" s="834" t="e">
        <f>#REF!</f>
        <v>#REF!</v>
      </c>
      <c r="BP5" s="834" t="e">
        <f>#REF!</f>
        <v>#REF!</v>
      </c>
      <c r="BQ5" s="834" t="e">
        <f>#REF!</f>
        <v>#REF!</v>
      </c>
      <c r="BR5" s="834" t="e">
        <f>#REF!</f>
        <v>#REF!</v>
      </c>
      <c r="BS5" s="834" t="e">
        <f>#REF!</f>
        <v>#REF!</v>
      </c>
      <c r="BT5" s="834" t="e">
        <f>#REF!</f>
        <v>#REF!</v>
      </c>
      <c r="BU5" s="834" t="e">
        <f>#REF!</f>
        <v>#REF!</v>
      </c>
      <c r="BV5" s="834" t="e">
        <f>#REF!</f>
        <v>#REF!</v>
      </c>
      <c r="BW5" s="834" t="e">
        <f>#REF!</f>
        <v>#REF!</v>
      </c>
      <c r="BX5" s="847" t="e">
        <f>#REF!</f>
        <v>#REF!</v>
      </c>
      <c r="BY5" s="690" t="e">
        <f>#REF!</f>
        <v>#REF!</v>
      </c>
      <c r="BZ5" s="834" t="e">
        <f>#REF!</f>
        <v>#REF!</v>
      </c>
      <c r="CA5" s="834" t="e">
        <f>#REF!</f>
        <v>#REF!</v>
      </c>
      <c r="CB5" s="834" t="e">
        <f>#REF!</f>
        <v>#REF!</v>
      </c>
      <c r="CC5" s="834" t="e">
        <f>#REF!</f>
        <v>#REF!</v>
      </c>
      <c r="CD5" s="834" t="e">
        <f>#REF!</f>
        <v>#REF!</v>
      </c>
      <c r="CE5" s="834" t="e">
        <f>#REF!</f>
        <v>#REF!</v>
      </c>
      <c r="CF5" s="834" t="e">
        <f>#REF!</f>
        <v>#REF!</v>
      </c>
      <c r="CG5" s="834" t="e">
        <f>#REF!</f>
        <v>#REF!</v>
      </c>
      <c r="CH5" s="834" t="e">
        <f>#REF!</f>
        <v>#REF!</v>
      </c>
      <c r="CI5" s="834" t="e">
        <f>#REF!</f>
        <v>#REF!</v>
      </c>
      <c r="CJ5" s="847" t="e">
        <f>#REF!</f>
        <v>#REF!</v>
      </c>
      <c r="CK5" s="690" t="e">
        <f>#REF!</f>
        <v>#REF!</v>
      </c>
      <c r="CL5" s="834" t="e">
        <f>#REF!</f>
        <v>#REF!</v>
      </c>
      <c r="CM5" s="834" t="e">
        <f>#REF!</f>
        <v>#REF!</v>
      </c>
      <c r="CN5" s="834" t="e">
        <f>#REF!</f>
        <v>#REF!</v>
      </c>
      <c r="CO5" s="834" t="e">
        <f>#REF!</f>
        <v>#REF!</v>
      </c>
      <c r="CP5" s="834" t="e">
        <f>#REF!</f>
        <v>#REF!</v>
      </c>
      <c r="CQ5" s="834" t="e">
        <f>#REF!</f>
        <v>#REF!</v>
      </c>
      <c r="CR5" s="834" t="e">
        <f>#REF!</f>
        <v>#REF!</v>
      </c>
      <c r="CS5" s="834" t="e">
        <f>#REF!</f>
        <v>#REF!</v>
      </c>
      <c r="CT5" s="834" t="e">
        <f>#REF!</f>
        <v>#REF!</v>
      </c>
      <c r="CU5" s="834" t="e">
        <f>#REF!</f>
        <v>#REF!</v>
      </c>
      <c r="CV5" s="847" t="e">
        <f>#REF!</f>
        <v>#REF!</v>
      </c>
      <c r="CW5" s="690" t="e">
        <f>#REF!</f>
        <v>#REF!</v>
      </c>
      <c r="CX5" s="834" t="e">
        <f>#REF!</f>
        <v>#REF!</v>
      </c>
      <c r="CY5" s="834" t="e">
        <f>#REF!</f>
        <v>#REF!</v>
      </c>
      <c r="CZ5" s="834" t="e">
        <f>#REF!</f>
        <v>#REF!</v>
      </c>
      <c r="DA5" s="834" t="e">
        <f>#REF!</f>
        <v>#REF!</v>
      </c>
      <c r="DB5" s="834" t="e">
        <f>#REF!</f>
        <v>#REF!</v>
      </c>
      <c r="DC5" s="834" t="e">
        <f>#REF!</f>
        <v>#REF!</v>
      </c>
      <c r="DD5" s="834" t="e">
        <f>#REF!</f>
        <v>#REF!</v>
      </c>
      <c r="DE5" s="834" t="e">
        <f>#REF!</f>
        <v>#REF!</v>
      </c>
      <c r="DF5" s="834" t="e">
        <f>#REF!</f>
        <v>#REF!</v>
      </c>
      <c r="DG5" s="834" t="e">
        <f>#REF!</f>
        <v>#REF!</v>
      </c>
      <c r="DH5" s="847" t="e">
        <f>#REF!</f>
        <v>#REF!</v>
      </c>
      <c r="DI5" s="690" t="e">
        <f>#REF!</f>
        <v>#REF!</v>
      </c>
      <c r="DJ5" s="834" t="e">
        <f>#REF!</f>
        <v>#REF!</v>
      </c>
      <c r="DK5" s="834" t="e">
        <f>#REF!</f>
        <v>#REF!</v>
      </c>
      <c r="DL5" s="834" t="e">
        <f>#REF!</f>
        <v>#REF!</v>
      </c>
      <c r="DM5" s="834" t="e">
        <f>#REF!</f>
        <v>#REF!</v>
      </c>
      <c r="DN5" s="834" t="e">
        <f>#REF!</f>
        <v>#REF!</v>
      </c>
      <c r="DO5" s="834" t="e">
        <f>#REF!</f>
        <v>#REF!</v>
      </c>
      <c r="DP5" s="834" t="e">
        <f>#REF!</f>
        <v>#REF!</v>
      </c>
      <c r="DQ5" s="834" t="e">
        <f>#REF!</f>
        <v>#REF!</v>
      </c>
      <c r="DR5" s="834" t="e">
        <f>#REF!</f>
        <v>#REF!</v>
      </c>
      <c r="DS5" s="834" t="e">
        <f>#REF!</f>
        <v>#REF!</v>
      </c>
      <c r="DT5" s="847" t="e">
        <f>#REF!</f>
        <v>#REF!</v>
      </c>
    </row>
    <row r="6" spans="1:132" x14ac:dyDescent="0.2">
      <c r="B6" s="21" t="s">
        <v>307</v>
      </c>
      <c r="C6" s="20"/>
      <c r="D6" s="20"/>
      <c r="E6" s="834">
        <f>Assumptions!$E$7</f>
        <v>1</v>
      </c>
      <c r="F6" s="834">
        <f>Assumptions!$E$7</f>
        <v>1</v>
      </c>
      <c r="G6" s="834">
        <f>Assumptions!$E$7</f>
        <v>1</v>
      </c>
      <c r="H6" s="834">
        <f>Assumptions!$E$7</f>
        <v>1</v>
      </c>
      <c r="I6" s="834">
        <f>Assumptions!$E$7</f>
        <v>1</v>
      </c>
      <c r="J6" s="834">
        <f>Assumptions!$E$7</f>
        <v>1</v>
      </c>
      <c r="K6" s="834">
        <f>Assumptions!$E$7</f>
        <v>1</v>
      </c>
      <c r="L6" s="834">
        <f>Assumptions!$E$7</f>
        <v>1</v>
      </c>
      <c r="M6" s="834">
        <f>Assumptions!$E$7</f>
        <v>1</v>
      </c>
      <c r="N6" s="834">
        <f>Assumptions!$E$7</f>
        <v>1</v>
      </c>
      <c r="O6" s="834">
        <f>Assumptions!$E$7</f>
        <v>1</v>
      </c>
      <c r="P6" s="847">
        <f>Assumptions!$E$7</f>
        <v>1</v>
      </c>
      <c r="Q6" s="690">
        <f>Assumptions!$F7</f>
        <v>1.0629999999999999</v>
      </c>
      <c r="R6" s="834">
        <f>Assumptions!$F7</f>
        <v>1.0629999999999999</v>
      </c>
      <c r="S6" s="834">
        <f>Assumptions!$F7</f>
        <v>1.0629999999999999</v>
      </c>
      <c r="T6" s="834">
        <f>Assumptions!$F7</f>
        <v>1.0629999999999999</v>
      </c>
      <c r="U6" s="834">
        <f>Assumptions!$F7</f>
        <v>1.0629999999999999</v>
      </c>
      <c r="V6" s="834">
        <f>Assumptions!$F7</f>
        <v>1.0629999999999999</v>
      </c>
      <c r="W6" s="834">
        <f>Assumptions!$F7</f>
        <v>1.0629999999999999</v>
      </c>
      <c r="X6" s="834">
        <f>Assumptions!$F7</f>
        <v>1.0629999999999999</v>
      </c>
      <c r="Y6" s="834">
        <f>Assumptions!$F7</f>
        <v>1.0629999999999999</v>
      </c>
      <c r="Z6" s="834">
        <f>Assumptions!$F7</f>
        <v>1.0629999999999999</v>
      </c>
      <c r="AA6" s="834">
        <f>Assumptions!$F7</f>
        <v>1.0629999999999999</v>
      </c>
      <c r="AB6" s="847">
        <f>Assumptions!$F7</f>
        <v>1.0629999999999999</v>
      </c>
      <c r="AC6" s="690">
        <f>Assumptions!$G7</f>
        <v>1.1299689999999998</v>
      </c>
      <c r="AD6" s="834">
        <f>Assumptions!$G7</f>
        <v>1.1299689999999998</v>
      </c>
      <c r="AE6" s="834">
        <f>Assumptions!$G7</f>
        <v>1.1299689999999998</v>
      </c>
      <c r="AF6" s="834">
        <f>Assumptions!$G7</f>
        <v>1.1299689999999998</v>
      </c>
      <c r="AG6" s="834">
        <f>Assumptions!$G7</f>
        <v>1.1299689999999998</v>
      </c>
      <c r="AH6" s="834">
        <f>Assumptions!$G7</f>
        <v>1.1299689999999998</v>
      </c>
      <c r="AI6" s="834">
        <f>Assumptions!$G7</f>
        <v>1.1299689999999998</v>
      </c>
      <c r="AJ6" s="834">
        <f>Assumptions!$G7</f>
        <v>1.1299689999999998</v>
      </c>
      <c r="AK6" s="834">
        <f>Assumptions!$G7</f>
        <v>1.1299689999999998</v>
      </c>
      <c r="AL6" s="834">
        <f>Assumptions!$G7</f>
        <v>1.1299689999999998</v>
      </c>
      <c r="AM6" s="834">
        <f>Assumptions!$G7</f>
        <v>1.1299689999999998</v>
      </c>
      <c r="AN6" s="847">
        <f>Assumptions!$G7</f>
        <v>1.1299689999999998</v>
      </c>
      <c r="AO6" s="690">
        <f>Assumptions!$H7</f>
        <v>1.2011570469999997</v>
      </c>
      <c r="AP6" s="834">
        <f>Assumptions!$H7</f>
        <v>1.2011570469999997</v>
      </c>
      <c r="AQ6" s="834">
        <f>Assumptions!$H7</f>
        <v>1.2011570469999997</v>
      </c>
      <c r="AR6" s="834">
        <f>Assumptions!$H7</f>
        <v>1.2011570469999997</v>
      </c>
      <c r="AS6" s="834">
        <f>Assumptions!$H7</f>
        <v>1.2011570469999997</v>
      </c>
      <c r="AT6" s="834">
        <f>Assumptions!$H7</f>
        <v>1.2011570469999997</v>
      </c>
      <c r="AU6" s="834">
        <f>Assumptions!$H7</f>
        <v>1.2011570469999997</v>
      </c>
      <c r="AV6" s="834">
        <f>Assumptions!$H7</f>
        <v>1.2011570469999997</v>
      </c>
      <c r="AW6" s="834">
        <f>Assumptions!$H7</f>
        <v>1.2011570469999997</v>
      </c>
      <c r="AX6" s="834">
        <f>Assumptions!$H7</f>
        <v>1.2011570469999997</v>
      </c>
      <c r="AY6" s="834">
        <f>Assumptions!$H7</f>
        <v>1.2011570469999997</v>
      </c>
      <c r="AZ6" s="847">
        <f>Assumptions!$H7</f>
        <v>1.2011570469999997</v>
      </c>
      <c r="BA6" s="690">
        <f>Assumptions!$I7</f>
        <v>1.2768299409609996</v>
      </c>
      <c r="BB6" s="834">
        <f>Assumptions!$I7</f>
        <v>1.2768299409609996</v>
      </c>
      <c r="BC6" s="834">
        <f>Assumptions!$I7</f>
        <v>1.2768299409609996</v>
      </c>
      <c r="BD6" s="834">
        <f>Assumptions!$I7</f>
        <v>1.2768299409609996</v>
      </c>
      <c r="BE6" s="834">
        <f>Assumptions!$I7</f>
        <v>1.2768299409609996</v>
      </c>
      <c r="BF6" s="834">
        <f>Assumptions!$I7</f>
        <v>1.2768299409609996</v>
      </c>
      <c r="BG6" s="834">
        <f>Assumptions!$I7</f>
        <v>1.2768299409609996</v>
      </c>
      <c r="BH6" s="834">
        <f>Assumptions!$I7</f>
        <v>1.2768299409609996</v>
      </c>
      <c r="BI6" s="834">
        <f>Assumptions!$I7</f>
        <v>1.2768299409609996</v>
      </c>
      <c r="BJ6" s="834">
        <f>Assumptions!$I7</f>
        <v>1.2768299409609996</v>
      </c>
      <c r="BK6" s="834">
        <f>Assumptions!$I7</f>
        <v>1.2768299409609996</v>
      </c>
      <c r="BL6" s="847">
        <f>Assumptions!$I7</f>
        <v>1.2768299409609996</v>
      </c>
      <c r="BM6" s="690">
        <f>Assumptions!$J7</f>
        <v>1.3572702272415424</v>
      </c>
      <c r="BN6" s="834">
        <f>Assumptions!$J7</f>
        <v>1.3572702272415424</v>
      </c>
      <c r="BO6" s="834">
        <f>Assumptions!$J7</f>
        <v>1.3572702272415424</v>
      </c>
      <c r="BP6" s="834">
        <f>Assumptions!$J7</f>
        <v>1.3572702272415424</v>
      </c>
      <c r="BQ6" s="834">
        <f>Assumptions!$J7</f>
        <v>1.3572702272415424</v>
      </c>
      <c r="BR6" s="834">
        <f>Assumptions!$J7</f>
        <v>1.3572702272415424</v>
      </c>
      <c r="BS6" s="834">
        <f>Assumptions!$J7</f>
        <v>1.3572702272415424</v>
      </c>
      <c r="BT6" s="834">
        <f>Assumptions!$J7</f>
        <v>1.3572702272415424</v>
      </c>
      <c r="BU6" s="834">
        <f>Assumptions!$J7</f>
        <v>1.3572702272415424</v>
      </c>
      <c r="BV6" s="834">
        <f>Assumptions!$J7</f>
        <v>1.3572702272415424</v>
      </c>
      <c r="BW6" s="834">
        <f>Assumptions!$J7</f>
        <v>1.3572702272415424</v>
      </c>
      <c r="BX6" s="847">
        <f>Assumptions!$J7</f>
        <v>1.3572702272415424</v>
      </c>
      <c r="BY6" s="690">
        <f>Assumptions!$K7</f>
        <v>1.4427782515577596</v>
      </c>
      <c r="BZ6" s="834">
        <f>Assumptions!$K7</f>
        <v>1.4427782515577596</v>
      </c>
      <c r="CA6" s="834">
        <f>Assumptions!$K7</f>
        <v>1.4427782515577596</v>
      </c>
      <c r="CB6" s="834">
        <f>Assumptions!$K7</f>
        <v>1.4427782515577596</v>
      </c>
      <c r="CC6" s="834">
        <f>Assumptions!$K7</f>
        <v>1.4427782515577596</v>
      </c>
      <c r="CD6" s="834">
        <f>Assumptions!$K7</f>
        <v>1.4427782515577596</v>
      </c>
      <c r="CE6" s="834">
        <f>Assumptions!$K7</f>
        <v>1.4427782515577596</v>
      </c>
      <c r="CF6" s="834">
        <f>Assumptions!$K7</f>
        <v>1.4427782515577596</v>
      </c>
      <c r="CG6" s="834">
        <f>Assumptions!$K7</f>
        <v>1.4427782515577596</v>
      </c>
      <c r="CH6" s="834">
        <f>Assumptions!$K7</f>
        <v>1.4427782515577596</v>
      </c>
      <c r="CI6" s="834">
        <f>Assumptions!$K7</f>
        <v>1.4427782515577596</v>
      </c>
      <c r="CJ6" s="847">
        <f>Assumptions!$K7</f>
        <v>1.4427782515577596</v>
      </c>
      <c r="CK6" s="690">
        <f>Assumptions!$L7</f>
        <v>1.5336732814058984</v>
      </c>
      <c r="CL6" s="834">
        <f>Assumptions!$L7</f>
        <v>1.5336732814058984</v>
      </c>
      <c r="CM6" s="834">
        <f>Assumptions!$L7</f>
        <v>1.5336732814058984</v>
      </c>
      <c r="CN6" s="834">
        <f>Assumptions!$L7</f>
        <v>1.5336732814058984</v>
      </c>
      <c r="CO6" s="834">
        <f>Assumptions!$L7</f>
        <v>1.5336732814058984</v>
      </c>
      <c r="CP6" s="834">
        <f>Assumptions!$L7</f>
        <v>1.5336732814058984</v>
      </c>
      <c r="CQ6" s="834">
        <f>Assumptions!$L7</f>
        <v>1.5336732814058984</v>
      </c>
      <c r="CR6" s="834">
        <f>Assumptions!$L7</f>
        <v>1.5336732814058984</v>
      </c>
      <c r="CS6" s="834">
        <f>Assumptions!$L7</f>
        <v>1.5336732814058984</v>
      </c>
      <c r="CT6" s="834">
        <f>Assumptions!$L7</f>
        <v>1.5336732814058984</v>
      </c>
      <c r="CU6" s="834">
        <f>Assumptions!$L7</f>
        <v>1.5336732814058984</v>
      </c>
      <c r="CV6" s="847">
        <f>Assumptions!$L7</f>
        <v>1.5336732814058984</v>
      </c>
      <c r="CW6" s="690">
        <f>Assumptions!$M7</f>
        <v>1.6302946981344699</v>
      </c>
      <c r="CX6" s="834">
        <f>Assumptions!$M7</f>
        <v>1.6302946981344699</v>
      </c>
      <c r="CY6" s="834">
        <f>Assumptions!$M7</f>
        <v>1.6302946981344699</v>
      </c>
      <c r="CZ6" s="834">
        <f>Assumptions!$M7</f>
        <v>1.6302946981344699</v>
      </c>
      <c r="DA6" s="834">
        <f>Assumptions!$M7</f>
        <v>1.6302946981344699</v>
      </c>
      <c r="DB6" s="834">
        <f>Assumptions!$M7</f>
        <v>1.6302946981344699</v>
      </c>
      <c r="DC6" s="834">
        <f>Assumptions!$M7</f>
        <v>1.6302946981344699</v>
      </c>
      <c r="DD6" s="834">
        <f>Assumptions!$M7</f>
        <v>1.6302946981344699</v>
      </c>
      <c r="DE6" s="834">
        <f>Assumptions!$M7</f>
        <v>1.6302946981344699</v>
      </c>
      <c r="DF6" s="834">
        <f>Assumptions!$M7</f>
        <v>1.6302946981344699</v>
      </c>
      <c r="DG6" s="834">
        <f>Assumptions!$M7</f>
        <v>1.6302946981344699</v>
      </c>
      <c r="DH6" s="847">
        <f>Assumptions!$M7</f>
        <v>1.6302946981344699</v>
      </c>
      <c r="DI6" s="690">
        <f>Assumptions!$N7</f>
        <v>1.7330032641169415</v>
      </c>
      <c r="DJ6" s="834">
        <f>Assumptions!$N7</f>
        <v>1.7330032641169415</v>
      </c>
      <c r="DK6" s="834">
        <f>Assumptions!$N7</f>
        <v>1.7330032641169415</v>
      </c>
      <c r="DL6" s="834">
        <f>Assumptions!$N7</f>
        <v>1.7330032641169415</v>
      </c>
      <c r="DM6" s="834">
        <f>Assumptions!$N7</f>
        <v>1.7330032641169415</v>
      </c>
      <c r="DN6" s="834">
        <f>Assumptions!$N7</f>
        <v>1.7330032641169415</v>
      </c>
      <c r="DO6" s="834">
        <f>Assumptions!$N7</f>
        <v>1.7330032641169415</v>
      </c>
      <c r="DP6" s="834">
        <f>Assumptions!$N7</f>
        <v>1.7330032641169415</v>
      </c>
      <c r="DQ6" s="834">
        <f>Assumptions!$N7</f>
        <v>1.7330032641169415</v>
      </c>
      <c r="DR6" s="834">
        <f>Assumptions!$N7</f>
        <v>1.7330032641169415</v>
      </c>
      <c r="DS6" s="834">
        <f>Assumptions!$N7</f>
        <v>1.7330032641169415</v>
      </c>
      <c r="DT6" s="847">
        <f>Assumptions!$N7</f>
        <v>1.7330032641169415</v>
      </c>
    </row>
    <row r="7" spans="1:132" s="7" customFormat="1" ht="12.75" customHeight="1" x14ac:dyDescent="0.2">
      <c r="A7" s="60"/>
      <c r="B7" s="61"/>
      <c r="C7" s="20"/>
      <c r="D7" s="20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49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49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720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720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720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720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720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720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720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720"/>
    </row>
    <row r="8" spans="1:132" ht="18.75" customHeight="1" x14ac:dyDescent="0.3">
      <c r="A8" s="243" t="s">
        <v>468</v>
      </c>
      <c r="B8" s="129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50"/>
      <c r="Q8" s="837"/>
      <c r="R8" s="837"/>
      <c r="S8" s="837"/>
      <c r="T8" s="837"/>
      <c r="U8" s="837"/>
      <c r="V8" s="837"/>
      <c r="W8" s="837"/>
      <c r="X8" s="837"/>
      <c r="Y8" s="837"/>
      <c r="Z8" s="837"/>
      <c r="AA8" s="837"/>
      <c r="AB8" s="850"/>
      <c r="AC8" s="837"/>
      <c r="AD8" s="837"/>
      <c r="AE8" s="837"/>
      <c r="AF8" s="837"/>
      <c r="AG8" s="837"/>
      <c r="AH8" s="837"/>
      <c r="AI8" s="837"/>
      <c r="AJ8" s="837"/>
      <c r="AK8" s="837"/>
      <c r="AL8" s="837"/>
      <c r="AM8" s="837"/>
      <c r="AN8" s="850"/>
      <c r="AO8" s="837"/>
      <c r="AP8" s="837"/>
      <c r="AQ8" s="837"/>
      <c r="AR8" s="837"/>
      <c r="AS8" s="837"/>
      <c r="AT8" s="837"/>
      <c r="AU8" s="837"/>
      <c r="AV8" s="837"/>
      <c r="AW8" s="837"/>
      <c r="AX8" s="837"/>
      <c r="AY8" s="837"/>
      <c r="AZ8" s="850"/>
      <c r="BA8" s="837"/>
      <c r="BB8" s="837"/>
      <c r="BC8" s="837"/>
      <c r="BD8" s="837"/>
      <c r="BE8" s="837"/>
      <c r="BF8" s="837"/>
      <c r="BG8" s="837"/>
      <c r="BH8" s="837"/>
      <c r="BI8" s="837"/>
      <c r="BJ8" s="837"/>
      <c r="BK8" s="837"/>
      <c r="BL8" s="850"/>
      <c r="BM8" s="837"/>
      <c r="BN8" s="837"/>
      <c r="BO8" s="837"/>
      <c r="BP8" s="837"/>
      <c r="BQ8" s="837"/>
      <c r="BR8" s="837"/>
      <c r="BS8" s="837"/>
      <c r="BT8" s="837"/>
      <c r="BU8" s="837"/>
      <c r="BV8" s="837"/>
      <c r="BW8" s="837"/>
      <c r="BX8" s="850"/>
      <c r="BY8" s="837"/>
      <c r="BZ8" s="837"/>
      <c r="CA8" s="837"/>
      <c r="CB8" s="837"/>
      <c r="CC8" s="837"/>
      <c r="CD8" s="837"/>
      <c r="CE8" s="837"/>
      <c r="CF8" s="837"/>
      <c r="CG8" s="837"/>
      <c r="CH8" s="837"/>
      <c r="CI8" s="837"/>
      <c r="CJ8" s="850"/>
      <c r="CK8" s="837"/>
      <c r="CL8" s="837"/>
      <c r="CM8" s="837"/>
      <c r="CN8" s="837"/>
      <c r="CO8" s="837"/>
      <c r="CP8" s="837"/>
      <c r="CQ8" s="837"/>
      <c r="CR8" s="837"/>
      <c r="CS8" s="837"/>
      <c r="CT8" s="837"/>
      <c r="CU8" s="837"/>
      <c r="CV8" s="850"/>
      <c r="CW8" s="837"/>
      <c r="CX8" s="837"/>
      <c r="CY8" s="837"/>
      <c r="CZ8" s="837"/>
      <c r="DA8" s="837"/>
      <c r="DB8" s="837"/>
      <c r="DC8" s="837"/>
      <c r="DD8" s="837"/>
      <c r="DE8" s="837"/>
      <c r="DF8" s="837"/>
      <c r="DG8" s="837"/>
      <c r="DH8" s="850"/>
      <c r="DI8" s="837"/>
      <c r="DJ8" s="837"/>
      <c r="DK8" s="837"/>
      <c r="DL8" s="837"/>
      <c r="DM8" s="837"/>
      <c r="DN8" s="837"/>
      <c r="DO8" s="837"/>
      <c r="DP8" s="837"/>
      <c r="DQ8" s="837"/>
      <c r="DR8" s="837"/>
      <c r="DS8" s="837"/>
      <c r="DT8" s="850"/>
    </row>
    <row r="9" spans="1:132" ht="18.75" customHeight="1" x14ac:dyDescent="0.25">
      <c r="A9" s="596" t="s">
        <v>580</v>
      </c>
      <c r="B9" s="597"/>
      <c r="C9" s="106">
        <f>-'Capex Summary Sheet'!F5</f>
        <v>-435853.94087369426</v>
      </c>
      <c r="D9" s="265"/>
      <c r="E9" s="647">
        <f>C9</f>
        <v>-435853.94087369426</v>
      </c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717"/>
      <c r="Q9" s="28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3"/>
      <c r="AC9" s="28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3"/>
      <c r="AO9" s="28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3"/>
      <c r="BA9" s="28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3"/>
      <c r="BM9" s="28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3"/>
      <c r="BY9" s="28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3"/>
      <c r="CK9" s="28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3"/>
      <c r="CW9" s="28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3"/>
      <c r="DI9" s="28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3"/>
    </row>
    <row r="10" spans="1:132" ht="18.75" customHeight="1" x14ac:dyDescent="0.25">
      <c r="A10" s="596" t="s">
        <v>581</v>
      </c>
      <c r="B10" s="597"/>
      <c r="C10" s="106">
        <f>-'Capex Summary Sheet'!F6</f>
        <v>-5000000</v>
      </c>
      <c r="D10" s="265"/>
      <c r="E10" s="647">
        <f>0.5*$C$10</f>
        <v>-2500000</v>
      </c>
      <c r="F10" s="647">
        <f>0.5*$C$10</f>
        <v>-2500000</v>
      </c>
      <c r="G10" s="647"/>
      <c r="H10" s="647"/>
      <c r="I10" s="647"/>
      <c r="J10" s="647"/>
      <c r="K10" s="647"/>
      <c r="L10" s="647"/>
      <c r="M10" s="647"/>
      <c r="N10" s="647"/>
      <c r="O10" s="647"/>
      <c r="P10" s="717"/>
      <c r="Q10" s="28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28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3"/>
      <c r="AO10" s="28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3"/>
      <c r="BA10" s="28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3"/>
      <c r="BM10" s="28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3"/>
      <c r="BY10" s="28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3"/>
      <c r="CK10" s="28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3"/>
      <c r="CW10" s="28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3"/>
      <c r="DI10" s="28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3"/>
    </row>
    <row r="11" spans="1:132" ht="18.75" customHeight="1" x14ac:dyDescent="0.25">
      <c r="A11" s="596" t="s">
        <v>582</v>
      </c>
      <c r="B11" s="597"/>
      <c r="C11" s="106">
        <f>-'Capex Summary Sheet'!F7</f>
        <v>-2532000</v>
      </c>
      <c r="D11" s="265"/>
      <c r="E11" s="647"/>
      <c r="F11" s="647"/>
      <c r="G11" s="647">
        <f>$C11*1/3</f>
        <v>-844000</v>
      </c>
      <c r="H11" s="647">
        <f>$C11*1/3</f>
        <v>-844000</v>
      </c>
      <c r="I11" s="647">
        <f>$C11*1/3</f>
        <v>-844000</v>
      </c>
      <c r="J11" s="647"/>
      <c r="K11" s="647"/>
      <c r="L11" s="647"/>
      <c r="M11" s="647"/>
      <c r="N11" s="647"/>
      <c r="O11" s="647"/>
      <c r="P11" s="717"/>
      <c r="Q11" s="28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3"/>
      <c r="AC11" s="28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3"/>
      <c r="AO11" s="28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3"/>
      <c r="BA11" s="28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3"/>
      <c r="BM11" s="28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3"/>
      <c r="BY11" s="28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3"/>
      <c r="CK11" s="28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3"/>
      <c r="CW11" s="28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3"/>
      <c r="DI11" s="28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3"/>
    </row>
    <row r="12" spans="1:132" ht="18.75" customHeight="1" x14ac:dyDescent="0.25">
      <c r="A12" s="596" t="s">
        <v>65</v>
      </c>
      <c r="B12" s="597"/>
      <c r="C12" s="106">
        <f>-'Capex Summary Sheet'!F8</f>
        <v>-14014800</v>
      </c>
      <c r="D12" s="265"/>
      <c r="E12" s="647"/>
      <c r="F12" s="647"/>
      <c r="G12" s="647"/>
      <c r="H12" s="647">
        <f t="shared" ref="H12:M12" si="0">$C12*1/6</f>
        <v>-2335800</v>
      </c>
      <c r="I12" s="647">
        <f t="shared" si="0"/>
        <v>-2335800</v>
      </c>
      <c r="J12" s="647">
        <f t="shared" si="0"/>
        <v>-2335800</v>
      </c>
      <c r="K12" s="647">
        <f t="shared" si="0"/>
        <v>-2335800</v>
      </c>
      <c r="L12" s="647">
        <f t="shared" si="0"/>
        <v>-2335800</v>
      </c>
      <c r="M12" s="647">
        <f t="shared" si="0"/>
        <v>-2335800</v>
      </c>
      <c r="N12" s="647"/>
      <c r="O12" s="647"/>
      <c r="P12" s="717"/>
      <c r="Q12" s="28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3"/>
      <c r="AC12" s="28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3"/>
      <c r="AO12" s="28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3"/>
      <c r="BA12" s="28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3"/>
      <c r="BM12" s="28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3"/>
      <c r="BY12" s="28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3"/>
      <c r="CK12" s="28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3"/>
      <c r="CW12" s="28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3"/>
      <c r="DI12" s="28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3"/>
    </row>
    <row r="13" spans="1:132" ht="18.75" customHeight="1" x14ac:dyDescent="0.25">
      <c r="A13" s="596" t="s">
        <v>469</v>
      </c>
      <c r="B13" s="597"/>
      <c r="C13" s="106">
        <f>-'Capex Summary Sheet'!F9</f>
        <v>-3779750</v>
      </c>
      <c r="D13" s="265"/>
      <c r="E13" s="647"/>
      <c r="F13" s="647"/>
      <c r="G13" s="647">
        <f>$C13*1/4</f>
        <v>-944937.5</v>
      </c>
      <c r="H13" s="647">
        <f t="shared" ref="H13:J13" si="1">$C13*1/4</f>
        <v>-944937.5</v>
      </c>
      <c r="I13" s="647">
        <f t="shared" si="1"/>
        <v>-944937.5</v>
      </c>
      <c r="J13" s="647">
        <f t="shared" si="1"/>
        <v>-944937.5</v>
      </c>
      <c r="K13" s="647"/>
      <c r="L13" s="647"/>
      <c r="M13" s="647"/>
      <c r="N13" s="647"/>
      <c r="O13" s="647"/>
      <c r="P13" s="717"/>
      <c r="Q13" s="716"/>
      <c r="R13" s="647"/>
      <c r="S13" s="312"/>
      <c r="T13" s="312"/>
      <c r="U13" s="312"/>
      <c r="V13" s="312"/>
      <c r="W13" s="312"/>
      <c r="X13" s="312"/>
      <c r="Y13" s="312"/>
      <c r="Z13" s="312"/>
      <c r="AA13" s="312"/>
      <c r="AB13" s="313"/>
      <c r="AC13" s="28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3"/>
      <c r="AO13" s="28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3"/>
      <c r="BA13" s="28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3"/>
      <c r="BM13" s="28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3"/>
      <c r="BY13" s="28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3"/>
      <c r="CK13" s="28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3"/>
      <c r="CW13" s="28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3"/>
      <c r="DI13" s="28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3"/>
    </row>
    <row r="14" spans="1:132" ht="18.75" customHeight="1" x14ac:dyDescent="0.25">
      <c r="A14" s="596" t="s">
        <v>1372</v>
      </c>
      <c r="B14" s="597"/>
      <c r="C14" s="106">
        <f>-'Capex Summary Sheet'!F10</f>
        <v>-3921469.3915796182</v>
      </c>
      <c r="D14" s="265"/>
      <c r="E14" s="647"/>
      <c r="F14" s="647"/>
      <c r="G14" s="647"/>
      <c r="H14" s="647"/>
      <c r="I14" s="647"/>
      <c r="J14" s="647"/>
      <c r="K14" s="647"/>
      <c r="L14" s="647">
        <f>$C14*1/3</f>
        <v>-1307156.4638598727</v>
      </c>
      <c r="M14" s="647">
        <f t="shared" ref="M14:N14" si="2">$C14*1/3</f>
        <v>-1307156.4638598727</v>
      </c>
      <c r="N14" s="647">
        <f t="shared" si="2"/>
        <v>-1307156.4638598727</v>
      </c>
      <c r="O14" s="647"/>
      <c r="P14" s="717"/>
      <c r="Q14" s="716"/>
      <c r="R14" s="647"/>
      <c r="S14" s="312"/>
      <c r="T14" s="312"/>
      <c r="U14" s="312"/>
      <c r="V14" s="312"/>
      <c r="W14" s="312"/>
      <c r="X14" s="312"/>
      <c r="Y14" s="312"/>
      <c r="Z14" s="312"/>
      <c r="AA14" s="312"/>
      <c r="AB14" s="313"/>
      <c r="AC14" s="282"/>
      <c r="AD14" s="312"/>
      <c r="AE14" s="312"/>
      <c r="AF14" s="312"/>
      <c r="AG14" s="312"/>
      <c r="AH14" s="409"/>
      <c r="AI14" s="409"/>
      <c r="AJ14" s="312"/>
      <c r="AK14" s="312"/>
      <c r="AL14" s="312"/>
      <c r="AM14" s="312"/>
      <c r="AN14" s="313"/>
      <c r="AO14" s="28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3"/>
      <c r="BA14" s="28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3"/>
      <c r="BM14" s="28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3"/>
      <c r="BY14" s="28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3"/>
      <c r="CK14" s="28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3"/>
      <c r="CW14" s="28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3"/>
      <c r="DI14" s="28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3"/>
    </row>
    <row r="15" spans="1:132" ht="18.75" customHeight="1" x14ac:dyDescent="0.25">
      <c r="A15" s="596" t="s">
        <v>1376</v>
      </c>
      <c r="B15" s="597"/>
      <c r="C15" s="106">
        <f>-'Capex Summary Sheet'!F11</f>
        <v>-7340910</v>
      </c>
      <c r="D15" s="647">
        <v>-10000000</v>
      </c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717"/>
      <c r="Q15" s="716">
        <f>$C$15*1/16</f>
        <v>-458806.875</v>
      </c>
      <c r="R15" s="716">
        <f t="shared" ref="R15:AE15" si="3">$C$15*1/16</f>
        <v>-458806.875</v>
      </c>
      <c r="S15" s="716">
        <f t="shared" si="3"/>
        <v>-458806.875</v>
      </c>
      <c r="T15" s="716">
        <f t="shared" si="3"/>
        <v>-458806.875</v>
      </c>
      <c r="U15" s="716">
        <f t="shared" si="3"/>
        <v>-458806.875</v>
      </c>
      <c r="V15" s="716">
        <f t="shared" si="3"/>
        <v>-458806.875</v>
      </c>
      <c r="W15" s="716">
        <f t="shared" si="3"/>
        <v>-458806.875</v>
      </c>
      <c r="X15" s="716">
        <f t="shared" si="3"/>
        <v>-458806.875</v>
      </c>
      <c r="Y15" s="716">
        <f t="shared" si="3"/>
        <v>-458806.875</v>
      </c>
      <c r="Z15" s="716">
        <f t="shared" si="3"/>
        <v>-458806.875</v>
      </c>
      <c r="AA15" s="716">
        <f t="shared" si="3"/>
        <v>-458806.875</v>
      </c>
      <c r="AB15" s="1132">
        <f t="shared" si="3"/>
        <v>-458806.875</v>
      </c>
      <c r="AC15" s="716">
        <f t="shared" si="3"/>
        <v>-458806.875</v>
      </c>
      <c r="AD15" s="716">
        <f t="shared" si="3"/>
        <v>-458806.875</v>
      </c>
      <c r="AE15" s="716">
        <f t="shared" si="3"/>
        <v>-458806.875</v>
      </c>
      <c r="AF15" s="716">
        <f>$C$15*1/16</f>
        <v>-458806.875</v>
      </c>
      <c r="AG15" s="716">
        <v>0</v>
      </c>
      <c r="AH15" s="716"/>
      <c r="AI15" s="716"/>
      <c r="AJ15" s="716"/>
      <c r="AK15" s="716"/>
      <c r="AL15" s="716"/>
      <c r="AM15" s="716"/>
      <c r="AN15" s="1132"/>
      <c r="AO15" s="716"/>
      <c r="AP15" s="716">
        <v>0</v>
      </c>
      <c r="AQ15" s="716"/>
      <c r="AR15" s="716"/>
      <c r="AS15" s="716"/>
      <c r="AT15" s="716"/>
      <c r="AU15" s="716"/>
      <c r="AV15" s="312"/>
      <c r="AW15" s="312"/>
      <c r="AX15" s="312"/>
      <c r="AY15" s="312"/>
      <c r="AZ15" s="313"/>
      <c r="BA15" s="28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3"/>
      <c r="BM15" s="28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3"/>
      <c r="BY15" s="28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3"/>
      <c r="CK15" s="28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3"/>
      <c r="CW15" s="28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3"/>
      <c r="DI15" s="28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3"/>
    </row>
    <row r="16" spans="1:132" ht="18.75" customHeight="1" x14ac:dyDescent="0.25">
      <c r="A16" s="596" t="s">
        <v>583</v>
      </c>
      <c r="B16" s="597"/>
      <c r="C16" s="106">
        <f>-'Capex Summary Sheet'!F12</f>
        <v>-2357500</v>
      </c>
      <c r="D16" s="265"/>
      <c r="E16" s="647"/>
      <c r="F16" s="647"/>
      <c r="G16" s="647"/>
      <c r="H16" s="647"/>
      <c r="I16" s="647"/>
      <c r="J16" s="647"/>
      <c r="K16" s="647"/>
      <c r="L16" s="647"/>
      <c r="M16" s="647"/>
      <c r="N16" s="647">
        <f>$C16*0.5</f>
        <v>-1178750</v>
      </c>
      <c r="O16" s="647">
        <f>$C16*0.5</f>
        <v>-1178750</v>
      </c>
      <c r="P16" s="717"/>
      <c r="Q16" s="28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3"/>
      <c r="AC16" s="282"/>
      <c r="AD16" s="312"/>
      <c r="AE16" s="312"/>
      <c r="AF16" s="312"/>
      <c r="AG16" s="716"/>
      <c r="AH16" s="716"/>
      <c r="AI16" s="716"/>
      <c r="AJ16" s="716"/>
      <c r="AK16" s="716"/>
      <c r="AL16" s="716"/>
      <c r="AM16" s="716"/>
      <c r="AN16" s="1132"/>
      <c r="AO16" s="716"/>
      <c r="AP16" s="716"/>
      <c r="AQ16" s="716"/>
      <c r="AR16" s="716"/>
      <c r="AS16" s="716"/>
      <c r="AT16" s="716"/>
      <c r="AU16" s="716"/>
      <c r="AV16" s="312"/>
      <c r="AW16" s="312"/>
      <c r="AX16" s="312"/>
      <c r="AY16" s="312"/>
      <c r="AZ16" s="313"/>
      <c r="BA16" s="28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3"/>
      <c r="BM16" s="28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3"/>
      <c r="BY16" s="28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3"/>
      <c r="CK16" s="28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3"/>
      <c r="CW16" s="28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3"/>
      <c r="DI16" s="28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3"/>
    </row>
    <row r="17" spans="1:124" ht="18.75" customHeight="1" x14ac:dyDescent="0.25">
      <c r="A17" s="596" t="s">
        <v>584</v>
      </c>
      <c r="B17" s="597"/>
      <c r="C17" s="106">
        <f>-'Capex Summary Sheet'!F13</f>
        <v>-250000</v>
      </c>
      <c r="D17" s="265"/>
      <c r="E17" s="647">
        <f>$C17*1/20</f>
        <v>-12500</v>
      </c>
      <c r="F17" s="647">
        <f t="shared" ref="F17:X18" si="4">$C17*1/20</f>
        <v>-12500</v>
      </c>
      <c r="G17" s="647">
        <f t="shared" si="4"/>
        <v>-12500</v>
      </c>
      <c r="H17" s="647">
        <f t="shared" si="4"/>
        <v>-12500</v>
      </c>
      <c r="I17" s="647">
        <f t="shared" si="4"/>
        <v>-12500</v>
      </c>
      <c r="J17" s="647">
        <f t="shared" si="4"/>
        <v>-12500</v>
      </c>
      <c r="K17" s="647">
        <f t="shared" si="4"/>
        <v>-12500</v>
      </c>
      <c r="L17" s="647">
        <f t="shared" si="4"/>
        <v>-12500</v>
      </c>
      <c r="M17" s="647">
        <f t="shared" si="4"/>
        <v>-12500</v>
      </c>
      <c r="N17" s="647">
        <f t="shared" si="4"/>
        <v>-12500</v>
      </c>
      <c r="O17" s="647">
        <f>$C17*1/20</f>
        <v>-12500</v>
      </c>
      <c r="P17" s="717">
        <f t="shared" si="4"/>
        <v>-12500</v>
      </c>
      <c r="Q17" s="716">
        <f t="shared" si="4"/>
        <v>-12500</v>
      </c>
      <c r="R17" s="647">
        <f t="shared" si="4"/>
        <v>-12500</v>
      </c>
      <c r="S17" s="647">
        <f t="shared" si="4"/>
        <v>-12500</v>
      </c>
      <c r="T17" s="647">
        <f t="shared" si="4"/>
        <v>-12500</v>
      </c>
      <c r="U17" s="647">
        <f t="shared" si="4"/>
        <v>-12500</v>
      </c>
      <c r="V17" s="647">
        <f>$C17*1/20</f>
        <v>-12500</v>
      </c>
      <c r="W17" s="647">
        <f t="shared" si="4"/>
        <v>-12500</v>
      </c>
      <c r="X17" s="647">
        <f t="shared" si="4"/>
        <v>-12500</v>
      </c>
      <c r="Y17" s="312"/>
      <c r="Z17" s="312"/>
      <c r="AA17" s="312"/>
      <c r="AB17" s="313"/>
      <c r="AC17" s="28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3"/>
      <c r="AO17" s="28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3"/>
      <c r="BA17" s="28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3"/>
      <c r="BM17" s="28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3"/>
      <c r="BY17" s="28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3"/>
      <c r="CK17" s="28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3"/>
      <c r="CW17" s="28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3"/>
      <c r="DI17" s="28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3"/>
    </row>
    <row r="18" spans="1:124" ht="18.75" customHeight="1" x14ac:dyDescent="0.25">
      <c r="A18" s="596" t="s">
        <v>353</v>
      </c>
      <c r="B18" s="597"/>
      <c r="C18" s="106">
        <f>-'Capex Summary Sheet'!F14</f>
        <v>-4560991.0861158604</v>
      </c>
      <c r="D18" s="265"/>
      <c r="E18" s="647">
        <f>$C18*1/20</f>
        <v>-228049.55430579302</v>
      </c>
      <c r="F18" s="647">
        <f t="shared" si="4"/>
        <v>-228049.55430579302</v>
      </c>
      <c r="G18" s="647">
        <f t="shared" si="4"/>
        <v>-228049.55430579302</v>
      </c>
      <c r="H18" s="647">
        <f t="shared" si="4"/>
        <v>-228049.55430579302</v>
      </c>
      <c r="I18" s="647">
        <f t="shared" si="4"/>
        <v>-228049.55430579302</v>
      </c>
      <c r="J18" s="647">
        <f t="shared" si="4"/>
        <v>-228049.55430579302</v>
      </c>
      <c r="K18" s="647">
        <f t="shared" si="4"/>
        <v>-228049.55430579302</v>
      </c>
      <c r="L18" s="647">
        <f t="shared" si="4"/>
        <v>-228049.55430579302</v>
      </c>
      <c r="M18" s="647">
        <f t="shared" si="4"/>
        <v>-228049.55430579302</v>
      </c>
      <c r="N18" s="647">
        <f t="shared" si="4"/>
        <v>-228049.55430579302</v>
      </c>
      <c r="O18" s="647">
        <f t="shared" si="4"/>
        <v>-228049.55430579302</v>
      </c>
      <c r="P18" s="717">
        <f t="shared" si="4"/>
        <v>-228049.55430579302</v>
      </c>
      <c r="Q18" s="716">
        <f t="shared" si="4"/>
        <v>-228049.55430579302</v>
      </c>
      <c r="R18" s="647">
        <f t="shared" si="4"/>
        <v>-228049.55430579302</v>
      </c>
      <c r="S18" s="647">
        <f t="shared" si="4"/>
        <v>-228049.55430579302</v>
      </c>
      <c r="T18" s="647">
        <f t="shared" si="4"/>
        <v>-228049.55430579302</v>
      </c>
      <c r="U18" s="647">
        <f t="shared" si="4"/>
        <v>-228049.55430579302</v>
      </c>
      <c r="V18" s="647">
        <f t="shared" si="4"/>
        <v>-228049.55430579302</v>
      </c>
      <c r="W18" s="647">
        <f t="shared" si="4"/>
        <v>-228049.55430579302</v>
      </c>
      <c r="X18" s="647">
        <f t="shared" si="4"/>
        <v>-228049.55430579302</v>
      </c>
      <c r="Y18" s="312"/>
      <c r="Z18" s="312"/>
      <c r="AA18" s="312"/>
      <c r="AB18" s="313"/>
      <c r="AC18" s="28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3"/>
      <c r="AO18" s="28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3"/>
      <c r="BA18" s="28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3"/>
      <c r="BM18" s="28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3"/>
      <c r="BY18" s="28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3"/>
      <c r="CK18" s="28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3"/>
      <c r="CW18" s="28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3"/>
      <c r="DI18" s="28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2"/>
      <c r="DT18" s="313"/>
    </row>
    <row r="19" spans="1:124" ht="18.75" customHeight="1" x14ac:dyDescent="0.25">
      <c r="A19" s="250" t="s">
        <v>360</v>
      </c>
      <c r="B19" s="133"/>
      <c r="C19" s="106">
        <f>SUM(E19:DT19)</f>
        <v>0</v>
      </c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95"/>
      <c r="Q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8"/>
      <c r="AC19" s="107">
        <f>-SUMIF('Capital Replacement'!$F$6:$F$36,AC3,'Capital Replacement'!$G$6:$H$36)</f>
        <v>0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8"/>
      <c r="AO19" s="107">
        <f>-SUMIF('Capital Replacement'!$F$6:$F$36,AO3,'Capital Replacement'!$G$6:$H$36)</f>
        <v>0</v>
      </c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8"/>
      <c r="BA19" s="107">
        <f>-SUMIF('Capital Replacement'!$F$6:$F$36,BA3,'Capital Replacement'!$G$6:$H$36)</f>
        <v>0</v>
      </c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8"/>
      <c r="BM19" s="107">
        <f>-SUMIF('Capital Replacement'!$F$6:$F$36,BM3,'Capital Replacement'!$G$6:$H$36)</f>
        <v>0</v>
      </c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8"/>
      <c r="BY19" s="107">
        <f>-SUMIF('Capital Replacement'!$F$6:$F$36,BY3,'Capital Replacement'!$G$6:$H$36)</f>
        <v>0</v>
      </c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8"/>
      <c r="CK19" s="107">
        <f>-SUMIF('Capital Replacement'!$F$6:$F$36,CK3,'Capital Replacement'!$G$6:$H$36)</f>
        <v>0</v>
      </c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8"/>
      <c r="CW19" s="107">
        <f>-SUMIF('Capital Replacement'!$F$6:$F$36,CW3,'Capital Replacement'!$G$6:$H$36)</f>
        <v>0</v>
      </c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8"/>
      <c r="DI19" s="107">
        <f>-SUMIF('Capital Replacement'!$F$6:$F$36,DI3,'Capital Replacement'!$G$6:$H$36)</f>
        <v>0</v>
      </c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8"/>
    </row>
    <row r="20" spans="1:124" ht="18.75" customHeight="1" x14ac:dyDescent="0.25">
      <c r="A20" s="250" t="s">
        <v>349</v>
      </c>
      <c r="B20" s="477">
        <v>0.05</v>
      </c>
      <c r="C20" s="106">
        <f>SUM(E20:DT20)</f>
        <v>-2209663.7209284594</v>
      </c>
      <c r="E20" s="106">
        <f>SUM(E9:E18)*$B$20</f>
        <v>-158820.17475897438</v>
      </c>
      <c r="F20" s="106">
        <f t="shared" ref="F20:L20" si="5">SUM(F9:F18)*$B$20</f>
        <v>-137027.47771528966</v>
      </c>
      <c r="G20" s="106">
        <f t="shared" si="5"/>
        <v>-101474.35271528966</v>
      </c>
      <c r="H20" s="106">
        <f t="shared" si="5"/>
        <v>-218264.35271528966</v>
      </c>
      <c r="I20" s="106">
        <f t="shared" si="5"/>
        <v>-218264.35271528966</v>
      </c>
      <c r="J20" s="106">
        <f t="shared" si="5"/>
        <v>-176064.35271528966</v>
      </c>
      <c r="K20" s="106">
        <f t="shared" si="5"/>
        <v>-128817.47771528964</v>
      </c>
      <c r="L20" s="106">
        <f t="shared" si="5"/>
        <v>-194175.3009082833</v>
      </c>
      <c r="M20" s="106">
        <f t="shared" ref="M20:O20" si="6">SUM(M9:M18)*$B$20</f>
        <v>-194175.3009082833</v>
      </c>
      <c r="N20" s="106">
        <f t="shared" si="6"/>
        <v>-136322.8009082833</v>
      </c>
      <c r="O20" s="106">
        <f t="shared" si="6"/>
        <v>-70964.977715289657</v>
      </c>
      <c r="P20" s="108">
        <f t="shared" ref="P20:AJ20" si="7">SUM(P9:P19)*$B20</f>
        <v>-12027.477715289651</v>
      </c>
      <c r="Q20" s="107">
        <f t="shared" si="7"/>
        <v>-34967.821465289649</v>
      </c>
      <c r="R20" s="106">
        <f t="shared" si="7"/>
        <v>-34967.821465289649</v>
      </c>
      <c r="S20" s="106">
        <f t="shared" si="7"/>
        <v>-34967.821465289649</v>
      </c>
      <c r="T20" s="106">
        <f t="shared" si="7"/>
        <v>-34967.821465289649</v>
      </c>
      <c r="U20" s="106">
        <f t="shared" si="7"/>
        <v>-34967.821465289649</v>
      </c>
      <c r="V20" s="106">
        <f t="shared" si="7"/>
        <v>-34967.821465289649</v>
      </c>
      <c r="W20" s="106">
        <f t="shared" si="7"/>
        <v>-34967.821465289649</v>
      </c>
      <c r="X20" s="106">
        <f t="shared" si="7"/>
        <v>-34967.821465289649</v>
      </c>
      <c r="Y20" s="106">
        <f t="shared" si="7"/>
        <v>-22940.34375</v>
      </c>
      <c r="Z20" s="106">
        <f t="shared" si="7"/>
        <v>-22940.34375</v>
      </c>
      <c r="AA20" s="106">
        <f t="shared" si="7"/>
        <v>-22940.34375</v>
      </c>
      <c r="AB20" s="108">
        <f t="shared" si="7"/>
        <v>-22940.34375</v>
      </c>
      <c r="AC20" s="107">
        <f t="shared" si="7"/>
        <v>-22940.34375</v>
      </c>
      <c r="AD20" s="106">
        <f t="shared" si="7"/>
        <v>-22940.34375</v>
      </c>
      <c r="AE20" s="106">
        <f t="shared" si="7"/>
        <v>-22940.34375</v>
      </c>
      <c r="AF20" s="106">
        <f t="shared" si="7"/>
        <v>-22940.34375</v>
      </c>
      <c r="AG20" s="106">
        <f t="shared" si="7"/>
        <v>0</v>
      </c>
      <c r="AH20" s="106">
        <f t="shared" si="7"/>
        <v>0</v>
      </c>
      <c r="AI20" s="106">
        <f t="shared" si="7"/>
        <v>0</v>
      </c>
      <c r="AJ20" s="106">
        <f t="shared" si="7"/>
        <v>0</v>
      </c>
      <c r="AK20" s="106">
        <f t="shared" ref="AK20:BP20" si="8">SUM(AK9:AK19)*$B20</f>
        <v>0</v>
      </c>
      <c r="AL20" s="106">
        <f t="shared" si="8"/>
        <v>0</v>
      </c>
      <c r="AM20" s="106">
        <f t="shared" si="8"/>
        <v>0</v>
      </c>
      <c r="AN20" s="108">
        <f t="shared" si="8"/>
        <v>0</v>
      </c>
      <c r="AO20" s="107">
        <f t="shared" si="8"/>
        <v>0</v>
      </c>
      <c r="AP20" s="106">
        <f t="shared" si="8"/>
        <v>0</v>
      </c>
      <c r="AQ20" s="106">
        <f t="shared" si="8"/>
        <v>0</v>
      </c>
      <c r="AR20" s="106">
        <f t="shared" si="8"/>
        <v>0</v>
      </c>
      <c r="AS20" s="106">
        <f t="shared" si="8"/>
        <v>0</v>
      </c>
      <c r="AT20" s="106">
        <f t="shared" si="8"/>
        <v>0</v>
      </c>
      <c r="AU20" s="106">
        <f t="shared" si="8"/>
        <v>0</v>
      </c>
      <c r="AV20" s="106">
        <f t="shared" si="8"/>
        <v>0</v>
      </c>
      <c r="AW20" s="106">
        <f t="shared" si="8"/>
        <v>0</v>
      </c>
      <c r="AX20" s="106">
        <f t="shared" si="8"/>
        <v>0</v>
      </c>
      <c r="AY20" s="106">
        <f t="shared" si="8"/>
        <v>0</v>
      </c>
      <c r="AZ20" s="108">
        <f t="shared" si="8"/>
        <v>0</v>
      </c>
      <c r="BA20" s="107">
        <f t="shared" si="8"/>
        <v>0</v>
      </c>
      <c r="BB20" s="106">
        <f t="shared" si="8"/>
        <v>0</v>
      </c>
      <c r="BC20" s="106">
        <f t="shared" si="8"/>
        <v>0</v>
      </c>
      <c r="BD20" s="106">
        <f t="shared" si="8"/>
        <v>0</v>
      </c>
      <c r="BE20" s="106">
        <f t="shared" si="8"/>
        <v>0</v>
      </c>
      <c r="BF20" s="106">
        <f t="shared" si="8"/>
        <v>0</v>
      </c>
      <c r="BG20" s="106">
        <f t="shared" si="8"/>
        <v>0</v>
      </c>
      <c r="BH20" s="106">
        <f t="shared" si="8"/>
        <v>0</v>
      </c>
      <c r="BI20" s="106">
        <f t="shared" si="8"/>
        <v>0</v>
      </c>
      <c r="BJ20" s="106">
        <f t="shared" si="8"/>
        <v>0</v>
      </c>
      <c r="BK20" s="106">
        <f t="shared" si="8"/>
        <v>0</v>
      </c>
      <c r="BL20" s="108">
        <f t="shared" si="8"/>
        <v>0</v>
      </c>
      <c r="BM20" s="107">
        <f t="shared" si="8"/>
        <v>0</v>
      </c>
      <c r="BN20" s="106">
        <f t="shared" si="8"/>
        <v>0</v>
      </c>
      <c r="BO20" s="106">
        <f t="shared" si="8"/>
        <v>0</v>
      </c>
      <c r="BP20" s="106">
        <f t="shared" si="8"/>
        <v>0</v>
      </c>
      <c r="BQ20" s="106">
        <f t="shared" ref="BQ20:CV20" si="9">SUM(BQ9:BQ19)*$B20</f>
        <v>0</v>
      </c>
      <c r="BR20" s="106">
        <f t="shared" si="9"/>
        <v>0</v>
      </c>
      <c r="BS20" s="106">
        <f t="shared" si="9"/>
        <v>0</v>
      </c>
      <c r="BT20" s="106">
        <f t="shared" si="9"/>
        <v>0</v>
      </c>
      <c r="BU20" s="106">
        <f t="shared" si="9"/>
        <v>0</v>
      </c>
      <c r="BV20" s="106">
        <f t="shared" si="9"/>
        <v>0</v>
      </c>
      <c r="BW20" s="106">
        <f t="shared" si="9"/>
        <v>0</v>
      </c>
      <c r="BX20" s="108">
        <f t="shared" si="9"/>
        <v>0</v>
      </c>
      <c r="BY20" s="107">
        <f t="shared" si="9"/>
        <v>0</v>
      </c>
      <c r="BZ20" s="106">
        <f t="shared" si="9"/>
        <v>0</v>
      </c>
      <c r="CA20" s="106">
        <f t="shared" si="9"/>
        <v>0</v>
      </c>
      <c r="CB20" s="106">
        <f t="shared" si="9"/>
        <v>0</v>
      </c>
      <c r="CC20" s="106">
        <f t="shared" si="9"/>
        <v>0</v>
      </c>
      <c r="CD20" s="106">
        <f t="shared" si="9"/>
        <v>0</v>
      </c>
      <c r="CE20" s="106">
        <f t="shared" si="9"/>
        <v>0</v>
      </c>
      <c r="CF20" s="106">
        <f t="shared" si="9"/>
        <v>0</v>
      </c>
      <c r="CG20" s="106">
        <f t="shared" si="9"/>
        <v>0</v>
      </c>
      <c r="CH20" s="106">
        <f t="shared" si="9"/>
        <v>0</v>
      </c>
      <c r="CI20" s="106">
        <f t="shared" si="9"/>
        <v>0</v>
      </c>
      <c r="CJ20" s="108">
        <f t="shared" si="9"/>
        <v>0</v>
      </c>
      <c r="CK20" s="107">
        <f t="shared" si="9"/>
        <v>0</v>
      </c>
      <c r="CL20" s="106">
        <f t="shared" si="9"/>
        <v>0</v>
      </c>
      <c r="CM20" s="106">
        <f t="shared" si="9"/>
        <v>0</v>
      </c>
      <c r="CN20" s="106">
        <f t="shared" si="9"/>
        <v>0</v>
      </c>
      <c r="CO20" s="106">
        <f t="shared" si="9"/>
        <v>0</v>
      </c>
      <c r="CP20" s="106">
        <f t="shared" si="9"/>
        <v>0</v>
      </c>
      <c r="CQ20" s="106">
        <f t="shared" si="9"/>
        <v>0</v>
      </c>
      <c r="CR20" s="106">
        <f t="shared" si="9"/>
        <v>0</v>
      </c>
      <c r="CS20" s="106">
        <f t="shared" si="9"/>
        <v>0</v>
      </c>
      <c r="CT20" s="106">
        <f t="shared" si="9"/>
        <v>0</v>
      </c>
      <c r="CU20" s="106">
        <f t="shared" si="9"/>
        <v>0</v>
      </c>
      <c r="CV20" s="108">
        <f t="shared" si="9"/>
        <v>0</v>
      </c>
      <c r="CW20" s="107">
        <f t="shared" ref="CW20:DT20" si="10">SUM(CW9:CW19)*$B20</f>
        <v>0</v>
      </c>
      <c r="CX20" s="106">
        <f t="shared" si="10"/>
        <v>0</v>
      </c>
      <c r="CY20" s="106">
        <f t="shared" si="10"/>
        <v>0</v>
      </c>
      <c r="CZ20" s="106">
        <f t="shared" si="10"/>
        <v>0</v>
      </c>
      <c r="DA20" s="106">
        <f t="shared" si="10"/>
        <v>0</v>
      </c>
      <c r="DB20" s="106">
        <f t="shared" si="10"/>
        <v>0</v>
      </c>
      <c r="DC20" s="106">
        <f t="shared" si="10"/>
        <v>0</v>
      </c>
      <c r="DD20" s="106">
        <f t="shared" si="10"/>
        <v>0</v>
      </c>
      <c r="DE20" s="106">
        <f t="shared" si="10"/>
        <v>0</v>
      </c>
      <c r="DF20" s="106">
        <f t="shared" si="10"/>
        <v>0</v>
      </c>
      <c r="DG20" s="106">
        <f t="shared" si="10"/>
        <v>0</v>
      </c>
      <c r="DH20" s="108">
        <f t="shared" si="10"/>
        <v>0</v>
      </c>
      <c r="DI20" s="107">
        <f t="shared" si="10"/>
        <v>0</v>
      </c>
      <c r="DJ20" s="106">
        <f t="shared" si="10"/>
        <v>0</v>
      </c>
      <c r="DK20" s="106">
        <f t="shared" si="10"/>
        <v>0</v>
      </c>
      <c r="DL20" s="106">
        <f t="shared" si="10"/>
        <v>0</v>
      </c>
      <c r="DM20" s="106">
        <f t="shared" si="10"/>
        <v>0</v>
      </c>
      <c r="DN20" s="106">
        <f t="shared" si="10"/>
        <v>0</v>
      </c>
      <c r="DO20" s="106">
        <f t="shared" si="10"/>
        <v>0</v>
      </c>
      <c r="DP20" s="106">
        <f t="shared" si="10"/>
        <v>0</v>
      </c>
      <c r="DQ20" s="106">
        <f t="shared" si="10"/>
        <v>0</v>
      </c>
      <c r="DR20" s="106">
        <f t="shared" si="10"/>
        <v>0</v>
      </c>
      <c r="DS20" s="106">
        <f t="shared" si="10"/>
        <v>0</v>
      </c>
      <c r="DT20" s="108">
        <f t="shared" si="10"/>
        <v>0</v>
      </c>
    </row>
    <row r="21" spans="1:124" ht="18.75" customHeight="1" x14ac:dyDescent="0.25">
      <c r="A21" s="250" t="s">
        <v>350</v>
      </c>
      <c r="B21" s="477" t="s">
        <v>363</v>
      </c>
      <c r="C21" s="106">
        <f>SUM(E21:DT21)</f>
        <v>0</v>
      </c>
      <c r="E21" s="106">
        <f t="shared" ref="E21:AJ21" si="11">SUM(E19:E19)*(E6-1)</f>
        <v>0</v>
      </c>
      <c r="F21" s="106">
        <f t="shared" si="11"/>
        <v>0</v>
      </c>
      <c r="G21" s="106">
        <f t="shared" si="11"/>
        <v>0</v>
      </c>
      <c r="H21" s="106">
        <f t="shared" si="11"/>
        <v>0</v>
      </c>
      <c r="I21" s="106">
        <f t="shared" si="11"/>
        <v>0</v>
      </c>
      <c r="J21" s="106">
        <f t="shared" si="11"/>
        <v>0</v>
      </c>
      <c r="K21" s="106">
        <f t="shared" si="11"/>
        <v>0</v>
      </c>
      <c r="L21" s="106">
        <f t="shared" si="11"/>
        <v>0</v>
      </c>
      <c r="M21" s="106">
        <f t="shared" si="11"/>
        <v>0</v>
      </c>
      <c r="N21" s="106">
        <f t="shared" si="11"/>
        <v>0</v>
      </c>
      <c r="O21" s="106">
        <f t="shared" si="11"/>
        <v>0</v>
      </c>
      <c r="P21" s="108">
        <f t="shared" si="11"/>
        <v>0</v>
      </c>
      <c r="Q21" s="107">
        <f t="shared" si="11"/>
        <v>0</v>
      </c>
      <c r="R21" s="106">
        <f t="shared" si="11"/>
        <v>0</v>
      </c>
      <c r="S21" s="106">
        <f t="shared" si="11"/>
        <v>0</v>
      </c>
      <c r="T21" s="106">
        <f t="shared" si="11"/>
        <v>0</v>
      </c>
      <c r="U21" s="106">
        <f t="shared" si="11"/>
        <v>0</v>
      </c>
      <c r="V21" s="106">
        <f t="shared" si="11"/>
        <v>0</v>
      </c>
      <c r="W21" s="106">
        <f t="shared" si="11"/>
        <v>0</v>
      </c>
      <c r="X21" s="106">
        <f t="shared" si="11"/>
        <v>0</v>
      </c>
      <c r="Y21" s="106">
        <f t="shared" si="11"/>
        <v>0</v>
      </c>
      <c r="Z21" s="106">
        <f t="shared" si="11"/>
        <v>0</v>
      </c>
      <c r="AA21" s="106">
        <f t="shared" si="11"/>
        <v>0</v>
      </c>
      <c r="AB21" s="108">
        <f t="shared" si="11"/>
        <v>0</v>
      </c>
      <c r="AC21" s="107">
        <f t="shared" si="11"/>
        <v>0</v>
      </c>
      <c r="AD21" s="106">
        <f t="shared" si="11"/>
        <v>0</v>
      </c>
      <c r="AE21" s="106">
        <f t="shared" si="11"/>
        <v>0</v>
      </c>
      <c r="AF21" s="106">
        <f t="shared" si="11"/>
        <v>0</v>
      </c>
      <c r="AG21" s="106">
        <f t="shared" si="11"/>
        <v>0</v>
      </c>
      <c r="AH21" s="106">
        <f t="shared" si="11"/>
        <v>0</v>
      </c>
      <c r="AI21" s="106">
        <f t="shared" si="11"/>
        <v>0</v>
      </c>
      <c r="AJ21" s="106">
        <f t="shared" si="11"/>
        <v>0</v>
      </c>
      <c r="AK21" s="106">
        <f t="shared" ref="AK21:BP21" si="12">SUM(AK19:AK19)*(AK6-1)</f>
        <v>0</v>
      </c>
      <c r="AL21" s="106">
        <f t="shared" si="12"/>
        <v>0</v>
      </c>
      <c r="AM21" s="106">
        <f t="shared" si="12"/>
        <v>0</v>
      </c>
      <c r="AN21" s="108">
        <f t="shared" si="12"/>
        <v>0</v>
      </c>
      <c r="AO21" s="107">
        <f t="shared" si="12"/>
        <v>0</v>
      </c>
      <c r="AP21" s="106">
        <f t="shared" si="12"/>
        <v>0</v>
      </c>
      <c r="AQ21" s="106">
        <f t="shared" si="12"/>
        <v>0</v>
      </c>
      <c r="AR21" s="106">
        <f t="shared" si="12"/>
        <v>0</v>
      </c>
      <c r="AS21" s="106">
        <f t="shared" si="12"/>
        <v>0</v>
      </c>
      <c r="AT21" s="106">
        <f t="shared" si="12"/>
        <v>0</v>
      </c>
      <c r="AU21" s="106">
        <f t="shared" si="12"/>
        <v>0</v>
      </c>
      <c r="AV21" s="106">
        <f t="shared" si="12"/>
        <v>0</v>
      </c>
      <c r="AW21" s="106">
        <f t="shared" si="12"/>
        <v>0</v>
      </c>
      <c r="AX21" s="106">
        <f t="shared" si="12"/>
        <v>0</v>
      </c>
      <c r="AY21" s="106">
        <f t="shared" si="12"/>
        <v>0</v>
      </c>
      <c r="AZ21" s="108">
        <f t="shared" si="12"/>
        <v>0</v>
      </c>
      <c r="BA21" s="107">
        <f t="shared" si="12"/>
        <v>0</v>
      </c>
      <c r="BB21" s="106">
        <f t="shared" si="12"/>
        <v>0</v>
      </c>
      <c r="BC21" s="106">
        <f t="shared" si="12"/>
        <v>0</v>
      </c>
      <c r="BD21" s="106">
        <f t="shared" si="12"/>
        <v>0</v>
      </c>
      <c r="BE21" s="106">
        <f t="shared" si="12"/>
        <v>0</v>
      </c>
      <c r="BF21" s="106">
        <f t="shared" si="12"/>
        <v>0</v>
      </c>
      <c r="BG21" s="106">
        <f t="shared" si="12"/>
        <v>0</v>
      </c>
      <c r="BH21" s="106">
        <f t="shared" si="12"/>
        <v>0</v>
      </c>
      <c r="BI21" s="106">
        <f t="shared" si="12"/>
        <v>0</v>
      </c>
      <c r="BJ21" s="106">
        <f t="shared" si="12"/>
        <v>0</v>
      </c>
      <c r="BK21" s="106">
        <f t="shared" si="12"/>
        <v>0</v>
      </c>
      <c r="BL21" s="108">
        <f t="shared" si="12"/>
        <v>0</v>
      </c>
      <c r="BM21" s="107">
        <f t="shared" si="12"/>
        <v>0</v>
      </c>
      <c r="BN21" s="106">
        <f t="shared" si="12"/>
        <v>0</v>
      </c>
      <c r="BO21" s="106">
        <f t="shared" si="12"/>
        <v>0</v>
      </c>
      <c r="BP21" s="106">
        <f t="shared" si="12"/>
        <v>0</v>
      </c>
      <c r="BQ21" s="106">
        <f t="shared" ref="BQ21:CV21" si="13">SUM(BQ19:BQ19)*(BQ6-1)</f>
        <v>0</v>
      </c>
      <c r="BR21" s="106">
        <f t="shared" si="13"/>
        <v>0</v>
      </c>
      <c r="BS21" s="106">
        <f t="shared" si="13"/>
        <v>0</v>
      </c>
      <c r="BT21" s="106">
        <f t="shared" si="13"/>
        <v>0</v>
      </c>
      <c r="BU21" s="106">
        <f t="shared" si="13"/>
        <v>0</v>
      </c>
      <c r="BV21" s="106">
        <f t="shared" si="13"/>
        <v>0</v>
      </c>
      <c r="BW21" s="106">
        <f t="shared" si="13"/>
        <v>0</v>
      </c>
      <c r="BX21" s="108">
        <f t="shared" si="13"/>
        <v>0</v>
      </c>
      <c r="BY21" s="107">
        <f t="shared" si="13"/>
        <v>0</v>
      </c>
      <c r="BZ21" s="106">
        <f t="shared" si="13"/>
        <v>0</v>
      </c>
      <c r="CA21" s="106">
        <f t="shared" si="13"/>
        <v>0</v>
      </c>
      <c r="CB21" s="106">
        <f t="shared" si="13"/>
        <v>0</v>
      </c>
      <c r="CC21" s="106">
        <f t="shared" si="13"/>
        <v>0</v>
      </c>
      <c r="CD21" s="106">
        <f t="shared" si="13"/>
        <v>0</v>
      </c>
      <c r="CE21" s="106">
        <f t="shared" si="13"/>
        <v>0</v>
      </c>
      <c r="CF21" s="106">
        <f t="shared" si="13"/>
        <v>0</v>
      </c>
      <c r="CG21" s="106">
        <f t="shared" si="13"/>
        <v>0</v>
      </c>
      <c r="CH21" s="106">
        <f t="shared" si="13"/>
        <v>0</v>
      </c>
      <c r="CI21" s="106">
        <f t="shared" si="13"/>
        <v>0</v>
      </c>
      <c r="CJ21" s="108">
        <f t="shared" si="13"/>
        <v>0</v>
      </c>
      <c r="CK21" s="107">
        <f t="shared" si="13"/>
        <v>0</v>
      </c>
      <c r="CL21" s="106">
        <f t="shared" si="13"/>
        <v>0</v>
      </c>
      <c r="CM21" s="106">
        <f t="shared" si="13"/>
        <v>0</v>
      </c>
      <c r="CN21" s="106">
        <f t="shared" si="13"/>
        <v>0</v>
      </c>
      <c r="CO21" s="106">
        <f t="shared" si="13"/>
        <v>0</v>
      </c>
      <c r="CP21" s="106">
        <f t="shared" si="13"/>
        <v>0</v>
      </c>
      <c r="CQ21" s="106">
        <f t="shared" si="13"/>
        <v>0</v>
      </c>
      <c r="CR21" s="106">
        <f t="shared" si="13"/>
        <v>0</v>
      </c>
      <c r="CS21" s="106">
        <f t="shared" si="13"/>
        <v>0</v>
      </c>
      <c r="CT21" s="106">
        <f t="shared" si="13"/>
        <v>0</v>
      </c>
      <c r="CU21" s="106">
        <f t="shared" si="13"/>
        <v>0</v>
      </c>
      <c r="CV21" s="108">
        <f t="shared" si="13"/>
        <v>0</v>
      </c>
      <c r="CW21" s="107">
        <f t="shared" ref="CW21:DT21" si="14">SUM(CW19:CW19)*(CW6-1)</f>
        <v>0</v>
      </c>
      <c r="CX21" s="106">
        <f t="shared" si="14"/>
        <v>0</v>
      </c>
      <c r="CY21" s="106">
        <f t="shared" si="14"/>
        <v>0</v>
      </c>
      <c r="CZ21" s="106">
        <f t="shared" si="14"/>
        <v>0</v>
      </c>
      <c r="DA21" s="106">
        <f t="shared" si="14"/>
        <v>0</v>
      </c>
      <c r="DB21" s="106">
        <f t="shared" si="14"/>
        <v>0</v>
      </c>
      <c r="DC21" s="106">
        <f t="shared" si="14"/>
        <v>0</v>
      </c>
      <c r="DD21" s="106">
        <f t="shared" si="14"/>
        <v>0</v>
      </c>
      <c r="DE21" s="106">
        <f t="shared" si="14"/>
        <v>0</v>
      </c>
      <c r="DF21" s="106">
        <f t="shared" si="14"/>
        <v>0</v>
      </c>
      <c r="DG21" s="106">
        <f t="shared" si="14"/>
        <v>0</v>
      </c>
      <c r="DH21" s="108">
        <f t="shared" si="14"/>
        <v>0</v>
      </c>
      <c r="DI21" s="107">
        <f t="shared" si="14"/>
        <v>0</v>
      </c>
      <c r="DJ21" s="106">
        <f t="shared" si="14"/>
        <v>0</v>
      </c>
      <c r="DK21" s="106">
        <f t="shared" si="14"/>
        <v>0</v>
      </c>
      <c r="DL21" s="106">
        <f t="shared" si="14"/>
        <v>0</v>
      </c>
      <c r="DM21" s="106">
        <f t="shared" si="14"/>
        <v>0</v>
      </c>
      <c r="DN21" s="106">
        <f t="shared" si="14"/>
        <v>0</v>
      </c>
      <c r="DO21" s="106">
        <f t="shared" si="14"/>
        <v>0</v>
      </c>
      <c r="DP21" s="106">
        <f t="shared" si="14"/>
        <v>0</v>
      </c>
      <c r="DQ21" s="106">
        <f t="shared" si="14"/>
        <v>0</v>
      </c>
      <c r="DR21" s="106">
        <f t="shared" si="14"/>
        <v>0</v>
      </c>
      <c r="DS21" s="106">
        <f t="shared" si="14"/>
        <v>0</v>
      </c>
      <c r="DT21" s="108">
        <f t="shared" si="14"/>
        <v>0</v>
      </c>
    </row>
    <row r="22" spans="1:124" ht="18.75" customHeight="1" thickBot="1" x14ac:dyDescent="0.3">
      <c r="A22" s="165"/>
      <c r="B22" s="8"/>
      <c r="C22" s="10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50"/>
      <c r="Q22" s="837"/>
      <c r="R22" s="837"/>
      <c r="S22" s="837"/>
      <c r="T22" s="837"/>
      <c r="U22" s="837"/>
      <c r="V22" s="837"/>
      <c r="W22" s="837"/>
      <c r="X22" s="837"/>
      <c r="Y22" s="837"/>
      <c r="Z22" s="837"/>
      <c r="AA22" s="837"/>
      <c r="AB22" s="850"/>
      <c r="AC22" s="837"/>
      <c r="AD22" s="837"/>
      <c r="AE22" s="837"/>
      <c r="AF22" s="837"/>
      <c r="AG22" s="837"/>
      <c r="AH22" s="837"/>
      <c r="AI22" s="837"/>
      <c r="AJ22" s="837"/>
      <c r="AK22" s="837"/>
      <c r="AL22" s="837"/>
      <c r="AM22" s="837"/>
      <c r="AN22" s="850"/>
      <c r="AO22" s="837"/>
      <c r="AP22" s="837"/>
      <c r="AQ22" s="837"/>
      <c r="AR22" s="837"/>
      <c r="AS22" s="837"/>
      <c r="AT22" s="837"/>
      <c r="AU22" s="837"/>
      <c r="AV22" s="837"/>
      <c r="AW22" s="837"/>
      <c r="AX22" s="837"/>
      <c r="AY22" s="837"/>
      <c r="AZ22" s="850"/>
      <c r="BA22" s="837"/>
      <c r="BB22" s="837"/>
      <c r="BC22" s="837"/>
      <c r="BD22" s="837"/>
      <c r="BE22" s="837"/>
      <c r="BF22" s="837"/>
      <c r="BG22" s="837"/>
      <c r="BH22" s="837"/>
      <c r="BI22" s="837"/>
      <c r="BJ22" s="837"/>
      <c r="BK22" s="837"/>
      <c r="BL22" s="850"/>
      <c r="BM22" s="837"/>
      <c r="BN22" s="837"/>
      <c r="BO22" s="837"/>
      <c r="BP22" s="837"/>
      <c r="BQ22" s="837"/>
      <c r="BR22" s="837"/>
      <c r="BS22" s="837"/>
      <c r="BT22" s="837"/>
      <c r="BU22" s="837"/>
      <c r="BV22" s="837"/>
      <c r="BW22" s="837"/>
      <c r="BX22" s="850"/>
      <c r="BY22" s="837"/>
      <c r="BZ22" s="837"/>
      <c r="CA22" s="837"/>
      <c r="CB22" s="837"/>
      <c r="CC22" s="837"/>
      <c r="CD22" s="837"/>
      <c r="CE22" s="837"/>
      <c r="CF22" s="837"/>
      <c r="CG22" s="837"/>
      <c r="CH22" s="837"/>
      <c r="CI22" s="837"/>
      <c r="CJ22" s="850"/>
      <c r="CK22" s="837"/>
      <c r="CL22" s="837"/>
      <c r="CM22" s="837"/>
      <c r="CN22" s="837"/>
      <c r="CO22" s="837"/>
      <c r="CP22" s="837"/>
      <c r="CQ22" s="837"/>
      <c r="CR22" s="837"/>
      <c r="CS22" s="837"/>
      <c r="CT22" s="837"/>
      <c r="CU22" s="837"/>
      <c r="CV22" s="850"/>
      <c r="CW22" s="837"/>
      <c r="CX22" s="837"/>
      <c r="CY22" s="837"/>
      <c r="CZ22" s="837"/>
      <c r="DA22" s="837"/>
      <c r="DB22" s="837"/>
      <c r="DC22" s="837"/>
      <c r="DD22" s="837"/>
      <c r="DE22" s="837"/>
      <c r="DF22" s="837"/>
      <c r="DG22" s="837"/>
      <c r="DH22" s="850"/>
      <c r="DI22" s="837"/>
      <c r="DJ22" s="837"/>
      <c r="DK22" s="837"/>
      <c r="DL22" s="837"/>
      <c r="DM22" s="837"/>
      <c r="DN22" s="837"/>
      <c r="DO22" s="837"/>
      <c r="DP22" s="837"/>
      <c r="DQ22" s="837"/>
      <c r="DR22" s="837"/>
      <c r="DS22" s="837"/>
      <c r="DT22" s="850"/>
    </row>
    <row r="23" spans="1:124" s="6" customFormat="1" ht="26.25" customHeight="1" thickBot="1" x14ac:dyDescent="0.35">
      <c r="A23" s="1356" t="s">
        <v>116</v>
      </c>
      <c r="B23" s="1357"/>
      <c r="C23" s="489">
        <f>SUM(C9:C21)</f>
        <v>-46402938.13949763</v>
      </c>
      <c r="E23" s="230">
        <f t="shared" ref="E23:AJ23" si="15">SUM(E9:E21)</f>
        <v>-3335223.6699384619</v>
      </c>
      <c r="F23" s="230">
        <f t="shared" si="15"/>
        <v>-2877577.0320210825</v>
      </c>
      <c r="G23" s="230">
        <f t="shared" si="15"/>
        <v>-2130961.4070210825</v>
      </c>
      <c r="H23" s="230">
        <f t="shared" si="15"/>
        <v>-4583551.407021082</v>
      </c>
      <c r="I23" s="230">
        <f t="shared" si="15"/>
        <v>-4583551.407021082</v>
      </c>
      <c r="J23" s="230">
        <f t="shared" si="15"/>
        <v>-3697351.4070210825</v>
      </c>
      <c r="K23" s="230">
        <f t="shared" si="15"/>
        <v>-2705167.0320210825</v>
      </c>
      <c r="L23" s="230">
        <f t="shared" si="15"/>
        <v>-4077681.319073949</v>
      </c>
      <c r="M23" s="230">
        <f t="shared" si="15"/>
        <v>-4077681.319073949</v>
      </c>
      <c r="N23" s="230">
        <f t="shared" si="15"/>
        <v>-2862778.819073949</v>
      </c>
      <c r="O23" s="230">
        <f t="shared" si="15"/>
        <v>-1490264.5320210827</v>
      </c>
      <c r="P23" s="718">
        <f t="shared" si="15"/>
        <v>-252577.03202108268</v>
      </c>
      <c r="Q23" s="230">
        <f t="shared" si="15"/>
        <v>-734324.2507710827</v>
      </c>
      <c r="R23" s="230">
        <f t="shared" si="15"/>
        <v>-734324.2507710827</v>
      </c>
      <c r="S23" s="230">
        <f t="shared" si="15"/>
        <v>-734324.2507710827</v>
      </c>
      <c r="T23" s="230">
        <f t="shared" si="15"/>
        <v>-734324.2507710827</v>
      </c>
      <c r="U23" s="230">
        <f t="shared" si="15"/>
        <v>-734324.2507710827</v>
      </c>
      <c r="V23" s="230">
        <f t="shared" si="15"/>
        <v>-734324.2507710827</v>
      </c>
      <c r="W23" s="230">
        <f t="shared" si="15"/>
        <v>-734324.2507710827</v>
      </c>
      <c r="X23" s="230">
        <f t="shared" si="15"/>
        <v>-734324.2507710827</v>
      </c>
      <c r="Y23" s="230">
        <f t="shared" si="15"/>
        <v>-481747.21875</v>
      </c>
      <c r="Z23" s="230">
        <f t="shared" si="15"/>
        <v>-481747.21875</v>
      </c>
      <c r="AA23" s="230">
        <f t="shared" si="15"/>
        <v>-481747.21875</v>
      </c>
      <c r="AB23" s="718">
        <f t="shared" si="15"/>
        <v>-481747.21875</v>
      </c>
      <c r="AC23" s="230">
        <f t="shared" si="15"/>
        <v>-481747.21875</v>
      </c>
      <c r="AD23" s="230">
        <f t="shared" si="15"/>
        <v>-481747.21875</v>
      </c>
      <c r="AE23" s="230">
        <f t="shared" si="15"/>
        <v>-481747.21875</v>
      </c>
      <c r="AF23" s="230">
        <f t="shared" si="15"/>
        <v>-481747.21875</v>
      </c>
      <c r="AG23" s="230">
        <f t="shared" si="15"/>
        <v>0</v>
      </c>
      <c r="AH23" s="230">
        <f t="shared" si="15"/>
        <v>0</v>
      </c>
      <c r="AI23" s="230">
        <f t="shared" si="15"/>
        <v>0</v>
      </c>
      <c r="AJ23" s="230">
        <f t="shared" si="15"/>
        <v>0</v>
      </c>
      <c r="AK23" s="230">
        <f t="shared" ref="AK23:BQ23" si="16">SUM(AK9:AK21)</f>
        <v>0</v>
      </c>
      <c r="AL23" s="230">
        <f t="shared" si="16"/>
        <v>0</v>
      </c>
      <c r="AM23" s="230">
        <f t="shared" si="16"/>
        <v>0</v>
      </c>
      <c r="AN23" s="718">
        <f t="shared" si="16"/>
        <v>0</v>
      </c>
      <c r="AO23" s="230">
        <f t="shared" si="16"/>
        <v>0</v>
      </c>
      <c r="AP23" s="230">
        <f t="shared" si="16"/>
        <v>0</v>
      </c>
      <c r="AQ23" s="230">
        <f t="shared" si="16"/>
        <v>0</v>
      </c>
      <c r="AR23" s="230">
        <f t="shared" si="16"/>
        <v>0</v>
      </c>
      <c r="AS23" s="230">
        <f t="shared" si="16"/>
        <v>0</v>
      </c>
      <c r="AT23" s="230">
        <f t="shared" si="16"/>
        <v>0</v>
      </c>
      <c r="AU23" s="230">
        <f t="shared" si="16"/>
        <v>0</v>
      </c>
      <c r="AV23" s="230">
        <f t="shared" si="16"/>
        <v>0</v>
      </c>
      <c r="AW23" s="230">
        <f t="shared" si="16"/>
        <v>0</v>
      </c>
      <c r="AX23" s="230">
        <f t="shared" si="16"/>
        <v>0</v>
      </c>
      <c r="AY23" s="230">
        <f t="shared" si="16"/>
        <v>0</v>
      </c>
      <c r="AZ23" s="718">
        <f t="shared" si="16"/>
        <v>0</v>
      </c>
      <c r="BA23" s="230">
        <f t="shared" si="16"/>
        <v>0</v>
      </c>
      <c r="BB23" s="230">
        <f t="shared" si="16"/>
        <v>0</v>
      </c>
      <c r="BC23" s="230">
        <f t="shared" si="16"/>
        <v>0</v>
      </c>
      <c r="BD23" s="230">
        <f t="shared" si="16"/>
        <v>0</v>
      </c>
      <c r="BE23" s="230">
        <f t="shared" si="16"/>
        <v>0</v>
      </c>
      <c r="BF23" s="230">
        <f t="shared" si="16"/>
        <v>0</v>
      </c>
      <c r="BG23" s="230">
        <f t="shared" si="16"/>
        <v>0</v>
      </c>
      <c r="BH23" s="230">
        <f t="shared" si="16"/>
        <v>0</v>
      </c>
      <c r="BI23" s="230">
        <f t="shared" si="16"/>
        <v>0</v>
      </c>
      <c r="BJ23" s="230">
        <f t="shared" si="16"/>
        <v>0</v>
      </c>
      <c r="BK23" s="230">
        <f t="shared" si="16"/>
        <v>0</v>
      </c>
      <c r="BL23" s="718">
        <f t="shared" si="16"/>
        <v>0</v>
      </c>
      <c r="BM23" s="230">
        <f t="shared" si="16"/>
        <v>0</v>
      </c>
      <c r="BN23" s="230">
        <f t="shared" si="16"/>
        <v>0</v>
      </c>
      <c r="BO23" s="230">
        <f t="shared" si="16"/>
        <v>0</v>
      </c>
      <c r="BP23" s="230">
        <f t="shared" si="16"/>
        <v>0</v>
      </c>
      <c r="BQ23" s="230">
        <f t="shared" si="16"/>
        <v>0</v>
      </c>
      <c r="BR23" s="230">
        <f t="shared" ref="BR23:DT23" si="17">SUM(BR9:BR21)</f>
        <v>0</v>
      </c>
      <c r="BS23" s="230">
        <f t="shared" si="17"/>
        <v>0</v>
      </c>
      <c r="BT23" s="230">
        <f t="shared" si="17"/>
        <v>0</v>
      </c>
      <c r="BU23" s="230">
        <f t="shared" si="17"/>
        <v>0</v>
      </c>
      <c r="BV23" s="230">
        <f t="shared" si="17"/>
        <v>0</v>
      </c>
      <c r="BW23" s="230">
        <f t="shared" si="17"/>
        <v>0</v>
      </c>
      <c r="BX23" s="718">
        <f t="shared" si="17"/>
        <v>0</v>
      </c>
      <c r="BY23" s="230">
        <f t="shared" si="17"/>
        <v>0</v>
      </c>
      <c r="BZ23" s="230">
        <f t="shared" si="17"/>
        <v>0</v>
      </c>
      <c r="CA23" s="230">
        <f t="shared" si="17"/>
        <v>0</v>
      </c>
      <c r="CB23" s="230">
        <f t="shared" si="17"/>
        <v>0</v>
      </c>
      <c r="CC23" s="230">
        <f t="shared" si="17"/>
        <v>0</v>
      </c>
      <c r="CD23" s="230">
        <f t="shared" si="17"/>
        <v>0</v>
      </c>
      <c r="CE23" s="230">
        <f t="shared" si="17"/>
        <v>0</v>
      </c>
      <c r="CF23" s="230">
        <f t="shared" si="17"/>
        <v>0</v>
      </c>
      <c r="CG23" s="230">
        <f t="shared" si="17"/>
        <v>0</v>
      </c>
      <c r="CH23" s="230">
        <f t="shared" si="17"/>
        <v>0</v>
      </c>
      <c r="CI23" s="230">
        <f t="shared" si="17"/>
        <v>0</v>
      </c>
      <c r="CJ23" s="718">
        <f t="shared" si="17"/>
        <v>0</v>
      </c>
      <c r="CK23" s="230">
        <f t="shared" si="17"/>
        <v>0</v>
      </c>
      <c r="CL23" s="230">
        <f t="shared" si="17"/>
        <v>0</v>
      </c>
      <c r="CM23" s="230">
        <f t="shared" si="17"/>
        <v>0</v>
      </c>
      <c r="CN23" s="230">
        <f t="shared" si="17"/>
        <v>0</v>
      </c>
      <c r="CO23" s="230">
        <f t="shared" si="17"/>
        <v>0</v>
      </c>
      <c r="CP23" s="230">
        <f t="shared" si="17"/>
        <v>0</v>
      </c>
      <c r="CQ23" s="230">
        <f t="shared" si="17"/>
        <v>0</v>
      </c>
      <c r="CR23" s="230">
        <f t="shared" si="17"/>
        <v>0</v>
      </c>
      <c r="CS23" s="230">
        <f t="shared" si="17"/>
        <v>0</v>
      </c>
      <c r="CT23" s="230">
        <f t="shared" si="17"/>
        <v>0</v>
      </c>
      <c r="CU23" s="230">
        <f t="shared" si="17"/>
        <v>0</v>
      </c>
      <c r="CV23" s="718">
        <f t="shared" si="17"/>
        <v>0</v>
      </c>
      <c r="CW23" s="230">
        <f t="shared" si="17"/>
        <v>0</v>
      </c>
      <c r="CX23" s="230">
        <f t="shared" si="17"/>
        <v>0</v>
      </c>
      <c r="CY23" s="230">
        <f t="shared" si="17"/>
        <v>0</v>
      </c>
      <c r="CZ23" s="230">
        <f t="shared" si="17"/>
        <v>0</v>
      </c>
      <c r="DA23" s="230">
        <f t="shared" si="17"/>
        <v>0</v>
      </c>
      <c r="DB23" s="230">
        <f t="shared" si="17"/>
        <v>0</v>
      </c>
      <c r="DC23" s="230">
        <f t="shared" si="17"/>
        <v>0</v>
      </c>
      <c r="DD23" s="230">
        <f t="shared" si="17"/>
        <v>0</v>
      </c>
      <c r="DE23" s="230">
        <f t="shared" si="17"/>
        <v>0</v>
      </c>
      <c r="DF23" s="230">
        <f t="shared" si="17"/>
        <v>0</v>
      </c>
      <c r="DG23" s="230">
        <f t="shared" si="17"/>
        <v>0</v>
      </c>
      <c r="DH23" s="718">
        <f t="shared" si="17"/>
        <v>0</v>
      </c>
      <c r="DI23" s="230">
        <f t="shared" si="17"/>
        <v>0</v>
      </c>
      <c r="DJ23" s="230">
        <f t="shared" si="17"/>
        <v>0</v>
      </c>
      <c r="DK23" s="230">
        <f t="shared" si="17"/>
        <v>0</v>
      </c>
      <c r="DL23" s="230">
        <f t="shared" si="17"/>
        <v>0</v>
      </c>
      <c r="DM23" s="230">
        <f t="shared" si="17"/>
        <v>0</v>
      </c>
      <c r="DN23" s="230">
        <f t="shared" si="17"/>
        <v>0</v>
      </c>
      <c r="DO23" s="230">
        <f t="shared" si="17"/>
        <v>0</v>
      </c>
      <c r="DP23" s="230">
        <f t="shared" si="17"/>
        <v>0</v>
      </c>
      <c r="DQ23" s="230">
        <f t="shared" si="17"/>
        <v>0</v>
      </c>
      <c r="DR23" s="230">
        <f t="shared" si="17"/>
        <v>0</v>
      </c>
      <c r="DS23" s="230">
        <f t="shared" si="17"/>
        <v>0</v>
      </c>
      <c r="DT23" s="718">
        <f t="shared" si="17"/>
        <v>0</v>
      </c>
    </row>
    <row r="24" spans="1:124" x14ac:dyDescent="0.2">
      <c r="B24" s="386" t="s">
        <v>351</v>
      </c>
      <c r="C24" s="385">
        <f>SUM(E23:DT23)</f>
        <v>-46402938.139497638</v>
      </c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42"/>
      <c r="Q24" s="887"/>
      <c r="R24" s="887"/>
      <c r="S24" s="887"/>
      <c r="T24" s="887"/>
      <c r="U24" s="887"/>
      <c r="V24" s="887"/>
      <c r="W24" s="887"/>
      <c r="X24" s="887"/>
      <c r="Y24" s="887"/>
      <c r="Z24" s="887"/>
      <c r="AA24" s="887"/>
      <c r="AB24" s="842"/>
      <c r="AC24" s="887"/>
      <c r="AD24" s="887"/>
      <c r="AE24" s="887"/>
      <c r="AF24" s="887"/>
      <c r="AG24" s="887"/>
      <c r="AH24" s="887"/>
      <c r="AI24" s="887"/>
      <c r="AJ24" s="887"/>
      <c r="AK24" s="887"/>
      <c r="AL24" s="887"/>
      <c r="AM24" s="887"/>
      <c r="AN24" s="842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507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507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507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507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507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507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507"/>
    </row>
    <row r="25" spans="1:124" x14ac:dyDescent="0.2"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42"/>
      <c r="Q25" s="887"/>
      <c r="R25" s="887"/>
      <c r="S25" s="887"/>
      <c r="T25" s="887"/>
      <c r="U25" s="887"/>
      <c r="V25" s="887"/>
      <c r="W25" s="887"/>
      <c r="X25" s="887"/>
      <c r="Y25" s="887"/>
      <c r="Z25" s="887"/>
      <c r="AA25" s="887"/>
      <c r="AB25" s="842"/>
      <c r="AC25" s="887"/>
      <c r="AD25" s="887"/>
      <c r="AE25" s="887"/>
      <c r="AF25" s="887"/>
      <c r="AG25" s="887"/>
      <c r="AH25" s="887"/>
      <c r="AI25" s="887"/>
      <c r="AJ25" s="887"/>
      <c r="AK25" s="887"/>
      <c r="AL25" s="887"/>
      <c r="AM25" s="887"/>
      <c r="AN25" s="842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507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507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507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507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507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507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507"/>
    </row>
    <row r="26" spans="1:124" x14ac:dyDescent="0.2">
      <c r="A26" s="2" t="s">
        <v>361</v>
      </c>
      <c r="E26" s="887"/>
      <c r="F26" s="887"/>
      <c r="G26" s="887"/>
      <c r="H26" s="887"/>
      <c r="I26" s="887"/>
      <c r="J26" s="887"/>
      <c r="K26" s="887"/>
      <c r="L26" s="887"/>
      <c r="M26" s="887"/>
      <c r="N26" s="887"/>
      <c r="O26" s="887"/>
      <c r="P26" s="842"/>
      <c r="Q26" s="887"/>
      <c r="R26" s="887"/>
      <c r="S26" s="887"/>
      <c r="T26" s="887"/>
      <c r="U26" s="887"/>
      <c r="V26" s="887"/>
      <c r="W26" s="887"/>
      <c r="X26" s="887"/>
      <c r="Y26" s="887"/>
      <c r="Z26" s="887"/>
      <c r="AA26" s="887"/>
      <c r="AB26" s="842"/>
      <c r="AC26" s="887"/>
      <c r="AD26" s="887"/>
      <c r="AE26" s="887"/>
      <c r="AF26" s="887"/>
      <c r="AG26" s="887"/>
      <c r="AH26" s="887"/>
      <c r="AI26" s="887"/>
      <c r="AJ26" s="887"/>
      <c r="AK26" s="887"/>
      <c r="AL26" s="887"/>
      <c r="AM26" s="887"/>
      <c r="AN26" s="842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507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507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507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507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507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507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507"/>
    </row>
    <row r="27" spans="1:124" x14ac:dyDescent="0.2">
      <c r="A27" s="2" t="s">
        <v>362</v>
      </c>
      <c r="E27" s="887"/>
      <c r="F27" s="887"/>
      <c r="G27" s="887"/>
      <c r="H27" s="887"/>
      <c r="I27" s="887"/>
      <c r="J27" s="887"/>
      <c r="K27" s="887"/>
      <c r="L27" s="887"/>
      <c r="M27" s="887"/>
      <c r="N27" s="887"/>
      <c r="O27" s="887"/>
      <c r="P27" s="842"/>
      <c r="Q27" s="887"/>
      <c r="R27" s="887"/>
      <c r="S27" s="887"/>
      <c r="T27" s="887"/>
      <c r="U27" s="887"/>
      <c r="V27" s="887"/>
      <c r="W27" s="887"/>
      <c r="X27" s="887"/>
      <c r="Y27" s="887"/>
      <c r="Z27" s="887"/>
      <c r="AA27" s="887"/>
      <c r="AB27" s="842"/>
      <c r="AC27" s="887"/>
      <c r="AD27" s="887"/>
      <c r="AE27" s="887"/>
      <c r="AF27" s="887"/>
      <c r="AG27" s="887"/>
      <c r="AH27" s="887"/>
      <c r="AI27" s="887"/>
      <c r="AJ27" s="887"/>
      <c r="AK27" s="887"/>
      <c r="AL27" s="887"/>
      <c r="AM27" s="887"/>
      <c r="AN27" s="842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507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507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507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507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507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507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507"/>
    </row>
    <row r="28" spans="1:124" x14ac:dyDescent="0.2"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42"/>
      <c r="Q28" s="887"/>
      <c r="R28" s="887"/>
      <c r="S28" s="887"/>
      <c r="T28" s="887"/>
      <c r="U28" s="887"/>
      <c r="V28" s="887"/>
      <c r="W28" s="887"/>
      <c r="X28" s="887"/>
      <c r="Y28" s="887"/>
      <c r="Z28" s="887"/>
      <c r="AA28" s="887"/>
      <c r="AB28" s="842"/>
      <c r="AC28" s="887"/>
      <c r="AD28" s="887"/>
      <c r="AE28" s="887"/>
      <c r="AF28" s="887"/>
      <c r="AG28" s="887"/>
      <c r="AH28" s="887"/>
      <c r="AI28" s="887"/>
      <c r="AJ28" s="887"/>
      <c r="AK28" s="887"/>
      <c r="AL28" s="887"/>
      <c r="AM28" s="887"/>
      <c r="AN28" s="84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507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507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507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507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507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507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507"/>
    </row>
    <row r="29" spans="1:124" x14ac:dyDescent="0.2"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42"/>
      <c r="Q29" s="887"/>
      <c r="R29" s="887"/>
      <c r="S29" s="887"/>
      <c r="T29" s="887"/>
      <c r="U29" s="887"/>
      <c r="V29" s="887"/>
      <c r="W29" s="887"/>
      <c r="X29" s="887"/>
      <c r="Y29" s="887"/>
      <c r="Z29" s="887"/>
      <c r="AA29" s="887"/>
      <c r="AB29" s="842"/>
      <c r="AC29" s="887"/>
      <c r="AD29" s="887"/>
      <c r="AE29" s="887"/>
      <c r="AF29" s="887"/>
      <c r="AG29" s="887"/>
      <c r="AH29" s="887"/>
      <c r="AI29" s="887"/>
      <c r="AJ29" s="887"/>
      <c r="AK29" s="887"/>
      <c r="AL29" s="887"/>
      <c r="AM29" s="887"/>
      <c r="AN29" s="842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507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507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507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507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507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507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507"/>
    </row>
    <row r="30" spans="1:124" s="486" customFormat="1" ht="13.5" thickBot="1" x14ac:dyDescent="0.25">
      <c r="P30" s="719"/>
      <c r="AB30" s="719"/>
      <c r="AN30" s="719"/>
      <c r="AZ30" s="719"/>
      <c r="BL30" s="719"/>
      <c r="BX30" s="719"/>
      <c r="CJ30" s="719"/>
      <c r="CV30" s="719"/>
      <c r="DH30" s="719"/>
      <c r="DT30" s="719"/>
    </row>
    <row r="31" spans="1:124" s="15" customFormat="1" ht="18.75" x14ac:dyDescent="0.3">
      <c r="A31" s="487"/>
    </row>
    <row r="32" spans="1:124" s="15" customFormat="1" ht="27.75" customHeight="1" x14ac:dyDescent="0.3">
      <c r="A32" s="487"/>
      <c r="B32" s="70"/>
    </row>
    <row r="33" spans="1:124" s="15" customFormat="1" ht="15" x14ac:dyDescent="0.25">
      <c r="A33" s="250"/>
      <c r="B33" s="133"/>
      <c r="C33" s="106"/>
      <c r="E33" s="105"/>
      <c r="F33" s="105"/>
      <c r="G33" s="105"/>
      <c r="H33" s="105"/>
      <c r="I33" s="105"/>
      <c r="J33" s="105"/>
      <c r="K33" s="105"/>
      <c r="L33" s="106"/>
      <c r="M33" s="106"/>
      <c r="N33" s="106"/>
      <c r="O33" s="106"/>
      <c r="P33" s="182"/>
      <c r="Q33" s="345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82"/>
      <c r="AC33" s="345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82"/>
      <c r="AO33" s="345"/>
      <c r="AP33" s="106"/>
      <c r="AQ33" s="478"/>
      <c r="AR33" s="478"/>
      <c r="AS33" s="478"/>
      <c r="AT33" s="478"/>
      <c r="AU33" s="478"/>
      <c r="AV33" s="478"/>
      <c r="AW33" s="106"/>
      <c r="AX33" s="106"/>
      <c r="AY33" s="106"/>
      <c r="AZ33" s="108"/>
      <c r="BA33" s="107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8"/>
      <c r="BM33" s="107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8"/>
      <c r="BY33" s="107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8"/>
      <c r="CK33" s="107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8"/>
      <c r="CW33" s="107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8"/>
      <c r="DI33" s="107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8"/>
    </row>
    <row r="34" spans="1:124" s="15" customFormat="1" ht="15" x14ac:dyDescent="0.25">
      <c r="A34" s="250"/>
      <c r="B34" s="133"/>
      <c r="C34" s="106"/>
      <c r="E34" s="105"/>
      <c r="F34" s="105"/>
      <c r="G34" s="105"/>
      <c r="H34" s="105"/>
      <c r="I34" s="105"/>
      <c r="J34" s="105"/>
      <c r="K34" s="105"/>
      <c r="L34" s="106"/>
      <c r="M34" s="106"/>
      <c r="N34" s="106"/>
      <c r="O34" s="106"/>
      <c r="P34" s="182"/>
      <c r="Q34" s="34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82"/>
      <c r="AC34" s="34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82"/>
      <c r="AO34" s="345"/>
      <c r="AP34" s="106"/>
      <c r="AQ34" s="478"/>
      <c r="AR34" s="478"/>
      <c r="AS34" s="478"/>
      <c r="AT34" s="478"/>
      <c r="AU34" s="478"/>
      <c r="AV34" s="478"/>
      <c r="AW34" s="106"/>
      <c r="AX34" s="106"/>
      <c r="AY34" s="106"/>
      <c r="AZ34" s="108"/>
      <c r="BA34" s="107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8"/>
      <c r="BM34" s="107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8"/>
      <c r="BY34" s="107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8"/>
      <c r="CK34" s="107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8"/>
      <c r="CW34" s="107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8"/>
      <c r="DI34" s="107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8"/>
    </row>
    <row r="35" spans="1:124" s="15" customFormat="1" ht="15" x14ac:dyDescent="0.25">
      <c r="A35" s="250"/>
      <c r="B35" s="133"/>
      <c r="C35" s="106"/>
      <c r="E35" s="105"/>
      <c r="F35" s="105"/>
      <c r="G35" s="105"/>
      <c r="H35" s="105"/>
      <c r="I35" s="105"/>
      <c r="J35" s="105"/>
      <c r="K35" s="105"/>
      <c r="L35" s="106"/>
      <c r="M35" s="106"/>
      <c r="N35" s="106"/>
      <c r="O35" s="106"/>
      <c r="P35" s="182"/>
      <c r="Q35" s="345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82"/>
      <c r="AC35" s="345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82"/>
      <c r="AO35" s="345"/>
      <c r="AP35" s="106"/>
      <c r="AQ35" s="478"/>
      <c r="AR35" s="478"/>
      <c r="AS35" s="478"/>
      <c r="AT35" s="478"/>
      <c r="AU35" s="478"/>
      <c r="AV35" s="478"/>
      <c r="AW35" s="106"/>
      <c r="AX35" s="106"/>
      <c r="AY35" s="106"/>
      <c r="AZ35" s="108"/>
      <c r="BA35" s="107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8"/>
      <c r="BM35" s="107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8"/>
      <c r="BY35" s="107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8"/>
      <c r="CK35" s="107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8"/>
      <c r="CW35" s="107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8"/>
      <c r="DI35" s="107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8"/>
    </row>
    <row r="36" spans="1:124" s="15" customFormat="1" ht="15" x14ac:dyDescent="0.25">
      <c r="A36" s="250"/>
      <c r="B36" s="133"/>
      <c r="C36" s="106"/>
      <c r="E36" s="105"/>
      <c r="F36" s="105"/>
      <c r="G36" s="105"/>
      <c r="H36" s="105"/>
      <c r="I36" s="105"/>
      <c r="J36" s="105"/>
      <c r="K36" s="105"/>
      <c r="L36" s="106"/>
      <c r="M36" s="106"/>
      <c r="N36" s="106"/>
      <c r="O36" s="106"/>
      <c r="P36" s="182"/>
      <c r="Q36" s="345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82"/>
      <c r="AC36" s="345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8"/>
      <c r="AO36" s="107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8"/>
      <c r="BA36" s="107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8"/>
      <c r="BM36" s="107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8"/>
      <c r="BY36" s="107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8"/>
      <c r="CK36" s="107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8"/>
      <c r="CW36" s="107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8"/>
      <c r="DI36" s="107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8"/>
    </row>
    <row r="37" spans="1:124" s="15" customFormat="1" ht="15" x14ac:dyDescent="0.25">
      <c r="A37" s="244"/>
      <c r="B37" s="133"/>
      <c r="C37" s="106"/>
      <c r="E37" s="105"/>
      <c r="F37" s="105"/>
      <c r="G37" s="105"/>
      <c r="H37" s="105"/>
      <c r="I37" s="105"/>
      <c r="J37" s="105"/>
      <c r="K37" s="105"/>
      <c r="L37" s="106"/>
      <c r="M37" s="106"/>
      <c r="N37" s="106"/>
      <c r="O37" s="106"/>
      <c r="P37" s="182"/>
      <c r="Q37" s="34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82"/>
      <c r="AC37" s="345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8"/>
      <c r="AO37" s="107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8"/>
      <c r="BA37" s="107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8"/>
      <c r="BM37" s="107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8"/>
      <c r="BY37" s="107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8"/>
      <c r="CK37" s="107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8"/>
      <c r="CW37" s="107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8"/>
      <c r="DI37" s="107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8"/>
    </row>
    <row r="38" spans="1:124" s="15" customFormat="1" ht="15" x14ac:dyDescent="0.25">
      <c r="A38" s="250"/>
      <c r="B38" s="133"/>
      <c r="C38" s="106"/>
      <c r="E38" s="105"/>
      <c r="F38" s="105"/>
      <c r="G38" s="105"/>
      <c r="H38" s="105"/>
      <c r="I38" s="105"/>
      <c r="J38" s="105"/>
      <c r="K38" s="105"/>
      <c r="L38" s="106"/>
      <c r="M38" s="106"/>
      <c r="N38" s="106"/>
      <c r="O38" s="106"/>
      <c r="P38" s="182"/>
      <c r="Q38" s="345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82"/>
      <c r="AC38" s="345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8"/>
      <c r="AO38" s="345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8"/>
      <c r="BA38" s="345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8"/>
      <c r="BM38" s="345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8"/>
      <c r="BY38" s="345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8"/>
      <c r="CK38" s="345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8"/>
      <c r="CW38" s="345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8"/>
      <c r="DI38" s="345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8"/>
    </row>
    <row r="39" spans="1:124" s="15" customFormat="1" ht="15" x14ac:dyDescent="0.25">
      <c r="A39" s="250"/>
      <c r="B39" s="477"/>
      <c r="C39" s="106"/>
      <c r="E39" s="105"/>
      <c r="F39" s="105"/>
      <c r="G39" s="105"/>
      <c r="H39" s="105"/>
      <c r="I39" s="105"/>
      <c r="J39" s="105"/>
      <c r="K39" s="105"/>
      <c r="L39" s="106"/>
      <c r="M39" s="106"/>
      <c r="N39" s="106"/>
      <c r="O39" s="106"/>
      <c r="P39" s="182"/>
      <c r="Q39" s="345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82"/>
      <c r="AC39" s="345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8"/>
      <c r="AO39" s="107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8"/>
      <c r="BA39" s="107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8"/>
      <c r="BM39" s="107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8"/>
      <c r="BY39" s="107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8"/>
      <c r="CK39" s="107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8"/>
      <c r="CW39" s="107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8"/>
      <c r="DI39" s="107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8"/>
    </row>
    <row r="40" spans="1:124" s="15" customFormat="1" ht="15" x14ac:dyDescent="0.25">
      <c r="A40" s="250"/>
      <c r="B40" s="477"/>
      <c r="C40" s="106"/>
      <c r="E40" s="105"/>
      <c r="F40" s="105"/>
      <c r="G40" s="105"/>
      <c r="H40" s="105"/>
      <c r="I40" s="105"/>
      <c r="J40" s="105"/>
      <c r="K40" s="105"/>
      <c r="L40" s="106"/>
      <c r="M40" s="106"/>
      <c r="N40" s="106"/>
      <c r="O40" s="106"/>
      <c r="P40" s="182"/>
      <c r="Q40" s="345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82"/>
      <c r="AC40" s="345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8"/>
      <c r="AO40" s="107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8"/>
      <c r="BA40" s="107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8"/>
      <c r="BM40" s="107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8"/>
      <c r="BY40" s="107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8"/>
      <c r="CK40" s="107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8"/>
      <c r="CW40" s="107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8"/>
      <c r="DI40" s="107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8"/>
    </row>
    <row r="41" spans="1:124" s="15" customFormat="1" x14ac:dyDescent="0.2"/>
    <row r="42" spans="1:124" s="15" customFormat="1" ht="27.75" customHeight="1" x14ac:dyDescent="0.3">
      <c r="A42" s="487"/>
      <c r="B42" s="70"/>
    </row>
    <row r="43" spans="1:124" s="15" customFormat="1" ht="15" x14ac:dyDescent="0.25">
      <c r="A43" s="250"/>
      <c r="B43" s="133"/>
      <c r="C43" s="106"/>
      <c r="E43" s="105"/>
      <c r="F43" s="105"/>
      <c r="G43" s="105"/>
      <c r="H43" s="105"/>
      <c r="I43" s="105"/>
      <c r="J43" s="105"/>
      <c r="K43" s="105"/>
      <c r="L43" s="106"/>
      <c r="M43" s="106"/>
      <c r="N43" s="106"/>
      <c r="O43" s="106"/>
      <c r="P43" s="182"/>
      <c r="Q43" s="345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82"/>
      <c r="AC43" s="345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8"/>
      <c r="AO43" s="107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8"/>
      <c r="BA43" s="488"/>
      <c r="BB43" s="488"/>
      <c r="BC43" s="488"/>
      <c r="BD43" s="488"/>
      <c r="BE43" s="106"/>
      <c r="BF43" s="106"/>
      <c r="BG43" s="106"/>
      <c r="BH43" s="106"/>
      <c r="BI43" s="106"/>
      <c r="BJ43" s="106"/>
      <c r="BK43" s="106"/>
      <c r="BL43" s="108"/>
      <c r="BM43" s="107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8"/>
      <c r="BY43" s="107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8"/>
      <c r="CK43" s="107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8"/>
      <c r="CW43" s="107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8"/>
      <c r="DI43" s="107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8"/>
    </row>
    <row r="44" spans="1:124" s="15" customFormat="1" ht="15" x14ac:dyDescent="0.25">
      <c r="A44" s="250"/>
      <c r="B44" s="133"/>
      <c r="C44" s="106"/>
      <c r="E44" s="105"/>
      <c r="F44" s="105"/>
      <c r="G44" s="105"/>
      <c r="H44" s="105"/>
      <c r="I44" s="105"/>
      <c r="J44" s="105"/>
      <c r="K44" s="105"/>
      <c r="L44" s="106"/>
      <c r="M44" s="106"/>
      <c r="N44" s="106"/>
      <c r="O44" s="106"/>
      <c r="P44" s="182"/>
      <c r="Q44" s="345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82"/>
      <c r="AC44" s="345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8"/>
      <c r="AO44" s="345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8"/>
      <c r="BA44" s="488"/>
      <c r="BB44" s="488"/>
      <c r="BC44" s="488"/>
      <c r="BD44" s="488"/>
      <c r="BE44" s="106"/>
      <c r="BF44" s="106"/>
      <c r="BG44" s="106"/>
      <c r="BH44" s="106"/>
      <c r="BI44" s="106"/>
      <c r="BJ44" s="106"/>
      <c r="BK44" s="106"/>
      <c r="BL44" s="108"/>
      <c r="BM44" s="107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8"/>
      <c r="BY44" s="107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8"/>
      <c r="CK44" s="107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8"/>
      <c r="CW44" s="107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8"/>
      <c r="DI44" s="107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8"/>
    </row>
    <row r="45" spans="1:124" s="15" customFormat="1" ht="15" x14ac:dyDescent="0.25">
      <c r="A45" s="250"/>
      <c r="B45" s="133"/>
      <c r="C45" s="106"/>
      <c r="E45" s="105"/>
      <c r="F45" s="105"/>
      <c r="G45" s="105"/>
      <c r="H45" s="105"/>
      <c r="I45" s="105"/>
      <c r="J45" s="105"/>
      <c r="K45" s="105"/>
      <c r="L45" s="106"/>
      <c r="M45" s="106"/>
      <c r="N45" s="106"/>
      <c r="O45" s="106"/>
      <c r="P45" s="182"/>
      <c r="Q45" s="345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82"/>
      <c r="AC45" s="345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82"/>
      <c r="AO45" s="108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8"/>
      <c r="BA45" s="488"/>
      <c r="BB45" s="488"/>
      <c r="BC45" s="488"/>
      <c r="BD45" s="488"/>
      <c r="BE45" s="106"/>
      <c r="BF45" s="106"/>
      <c r="BG45" s="106"/>
      <c r="BH45" s="106"/>
      <c r="BI45" s="106"/>
      <c r="BJ45" s="106"/>
      <c r="BK45" s="106"/>
      <c r="BL45" s="108"/>
      <c r="BM45" s="107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8"/>
      <c r="BY45" s="107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8"/>
      <c r="CK45" s="107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8"/>
      <c r="CW45" s="107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8"/>
      <c r="DI45" s="107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8"/>
    </row>
    <row r="46" spans="1:124" s="15" customFormat="1" ht="15" x14ac:dyDescent="0.25">
      <c r="A46" s="250"/>
      <c r="B46" s="133"/>
      <c r="C46" s="106"/>
      <c r="E46" s="105"/>
      <c r="F46" s="105"/>
      <c r="G46" s="105"/>
      <c r="H46" s="105"/>
      <c r="I46" s="105"/>
      <c r="J46" s="105"/>
      <c r="K46" s="105"/>
      <c r="L46" s="106"/>
      <c r="M46" s="106"/>
      <c r="N46" s="106"/>
      <c r="O46" s="106"/>
      <c r="P46" s="182"/>
      <c r="Q46" s="345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82"/>
      <c r="AC46" s="345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8"/>
      <c r="AO46" s="107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8"/>
      <c r="BA46" s="107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8"/>
      <c r="BM46" s="107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8"/>
      <c r="BY46" s="107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8"/>
      <c r="CK46" s="107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8"/>
      <c r="CW46" s="107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8"/>
      <c r="DI46" s="107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8"/>
    </row>
    <row r="47" spans="1:124" s="15" customFormat="1" ht="15" x14ac:dyDescent="0.25">
      <c r="A47" s="250"/>
      <c r="B47" s="133"/>
      <c r="C47" s="106"/>
      <c r="E47" s="105"/>
      <c r="F47" s="105"/>
      <c r="G47" s="105"/>
      <c r="H47" s="105"/>
      <c r="I47" s="105"/>
      <c r="J47" s="105"/>
      <c r="K47" s="105"/>
      <c r="L47" s="106"/>
      <c r="M47" s="106"/>
      <c r="N47" s="106"/>
      <c r="O47" s="106"/>
      <c r="P47" s="182"/>
      <c r="Q47" s="345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82"/>
      <c r="AC47" s="345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8"/>
      <c r="AO47" s="107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8"/>
      <c r="BA47" s="488"/>
      <c r="BB47" s="488"/>
      <c r="BC47" s="488"/>
      <c r="BD47" s="488"/>
      <c r="BE47" s="106"/>
      <c r="BF47" s="106"/>
      <c r="BG47" s="106"/>
      <c r="BH47" s="106"/>
      <c r="BI47" s="106"/>
      <c r="BJ47" s="106"/>
      <c r="BK47" s="106"/>
      <c r="BL47" s="108"/>
      <c r="BM47" s="107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8"/>
      <c r="BY47" s="107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8"/>
      <c r="CK47" s="107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8"/>
      <c r="CW47" s="107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8"/>
      <c r="DI47" s="107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8"/>
    </row>
    <row r="48" spans="1:124" s="15" customFormat="1" ht="15" x14ac:dyDescent="0.25">
      <c r="A48" s="250"/>
      <c r="B48" s="133"/>
      <c r="C48" s="106"/>
      <c r="E48" s="105"/>
      <c r="F48" s="105"/>
      <c r="G48" s="105"/>
      <c r="H48" s="105"/>
      <c r="I48" s="105"/>
      <c r="J48" s="105"/>
      <c r="K48" s="105"/>
      <c r="L48" s="106"/>
      <c r="M48" s="106"/>
      <c r="N48" s="106"/>
      <c r="O48" s="106"/>
      <c r="P48" s="182"/>
      <c r="Q48" s="34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82"/>
      <c r="AC48" s="345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8"/>
      <c r="AO48" s="345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8"/>
      <c r="BA48" s="345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8"/>
      <c r="BM48" s="345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8"/>
      <c r="BY48" s="345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8"/>
      <c r="CK48" s="345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8"/>
      <c r="CW48" s="345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8"/>
      <c r="DI48" s="345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8"/>
    </row>
    <row r="49" spans="1:124" s="15" customFormat="1" ht="15" x14ac:dyDescent="0.25">
      <c r="A49" s="250"/>
      <c r="B49" s="477"/>
      <c r="C49" s="106"/>
      <c r="E49" s="105"/>
      <c r="F49" s="105"/>
      <c r="G49" s="105"/>
      <c r="H49" s="105"/>
      <c r="I49" s="105"/>
      <c r="J49" s="105"/>
      <c r="K49" s="105"/>
      <c r="L49" s="106"/>
      <c r="M49" s="106"/>
      <c r="N49" s="106"/>
      <c r="O49" s="106"/>
      <c r="P49" s="182"/>
      <c r="Q49" s="345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82"/>
      <c r="AC49" s="345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8"/>
      <c r="AO49" s="107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8"/>
      <c r="BA49" s="107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8"/>
      <c r="BM49" s="107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8"/>
      <c r="BY49" s="107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8"/>
      <c r="CK49" s="107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8"/>
      <c r="CW49" s="107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8"/>
      <c r="DI49" s="107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8"/>
    </row>
    <row r="50" spans="1:124" s="15" customFormat="1" ht="15" x14ac:dyDescent="0.25">
      <c r="A50" s="250"/>
      <c r="B50" s="477"/>
      <c r="C50" s="106"/>
      <c r="E50" s="105"/>
      <c r="F50" s="105"/>
      <c r="G50" s="105"/>
      <c r="H50" s="105"/>
      <c r="I50" s="105"/>
      <c r="J50" s="105"/>
      <c r="K50" s="105"/>
      <c r="L50" s="106"/>
      <c r="M50" s="106"/>
      <c r="N50" s="106"/>
      <c r="O50" s="106"/>
      <c r="P50" s="182"/>
      <c r="Q50" s="345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82"/>
      <c r="AC50" s="345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8"/>
      <c r="AO50" s="107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8"/>
      <c r="BA50" s="107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8"/>
      <c r="BM50" s="107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8"/>
      <c r="BY50" s="107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8"/>
      <c r="CK50" s="107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8"/>
      <c r="CW50" s="107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8"/>
      <c r="DI50" s="107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8"/>
    </row>
    <row r="51" spans="1:124" s="15" customFormat="1" x14ac:dyDescent="0.2"/>
    <row r="52" spans="1:124" s="15" customFormat="1" ht="27.75" customHeight="1" x14ac:dyDescent="0.3">
      <c r="A52" s="487"/>
      <c r="B52" s="70"/>
    </row>
    <row r="53" spans="1:124" s="15" customFormat="1" ht="15" x14ac:dyDescent="0.25">
      <c r="A53" s="250"/>
      <c r="B53" s="133"/>
      <c r="C53" s="106"/>
      <c r="E53" s="105"/>
      <c r="F53" s="105"/>
      <c r="G53" s="105"/>
      <c r="H53" s="105"/>
      <c r="I53" s="105"/>
      <c r="J53" s="105"/>
      <c r="K53" s="105"/>
      <c r="L53" s="106"/>
      <c r="M53" s="106"/>
      <c r="N53" s="106"/>
      <c r="O53" s="106"/>
      <c r="P53" s="182"/>
      <c r="Q53" s="345"/>
      <c r="R53" s="345"/>
      <c r="S53" s="106"/>
      <c r="T53" s="106"/>
      <c r="U53" s="106"/>
      <c r="V53" s="106"/>
      <c r="W53" s="106"/>
      <c r="X53" s="106"/>
      <c r="Y53" s="106"/>
      <c r="Z53" s="106"/>
      <c r="AA53" s="106"/>
      <c r="AB53" s="182"/>
      <c r="AC53" s="345"/>
      <c r="AD53" s="345"/>
      <c r="AE53" s="345"/>
      <c r="AF53" s="345"/>
      <c r="AG53" s="106"/>
      <c r="AH53" s="106"/>
      <c r="AI53" s="106"/>
      <c r="AJ53" s="106"/>
      <c r="AK53" s="106"/>
      <c r="AL53" s="106"/>
      <c r="AM53" s="106"/>
      <c r="AN53" s="108"/>
      <c r="AO53" s="488"/>
      <c r="AP53" s="488"/>
      <c r="AQ53" s="488"/>
      <c r="AR53" s="488"/>
      <c r="AS53" s="106"/>
      <c r="AT53" s="106"/>
      <c r="AU53" s="106"/>
      <c r="AV53" s="106"/>
      <c r="AW53" s="106"/>
      <c r="AX53" s="106"/>
      <c r="AY53" s="106"/>
      <c r="AZ53" s="108"/>
      <c r="BA53" s="107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8"/>
      <c r="BM53" s="107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8"/>
      <c r="BY53" s="107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8"/>
      <c r="CK53" s="107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8"/>
      <c r="CW53" s="107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8"/>
      <c r="DI53" s="107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8"/>
    </row>
    <row r="54" spans="1:124" s="15" customFormat="1" ht="15" x14ac:dyDescent="0.25">
      <c r="A54" s="250"/>
      <c r="B54" s="133"/>
      <c r="C54" s="106"/>
      <c r="E54" s="105"/>
      <c r="F54" s="105"/>
      <c r="G54" s="105"/>
      <c r="H54" s="105"/>
      <c r="I54" s="105"/>
      <c r="J54" s="105"/>
      <c r="K54" s="105"/>
      <c r="L54" s="106"/>
      <c r="M54" s="106"/>
      <c r="N54" s="106"/>
      <c r="O54" s="106"/>
      <c r="P54" s="182"/>
      <c r="Q54" s="345"/>
      <c r="R54" s="345"/>
      <c r="S54" s="106"/>
      <c r="T54" s="106"/>
      <c r="U54" s="106"/>
      <c r="V54" s="106"/>
      <c r="W54" s="106"/>
      <c r="X54" s="106"/>
      <c r="Y54" s="106"/>
      <c r="Z54" s="106"/>
      <c r="AA54" s="106"/>
      <c r="AB54" s="182"/>
      <c r="AC54" s="345"/>
      <c r="AD54" s="345"/>
      <c r="AE54" s="345"/>
      <c r="AF54" s="345"/>
      <c r="AG54" s="106"/>
      <c r="AH54" s="106"/>
      <c r="AI54" s="106"/>
      <c r="AJ54" s="106"/>
      <c r="AK54" s="106"/>
      <c r="AL54" s="106"/>
      <c r="AM54" s="106"/>
      <c r="AN54" s="108"/>
      <c r="AO54" s="488"/>
      <c r="AP54" s="488"/>
      <c r="AQ54" s="488"/>
      <c r="AR54" s="488"/>
      <c r="AS54" s="106"/>
      <c r="AT54" s="106"/>
      <c r="AU54" s="106"/>
      <c r="AV54" s="106"/>
      <c r="AW54" s="106"/>
      <c r="AX54" s="106"/>
      <c r="AY54" s="106"/>
      <c r="AZ54" s="108"/>
      <c r="BA54" s="107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8"/>
      <c r="BM54" s="107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8"/>
      <c r="BY54" s="107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8"/>
      <c r="CK54" s="107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8"/>
      <c r="CW54" s="107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8"/>
      <c r="DI54" s="107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8"/>
    </row>
    <row r="55" spans="1:124" s="15" customFormat="1" ht="15" x14ac:dyDescent="0.25">
      <c r="A55" s="244"/>
      <c r="B55" s="133"/>
      <c r="C55" s="106"/>
      <c r="E55" s="105"/>
      <c r="F55" s="105"/>
      <c r="G55" s="105"/>
      <c r="H55" s="105"/>
      <c r="I55" s="105"/>
      <c r="J55" s="105"/>
      <c r="K55" s="105"/>
      <c r="L55" s="106"/>
      <c r="M55" s="106"/>
      <c r="N55" s="106"/>
      <c r="O55" s="106"/>
      <c r="P55" s="182"/>
      <c r="Q55" s="34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82"/>
      <c r="AC55" s="345"/>
      <c r="AD55" s="345"/>
      <c r="AE55" s="345"/>
      <c r="AF55" s="345"/>
      <c r="AG55" s="106"/>
      <c r="AH55" s="106"/>
      <c r="AI55" s="106"/>
      <c r="AJ55" s="106"/>
      <c r="AK55" s="106"/>
      <c r="AL55" s="106"/>
      <c r="AM55" s="106"/>
      <c r="AN55" s="108"/>
      <c r="AO55" s="488"/>
      <c r="AP55" s="488"/>
      <c r="AQ55" s="488"/>
      <c r="AR55" s="488"/>
      <c r="AS55" s="106"/>
      <c r="AT55" s="106"/>
      <c r="AU55" s="106"/>
      <c r="AV55" s="106"/>
      <c r="AW55" s="106"/>
      <c r="AX55" s="106"/>
      <c r="AY55" s="106"/>
      <c r="AZ55" s="108"/>
      <c r="BA55" s="107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8"/>
      <c r="BM55" s="107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8"/>
      <c r="BY55" s="107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8"/>
      <c r="CK55" s="107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8"/>
      <c r="CW55" s="107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8"/>
      <c r="DI55" s="107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8"/>
    </row>
    <row r="56" spans="1:124" s="15" customFormat="1" ht="15" x14ac:dyDescent="0.25">
      <c r="A56" s="244"/>
      <c r="B56" s="133"/>
      <c r="C56" s="106"/>
      <c r="E56" s="105"/>
      <c r="F56" s="105"/>
      <c r="G56" s="105"/>
      <c r="H56" s="105"/>
      <c r="I56" s="105"/>
      <c r="J56" s="105"/>
      <c r="K56" s="105"/>
      <c r="L56" s="106"/>
      <c r="M56" s="106"/>
      <c r="N56" s="106"/>
      <c r="O56" s="106"/>
      <c r="P56" s="182"/>
      <c r="Q56" s="345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82"/>
      <c r="AC56" s="345"/>
      <c r="AD56" s="106"/>
      <c r="AE56" s="345"/>
      <c r="AF56" s="345"/>
      <c r="AG56" s="345"/>
      <c r="AH56" s="345"/>
      <c r="AI56" s="106"/>
      <c r="AJ56" s="106"/>
      <c r="AK56" s="106"/>
      <c r="AL56" s="106"/>
      <c r="AM56" s="106"/>
      <c r="AN56" s="108"/>
      <c r="AO56" s="345"/>
      <c r="AP56" s="106"/>
      <c r="AQ56" s="488"/>
      <c r="AR56" s="488"/>
      <c r="AS56" s="488"/>
      <c r="AT56" s="488"/>
      <c r="AU56" s="106"/>
      <c r="AV56" s="106"/>
      <c r="AW56" s="106"/>
      <c r="AX56" s="106"/>
      <c r="AY56" s="106"/>
      <c r="AZ56" s="108"/>
      <c r="BA56" s="107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8"/>
      <c r="BM56" s="107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8"/>
      <c r="BY56" s="107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8"/>
      <c r="CK56" s="107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8"/>
      <c r="CW56" s="107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8"/>
      <c r="DI56" s="107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8"/>
    </row>
    <row r="57" spans="1:124" s="15" customFormat="1" ht="15" x14ac:dyDescent="0.25">
      <c r="A57" s="244"/>
      <c r="B57" s="133"/>
      <c r="C57" s="106"/>
      <c r="E57" s="105"/>
      <c r="F57" s="105"/>
      <c r="G57" s="105"/>
      <c r="H57" s="105"/>
      <c r="I57" s="105"/>
      <c r="J57" s="105"/>
      <c r="K57" s="105"/>
      <c r="L57" s="106"/>
      <c r="M57" s="106"/>
      <c r="N57" s="106"/>
      <c r="O57" s="106"/>
      <c r="P57" s="182"/>
      <c r="Q57" s="345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82"/>
      <c r="AC57" s="345"/>
      <c r="AD57" s="106"/>
      <c r="AE57" s="106"/>
      <c r="AF57" s="106"/>
      <c r="AG57" s="345"/>
      <c r="AH57" s="345"/>
      <c r="AI57" s="345"/>
      <c r="AJ57" s="345"/>
      <c r="AK57" s="106"/>
      <c r="AL57" s="106"/>
      <c r="AM57" s="106"/>
      <c r="AN57" s="108"/>
      <c r="AO57" s="345"/>
      <c r="AP57" s="106"/>
      <c r="AQ57" s="106"/>
      <c r="AR57" s="106"/>
      <c r="AS57" s="488"/>
      <c r="AT57" s="488"/>
      <c r="AU57" s="488"/>
      <c r="AV57" s="488"/>
      <c r="AW57" s="106"/>
      <c r="AX57" s="106"/>
      <c r="AY57" s="106"/>
      <c r="AZ57" s="108"/>
      <c r="BA57" s="107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8"/>
      <c r="BM57" s="107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8"/>
      <c r="BY57" s="107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8"/>
      <c r="CK57" s="107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8"/>
      <c r="CW57" s="107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8"/>
      <c r="DI57" s="107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8"/>
    </row>
    <row r="58" spans="1:124" s="15" customFormat="1" ht="15" x14ac:dyDescent="0.25">
      <c r="A58" s="250"/>
      <c r="B58" s="133"/>
      <c r="C58" s="106"/>
      <c r="E58" s="105"/>
      <c r="F58" s="105"/>
      <c r="G58" s="105"/>
      <c r="H58" s="105"/>
      <c r="I58" s="105"/>
      <c r="J58" s="105"/>
      <c r="K58" s="105"/>
      <c r="L58" s="106"/>
      <c r="M58" s="106"/>
      <c r="N58" s="106"/>
      <c r="O58" s="106"/>
      <c r="P58" s="182"/>
      <c r="Q58" s="345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82"/>
      <c r="AC58" s="345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8"/>
      <c r="AO58" s="345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8"/>
      <c r="BA58" s="488"/>
      <c r="BB58" s="488"/>
      <c r="BC58" s="488"/>
      <c r="BD58" s="488"/>
      <c r="BE58" s="106"/>
      <c r="BF58" s="106"/>
      <c r="BG58" s="106"/>
      <c r="BH58" s="106"/>
      <c r="BI58" s="106"/>
      <c r="BJ58" s="106"/>
      <c r="BK58" s="106"/>
      <c r="BL58" s="108"/>
      <c r="BM58" s="345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8"/>
      <c r="BY58" s="345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8"/>
      <c r="CK58" s="345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8"/>
      <c r="CW58" s="345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8"/>
      <c r="DI58" s="345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8"/>
    </row>
    <row r="59" spans="1:124" s="15" customFormat="1" ht="15" x14ac:dyDescent="0.25">
      <c r="A59" s="250"/>
      <c r="B59" s="477"/>
      <c r="C59" s="106"/>
      <c r="E59" s="105"/>
      <c r="F59" s="105"/>
      <c r="G59" s="105"/>
      <c r="H59" s="105"/>
      <c r="I59" s="105"/>
      <c r="J59" s="105"/>
      <c r="K59" s="105"/>
      <c r="L59" s="106"/>
      <c r="M59" s="106"/>
      <c r="N59" s="106"/>
      <c r="O59" s="106"/>
      <c r="P59" s="182"/>
      <c r="Q59" s="345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82"/>
      <c r="AC59" s="345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8"/>
      <c r="AO59" s="345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8"/>
      <c r="BA59" s="488"/>
      <c r="BB59" s="488"/>
      <c r="BC59" s="488"/>
      <c r="BD59" s="488"/>
      <c r="BE59" s="106"/>
      <c r="BF59" s="106"/>
      <c r="BG59" s="106"/>
      <c r="BH59" s="106"/>
      <c r="BI59" s="106"/>
      <c r="BJ59" s="106"/>
      <c r="BK59" s="106"/>
      <c r="BL59" s="108"/>
      <c r="BM59" s="107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8"/>
      <c r="BY59" s="107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8"/>
      <c r="CK59" s="107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8"/>
      <c r="CW59" s="107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8"/>
      <c r="DI59" s="107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8"/>
    </row>
    <row r="60" spans="1:124" s="15" customFormat="1" ht="15" x14ac:dyDescent="0.25">
      <c r="A60" s="250"/>
      <c r="B60" s="477"/>
      <c r="C60" s="106"/>
      <c r="E60" s="105"/>
      <c r="F60" s="105"/>
      <c r="G60" s="105"/>
      <c r="H60" s="105"/>
      <c r="I60" s="105"/>
      <c r="J60" s="105"/>
      <c r="K60" s="105"/>
      <c r="L60" s="106"/>
      <c r="M60" s="106"/>
      <c r="N60" s="106"/>
      <c r="O60" s="106"/>
      <c r="P60" s="182"/>
      <c r="Q60" s="488"/>
      <c r="R60" s="488"/>
      <c r="S60" s="488"/>
      <c r="T60" s="488"/>
      <c r="U60" s="345"/>
      <c r="V60" s="106"/>
      <c r="W60" s="106"/>
      <c r="X60" s="106"/>
      <c r="Y60" s="106"/>
      <c r="Z60" s="106"/>
      <c r="AA60" s="106"/>
      <c r="AB60" s="182"/>
      <c r="AC60" s="345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8"/>
      <c r="AO60" s="107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8"/>
      <c r="BA60" s="107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8"/>
      <c r="BM60" s="107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8"/>
      <c r="BY60" s="107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8"/>
      <c r="CK60" s="107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8"/>
      <c r="CW60" s="107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8"/>
      <c r="DI60" s="107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8"/>
    </row>
    <row r="61" spans="1:124" s="15" customFormat="1" x14ac:dyDescent="0.2"/>
    <row r="62" spans="1:124" s="15" customFormat="1" ht="27.75" customHeight="1" x14ac:dyDescent="0.3">
      <c r="A62" s="487"/>
      <c r="B62" s="70"/>
    </row>
    <row r="63" spans="1:124" s="15" customFormat="1" ht="15" x14ac:dyDescent="0.25">
      <c r="A63" s="250"/>
      <c r="B63" s="133"/>
      <c r="C63" s="106"/>
      <c r="E63" s="105"/>
      <c r="F63" s="105"/>
      <c r="G63" s="105"/>
      <c r="H63" s="105"/>
      <c r="I63" s="105"/>
      <c r="J63" s="105"/>
      <c r="K63" s="105"/>
      <c r="L63" s="106"/>
      <c r="M63" s="106"/>
      <c r="N63" s="106"/>
      <c r="O63" s="106"/>
      <c r="P63" s="182"/>
      <c r="Q63" s="345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82"/>
      <c r="AC63" s="345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8"/>
      <c r="AO63" s="107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8"/>
      <c r="BA63" s="107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8"/>
      <c r="BM63" s="107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8"/>
      <c r="BY63" s="107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8"/>
      <c r="CK63" s="107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8"/>
      <c r="CW63" s="107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8"/>
      <c r="DI63" s="107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8"/>
    </row>
    <row r="64" spans="1:124" s="15" customFormat="1" ht="15" x14ac:dyDescent="0.25">
      <c r="A64" s="250"/>
      <c r="B64" s="133"/>
      <c r="C64" s="106"/>
      <c r="E64" s="105"/>
      <c r="F64" s="105"/>
      <c r="G64" s="105"/>
      <c r="H64" s="105"/>
      <c r="I64" s="105"/>
      <c r="J64" s="105"/>
      <c r="K64" s="105"/>
      <c r="L64" s="106"/>
      <c r="M64" s="106"/>
      <c r="N64" s="106"/>
      <c r="O64" s="106"/>
      <c r="P64" s="182"/>
      <c r="Q64" s="345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82"/>
      <c r="AC64" s="345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8"/>
      <c r="AO64" s="107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8"/>
      <c r="BA64" s="107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8"/>
      <c r="BM64" s="107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8"/>
      <c r="BY64" s="107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8"/>
      <c r="CK64" s="107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8"/>
      <c r="CW64" s="107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8"/>
      <c r="DI64" s="107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8"/>
    </row>
    <row r="65" spans="1:124" s="15" customFormat="1" ht="15" x14ac:dyDescent="0.25">
      <c r="A65" s="250"/>
      <c r="B65" s="133"/>
      <c r="C65" s="106"/>
      <c r="E65" s="105"/>
      <c r="F65" s="105"/>
      <c r="G65" s="105"/>
      <c r="H65" s="105"/>
      <c r="I65" s="105"/>
      <c r="J65" s="105"/>
      <c r="K65" s="105"/>
      <c r="L65" s="106"/>
      <c r="M65" s="106"/>
      <c r="N65" s="106"/>
      <c r="O65" s="106"/>
      <c r="P65" s="182"/>
      <c r="Q65" s="345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82"/>
      <c r="AC65" s="345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82"/>
      <c r="AO65" s="108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8"/>
      <c r="BA65" s="107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8"/>
      <c r="BM65" s="107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8"/>
      <c r="BY65" s="107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8"/>
      <c r="CK65" s="107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8"/>
      <c r="CW65" s="107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8"/>
      <c r="DI65" s="107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8"/>
    </row>
    <row r="66" spans="1:124" s="15" customFormat="1" x14ac:dyDescent="0.2"/>
    <row r="67" spans="1:124" s="15" customFormat="1" ht="27.75" customHeight="1" x14ac:dyDescent="0.3">
      <c r="A67" s="487"/>
      <c r="B67" s="70"/>
    </row>
    <row r="68" spans="1:124" s="15" customFormat="1" ht="15" x14ac:dyDescent="0.25">
      <c r="A68" s="250"/>
      <c r="B68" s="133"/>
      <c r="C68" s="106"/>
      <c r="E68" s="105"/>
      <c r="F68" s="105"/>
      <c r="G68" s="105"/>
      <c r="H68" s="105"/>
      <c r="I68" s="105"/>
      <c r="J68" s="105"/>
      <c r="K68" s="105"/>
      <c r="L68" s="106"/>
      <c r="M68" s="106"/>
      <c r="N68" s="106"/>
      <c r="O68" s="106"/>
      <c r="P68" s="182"/>
      <c r="Q68" s="345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82"/>
      <c r="AC68" s="345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8"/>
      <c r="AO68" s="107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8"/>
      <c r="BA68" s="107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8"/>
      <c r="BM68" s="107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8"/>
      <c r="BY68" s="107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8"/>
      <c r="CK68" s="107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8"/>
      <c r="CW68" s="107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8"/>
      <c r="DI68" s="107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8"/>
    </row>
    <row r="69" spans="1:124" s="15" customFormat="1" ht="15" x14ac:dyDescent="0.25">
      <c r="A69" s="250"/>
      <c r="B69" s="133"/>
      <c r="C69" s="106"/>
      <c r="E69" s="105"/>
      <c r="F69" s="105"/>
      <c r="G69" s="105"/>
      <c r="H69" s="105"/>
      <c r="I69" s="105"/>
      <c r="J69" s="105"/>
      <c r="K69" s="105"/>
      <c r="L69" s="106"/>
      <c r="M69" s="106"/>
      <c r="N69" s="106"/>
      <c r="O69" s="106"/>
      <c r="P69" s="182"/>
      <c r="Q69" s="345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82"/>
      <c r="AC69" s="345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8"/>
      <c r="AO69" s="107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8"/>
      <c r="BA69" s="107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8"/>
      <c r="BM69" s="107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8"/>
      <c r="BY69" s="107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8"/>
      <c r="CK69" s="107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8"/>
      <c r="CW69" s="107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8"/>
      <c r="DI69" s="107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8"/>
    </row>
    <row r="70" spans="1:124" s="15" customFormat="1" x14ac:dyDescent="0.2"/>
    <row r="71" spans="1:124" s="15" customFormat="1" x14ac:dyDescent="0.2"/>
    <row r="72" spans="1:124" s="15" customFormat="1" x14ac:dyDescent="0.2"/>
    <row r="73" spans="1:124" s="15" customFormat="1" x14ac:dyDescent="0.2"/>
    <row r="74" spans="1:124" s="15" customFormat="1" x14ac:dyDescent="0.2"/>
    <row r="75" spans="1:124" s="15" customFormat="1" x14ac:dyDescent="0.2"/>
    <row r="76" spans="1:124" s="15" customFormat="1" x14ac:dyDescent="0.2"/>
    <row r="77" spans="1:124" s="15" customFormat="1" x14ac:dyDescent="0.2"/>
    <row r="78" spans="1:124" s="15" customFormat="1" x14ac:dyDescent="0.2"/>
    <row r="79" spans="1:124" s="15" customFormat="1" x14ac:dyDescent="0.2"/>
    <row r="80" spans="1:124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</sheetData>
  <mergeCells count="12">
    <mergeCell ref="A23:B23"/>
    <mergeCell ref="AC2:AN2"/>
    <mergeCell ref="BA2:BL2"/>
    <mergeCell ref="BM2:BX2"/>
    <mergeCell ref="BY2:CJ2"/>
    <mergeCell ref="CK2:CV2"/>
    <mergeCell ref="CW2:DH2"/>
    <mergeCell ref="DI2:DT2"/>
    <mergeCell ref="AO2:AZ2"/>
    <mergeCell ref="A2:B2"/>
    <mergeCell ref="E2:P2"/>
    <mergeCell ref="Q2:AB2"/>
  </mergeCells>
  <pageMargins left="0.25" right="0.25" top="0.75" bottom="0.75" header="0.3" footer="0.3"/>
  <pageSetup paperSize="8"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DU52"/>
  <sheetViews>
    <sheetView zoomScale="80" zoomScaleNormal="80" zoomScalePageLayoutView="85" workbookViewId="0">
      <pane xSplit="3" ySplit="3" topLeftCell="AN4" activePane="bottomRight" state="frozen"/>
      <selection pane="topRight" activeCell="C1" sqref="C1"/>
      <selection pane="bottomLeft" activeCell="A4" sqref="A4"/>
      <selection pane="bottomRight" activeCell="AO8" sqref="AO8"/>
    </sheetView>
  </sheetViews>
  <sheetFormatPr defaultColWidth="8.85546875" defaultRowHeight="12.75" x14ac:dyDescent="0.2"/>
  <cols>
    <col min="1" max="1" width="2.42578125" style="2" customWidth="1"/>
    <col min="2" max="2" width="31.7109375" style="2" customWidth="1"/>
    <col min="3" max="3" width="6.7109375" style="2" customWidth="1"/>
    <col min="4" max="4" width="1.28515625" style="2" customWidth="1"/>
    <col min="5" max="124" width="11.7109375" style="2" customWidth="1"/>
    <col min="125" max="16384" width="8.85546875" style="2"/>
  </cols>
  <sheetData>
    <row r="1" spans="1:125" ht="12.75" customHeight="1" x14ac:dyDescent="0.2">
      <c r="A1" s="1342" t="s">
        <v>279</v>
      </c>
      <c r="B1" s="1342"/>
      <c r="C1" s="134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4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42"/>
      <c r="AC1" s="832"/>
      <c r="AD1" s="832"/>
      <c r="AE1" s="832"/>
      <c r="AF1" s="832"/>
      <c r="AG1" s="832"/>
      <c r="AH1" s="832"/>
      <c r="AI1" s="832"/>
      <c r="AJ1" s="832"/>
      <c r="AK1" s="832"/>
      <c r="AL1" s="832"/>
      <c r="AM1" s="832"/>
      <c r="AN1" s="842"/>
      <c r="AO1" s="832"/>
      <c r="AP1" s="832"/>
      <c r="AQ1" s="832"/>
      <c r="AR1" s="832"/>
      <c r="AS1" s="832"/>
      <c r="AT1" s="832"/>
      <c r="AU1" s="832"/>
      <c r="AV1" s="832"/>
      <c r="AW1" s="832"/>
      <c r="AX1" s="832"/>
      <c r="AY1" s="832"/>
      <c r="AZ1" s="842"/>
      <c r="BA1" s="832"/>
      <c r="BB1" s="832"/>
      <c r="BC1" s="832"/>
      <c r="BD1" s="832"/>
      <c r="BE1" s="832"/>
      <c r="BF1" s="832"/>
      <c r="BG1" s="832"/>
      <c r="BH1" s="832"/>
      <c r="BI1" s="832"/>
      <c r="BJ1" s="832"/>
      <c r="BK1" s="832"/>
      <c r="BL1" s="842"/>
      <c r="BM1" s="832"/>
      <c r="BN1" s="832"/>
      <c r="BO1" s="832"/>
      <c r="BP1" s="832"/>
      <c r="BQ1" s="832"/>
      <c r="BR1" s="832"/>
      <c r="BS1" s="832"/>
      <c r="BT1" s="832"/>
      <c r="BU1" s="832"/>
      <c r="BV1" s="832"/>
      <c r="BW1" s="832"/>
      <c r="BX1" s="842"/>
      <c r="BY1" s="832"/>
      <c r="BZ1" s="832"/>
      <c r="CA1" s="832"/>
      <c r="CB1" s="832"/>
      <c r="CC1" s="832"/>
      <c r="CD1" s="832"/>
      <c r="CE1" s="832"/>
      <c r="CF1" s="832"/>
      <c r="CG1" s="832"/>
      <c r="CH1" s="832"/>
      <c r="CI1" s="832"/>
      <c r="CJ1" s="842"/>
      <c r="CK1" s="832"/>
      <c r="CL1" s="832"/>
      <c r="CM1" s="832"/>
      <c r="CN1" s="832"/>
      <c r="CO1" s="832"/>
      <c r="CP1" s="832"/>
      <c r="CQ1" s="832"/>
      <c r="CR1" s="832"/>
      <c r="CS1" s="832"/>
      <c r="CT1" s="832"/>
      <c r="CU1" s="832"/>
      <c r="CV1" s="842"/>
      <c r="CW1" s="832"/>
      <c r="CX1" s="832"/>
      <c r="CY1" s="832"/>
      <c r="CZ1" s="832"/>
      <c r="DA1" s="832"/>
      <c r="DB1" s="832"/>
      <c r="DC1" s="832"/>
      <c r="DD1" s="832"/>
      <c r="DE1" s="832"/>
      <c r="DF1" s="832"/>
      <c r="DG1" s="832"/>
      <c r="DH1" s="842"/>
      <c r="DI1" s="832"/>
      <c r="DJ1" s="832"/>
      <c r="DK1" s="832"/>
      <c r="DL1" s="832"/>
      <c r="DM1" s="832"/>
      <c r="DN1" s="832"/>
      <c r="DO1" s="832"/>
      <c r="DP1" s="832"/>
      <c r="DQ1" s="832"/>
      <c r="DR1" s="832"/>
      <c r="DS1" s="832"/>
      <c r="DT1" s="842"/>
    </row>
    <row r="2" spans="1:125" ht="39" customHeight="1" x14ac:dyDescent="0.2">
      <c r="A2" s="1342"/>
      <c r="B2" s="1342"/>
      <c r="C2" s="1342"/>
      <c r="D2" s="14"/>
      <c r="E2" s="1334" t="s">
        <v>454</v>
      </c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5"/>
      <c r="Q2" s="1340" t="s">
        <v>455</v>
      </c>
      <c r="R2" s="1340"/>
      <c r="S2" s="1340"/>
      <c r="T2" s="1340"/>
      <c r="U2" s="1340"/>
      <c r="V2" s="1340"/>
      <c r="W2" s="1340"/>
      <c r="X2" s="1340"/>
      <c r="Y2" s="1340"/>
      <c r="Z2" s="1340"/>
      <c r="AA2" s="1340"/>
      <c r="AB2" s="1341"/>
      <c r="AC2" s="1340" t="s">
        <v>456</v>
      </c>
      <c r="AD2" s="1340"/>
      <c r="AE2" s="1340"/>
      <c r="AF2" s="1340"/>
      <c r="AG2" s="1340"/>
      <c r="AH2" s="1340"/>
      <c r="AI2" s="1340"/>
      <c r="AJ2" s="1340"/>
      <c r="AK2" s="1340"/>
      <c r="AL2" s="1340"/>
      <c r="AM2" s="1340"/>
      <c r="AN2" s="1341"/>
      <c r="AO2" s="1340" t="s">
        <v>457</v>
      </c>
      <c r="AP2" s="1340"/>
      <c r="AQ2" s="1340"/>
      <c r="AR2" s="1340"/>
      <c r="AS2" s="1340"/>
      <c r="AT2" s="1340"/>
      <c r="AU2" s="1340"/>
      <c r="AV2" s="1340"/>
      <c r="AW2" s="1340"/>
      <c r="AX2" s="1340"/>
      <c r="AY2" s="1340"/>
      <c r="AZ2" s="1341"/>
      <c r="BA2" s="1340" t="s">
        <v>458</v>
      </c>
      <c r="BB2" s="1340"/>
      <c r="BC2" s="1340"/>
      <c r="BD2" s="1340"/>
      <c r="BE2" s="1340"/>
      <c r="BF2" s="1340"/>
      <c r="BG2" s="1340"/>
      <c r="BH2" s="1340"/>
      <c r="BI2" s="1340"/>
      <c r="BJ2" s="1340"/>
      <c r="BK2" s="1340"/>
      <c r="BL2" s="1341"/>
      <c r="BM2" s="1340" t="s">
        <v>459</v>
      </c>
      <c r="BN2" s="1340"/>
      <c r="BO2" s="1340"/>
      <c r="BP2" s="1340"/>
      <c r="BQ2" s="1340"/>
      <c r="BR2" s="1340"/>
      <c r="BS2" s="1340"/>
      <c r="BT2" s="1340"/>
      <c r="BU2" s="1340"/>
      <c r="BV2" s="1340"/>
      <c r="BW2" s="1340"/>
      <c r="BX2" s="1341"/>
      <c r="BY2" s="1340" t="s">
        <v>460</v>
      </c>
      <c r="BZ2" s="1340"/>
      <c r="CA2" s="1340"/>
      <c r="CB2" s="1340"/>
      <c r="CC2" s="1340"/>
      <c r="CD2" s="1340"/>
      <c r="CE2" s="1340"/>
      <c r="CF2" s="1340"/>
      <c r="CG2" s="1340"/>
      <c r="CH2" s="1340"/>
      <c r="CI2" s="1340"/>
      <c r="CJ2" s="1341"/>
      <c r="CK2" s="1340" t="s">
        <v>461</v>
      </c>
      <c r="CL2" s="1340"/>
      <c r="CM2" s="1340"/>
      <c r="CN2" s="1340"/>
      <c r="CO2" s="1340"/>
      <c r="CP2" s="1340"/>
      <c r="CQ2" s="1340"/>
      <c r="CR2" s="1340"/>
      <c r="CS2" s="1340"/>
      <c r="CT2" s="1340"/>
      <c r="CU2" s="1340"/>
      <c r="CV2" s="1341"/>
      <c r="CW2" s="1340" t="s">
        <v>462</v>
      </c>
      <c r="CX2" s="1340"/>
      <c r="CY2" s="1340"/>
      <c r="CZ2" s="1340"/>
      <c r="DA2" s="1340"/>
      <c r="DB2" s="1340"/>
      <c r="DC2" s="1340"/>
      <c r="DD2" s="1340"/>
      <c r="DE2" s="1340"/>
      <c r="DF2" s="1340"/>
      <c r="DG2" s="1340"/>
      <c r="DH2" s="1341"/>
      <c r="DI2" s="1340" t="s">
        <v>463</v>
      </c>
      <c r="DJ2" s="1340"/>
      <c r="DK2" s="1340"/>
      <c r="DL2" s="1340"/>
      <c r="DM2" s="1340"/>
      <c r="DN2" s="1340"/>
      <c r="DO2" s="1340"/>
      <c r="DP2" s="1340"/>
      <c r="DQ2" s="1340"/>
      <c r="DR2" s="1340"/>
      <c r="DS2" s="1340"/>
      <c r="DT2" s="1341"/>
    </row>
    <row r="3" spans="1:125" ht="18.75" customHeight="1" x14ac:dyDescent="0.25">
      <c r="A3" s="1342"/>
      <c r="B3" s="1342"/>
      <c r="C3" s="1342"/>
      <c r="D3" s="7"/>
      <c r="E3" s="840" t="s">
        <v>174</v>
      </c>
      <c r="F3" s="840" t="s">
        <v>175</v>
      </c>
      <c r="G3" s="840" t="s">
        <v>176</v>
      </c>
      <c r="H3" s="840" t="s">
        <v>177</v>
      </c>
      <c r="I3" s="840" t="s">
        <v>166</v>
      </c>
      <c r="J3" s="840" t="s">
        <v>167</v>
      </c>
      <c r="K3" s="840" t="s">
        <v>168</v>
      </c>
      <c r="L3" s="840" t="s">
        <v>169</v>
      </c>
      <c r="M3" s="840" t="s">
        <v>170</v>
      </c>
      <c r="N3" s="840" t="s">
        <v>171</v>
      </c>
      <c r="O3" s="840" t="s">
        <v>172</v>
      </c>
      <c r="P3" s="682" t="s">
        <v>173</v>
      </c>
      <c r="Q3" s="838" t="s">
        <v>174</v>
      </c>
      <c r="R3" s="838" t="s">
        <v>175</v>
      </c>
      <c r="S3" s="838" t="s">
        <v>176</v>
      </c>
      <c r="T3" s="838" t="s">
        <v>177</v>
      </c>
      <c r="U3" s="838" t="s">
        <v>166</v>
      </c>
      <c r="V3" s="838" t="s">
        <v>167</v>
      </c>
      <c r="W3" s="838" t="s">
        <v>168</v>
      </c>
      <c r="X3" s="838" t="s">
        <v>169</v>
      </c>
      <c r="Y3" s="838" t="s">
        <v>170</v>
      </c>
      <c r="Z3" s="838" t="s">
        <v>171</v>
      </c>
      <c r="AA3" s="838" t="s">
        <v>172</v>
      </c>
      <c r="AB3" s="846" t="s">
        <v>173</v>
      </c>
      <c r="AC3" s="838" t="s">
        <v>174</v>
      </c>
      <c r="AD3" s="838" t="s">
        <v>175</v>
      </c>
      <c r="AE3" s="838" t="s">
        <v>176</v>
      </c>
      <c r="AF3" s="838" t="s">
        <v>177</v>
      </c>
      <c r="AG3" s="838" t="s">
        <v>166</v>
      </c>
      <c r="AH3" s="838" t="s">
        <v>167</v>
      </c>
      <c r="AI3" s="838" t="s">
        <v>168</v>
      </c>
      <c r="AJ3" s="838" t="s">
        <v>169</v>
      </c>
      <c r="AK3" s="838" t="s">
        <v>170</v>
      </c>
      <c r="AL3" s="838" t="s">
        <v>171</v>
      </c>
      <c r="AM3" s="838" t="s">
        <v>172</v>
      </c>
      <c r="AN3" s="846" t="s">
        <v>173</v>
      </c>
      <c r="AO3" s="838" t="s">
        <v>174</v>
      </c>
      <c r="AP3" s="838" t="s">
        <v>175</v>
      </c>
      <c r="AQ3" s="838" t="s">
        <v>176</v>
      </c>
      <c r="AR3" s="838" t="s">
        <v>177</v>
      </c>
      <c r="AS3" s="838" t="s">
        <v>166</v>
      </c>
      <c r="AT3" s="838" t="s">
        <v>167</v>
      </c>
      <c r="AU3" s="838" t="s">
        <v>168</v>
      </c>
      <c r="AV3" s="838" t="s">
        <v>169</v>
      </c>
      <c r="AW3" s="838" t="s">
        <v>170</v>
      </c>
      <c r="AX3" s="838" t="s">
        <v>171</v>
      </c>
      <c r="AY3" s="838" t="s">
        <v>172</v>
      </c>
      <c r="AZ3" s="846" t="s">
        <v>173</v>
      </c>
      <c r="BA3" s="838" t="s">
        <v>174</v>
      </c>
      <c r="BB3" s="838" t="s">
        <v>175</v>
      </c>
      <c r="BC3" s="838" t="s">
        <v>176</v>
      </c>
      <c r="BD3" s="838" t="s">
        <v>177</v>
      </c>
      <c r="BE3" s="838" t="s">
        <v>166</v>
      </c>
      <c r="BF3" s="838" t="s">
        <v>167</v>
      </c>
      <c r="BG3" s="838" t="s">
        <v>168</v>
      </c>
      <c r="BH3" s="838" t="s">
        <v>169</v>
      </c>
      <c r="BI3" s="838" t="s">
        <v>170</v>
      </c>
      <c r="BJ3" s="838" t="s">
        <v>171</v>
      </c>
      <c r="BK3" s="838" t="s">
        <v>172</v>
      </c>
      <c r="BL3" s="846" t="s">
        <v>173</v>
      </c>
      <c r="BM3" s="838" t="s">
        <v>174</v>
      </c>
      <c r="BN3" s="838" t="s">
        <v>175</v>
      </c>
      <c r="BO3" s="838" t="s">
        <v>176</v>
      </c>
      <c r="BP3" s="838" t="s">
        <v>177</v>
      </c>
      <c r="BQ3" s="838" t="s">
        <v>166</v>
      </c>
      <c r="BR3" s="838" t="s">
        <v>167</v>
      </c>
      <c r="BS3" s="838" t="s">
        <v>168</v>
      </c>
      <c r="BT3" s="838" t="s">
        <v>169</v>
      </c>
      <c r="BU3" s="838" t="s">
        <v>170</v>
      </c>
      <c r="BV3" s="838" t="s">
        <v>171</v>
      </c>
      <c r="BW3" s="838" t="s">
        <v>172</v>
      </c>
      <c r="BX3" s="846" t="s">
        <v>173</v>
      </c>
      <c r="BY3" s="838" t="s">
        <v>174</v>
      </c>
      <c r="BZ3" s="838" t="s">
        <v>175</v>
      </c>
      <c r="CA3" s="838" t="s">
        <v>176</v>
      </c>
      <c r="CB3" s="838" t="s">
        <v>177</v>
      </c>
      <c r="CC3" s="838" t="s">
        <v>166</v>
      </c>
      <c r="CD3" s="838" t="s">
        <v>167</v>
      </c>
      <c r="CE3" s="838" t="s">
        <v>168</v>
      </c>
      <c r="CF3" s="838" t="s">
        <v>169</v>
      </c>
      <c r="CG3" s="838" t="s">
        <v>170</v>
      </c>
      <c r="CH3" s="838" t="s">
        <v>171</v>
      </c>
      <c r="CI3" s="838" t="s">
        <v>172</v>
      </c>
      <c r="CJ3" s="846" t="s">
        <v>173</v>
      </c>
      <c r="CK3" s="838" t="s">
        <v>174</v>
      </c>
      <c r="CL3" s="838" t="s">
        <v>175</v>
      </c>
      <c r="CM3" s="838" t="s">
        <v>176</v>
      </c>
      <c r="CN3" s="838" t="s">
        <v>177</v>
      </c>
      <c r="CO3" s="838" t="s">
        <v>166</v>
      </c>
      <c r="CP3" s="838" t="s">
        <v>167</v>
      </c>
      <c r="CQ3" s="838" t="s">
        <v>168</v>
      </c>
      <c r="CR3" s="838" t="s">
        <v>169</v>
      </c>
      <c r="CS3" s="838" t="s">
        <v>170</v>
      </c>
      <c r="CT3" s="838" t="s">
        <v>171</v>
      </c>
      <c r="CU3" s="838" t="s">
        <v>172</v>
      </c>
      <c r="CV3" s="846" t="s">
        <v>173</v>
      </c>
      <c r="CW3" s="838" t="s">
        <v>174</v>
      </c>
      <c r="CX3" s="838" t="s">
        <v>175</v>
      </c>
      <c r="CY3" s="838" t="s">
        <v>176</v>
      </c>
      <c r="CZ3" s="838" t="s">
        <v>177</v>
      </c>
      <c r="DA3" s="838" t="s">
        <v>166</v>
      </c>
      <c r="DB3" s="838" t="s">
        <v>167</v>
      </c>
      <c r="DC3" s="838" t="s">
        <v>168</v>
      </c>
      <c r="DD3" s="838" t="s">
        <v>169</v>
      </c>
      <c r="DE3" s="838" t="s">
        <v>170</v>
      </c>
      <c r="DF3" s="838" t="s">
        <v>171</v>
      </c>
      <c r="DG3" s="838" t="s">
        <v>172</v>
      </c>
      <c r="DH3" s="846" t="s">
        <v>173</v>
      </c>
      <c r="DI3" s="838" t="s">
        <v>174</v>
      </c>
      <c r="DJ3" s="838" t="s">
        <v>175</v>
      </c>
      <c r="DK3" s="838" t="s">
        <v>176</v>
      </c>
      <c r="DL3" s="838" t="s">
        <v>177</v>
      </c>
      <c r="DM3" s="838" t="s">
        <v>166</v>
      </c>
      <c r="DN3" s="838" t="s">
        <v>167</v>
      </c>
      <c r="DO3" s="838" t="s">
        <v>168</v>
      </c>
      <c r="DP3" s="838" t="s">
        <v>169</v>
      </c>
      <c r="DQ3" s="838" t="s">
        <v>170</v>
      </c>
      <c r="DR3" s="838" t="s">
        <v>171</v>
      </c>
      <c r="DS3" s="838" t="s">
        <v>172</v>
      </c>
      <c r="DT3" s="846" t="s">
        <v>173</v>
      </c>
    </row>
    <row r="4" spans="1:125" ht="18.75" customHeight="1" x14ac:dyDescent="0.3">
      <c r="B4" s="159" t="s">
        <v>249</v>
      </c>
      <c r="C4" s="123"/>
      <c r="D4" s="7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521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726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726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726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726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726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726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726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726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726"/>
    </row>
    <row r="5" spans="1:125" ht="15" x14ac:dyDescent="0.25">
      <c r="B5" s="160" t="s">
        <v>344</v>
      </c>
      <c r="C5" s="55"/>
      <c r="D5" s="7"/>
      <c r="E5" s="471">
        <f>'Summary Bioplan'!E23</f>
        <v>0</v>
      </c>
      <c r="F5" s="471">
        <f>'Summary Bioplan'!F23</f>
        <v>0</v>
      </c>
      <c r="G5" s="471">
        <f>'Summary Bioplan'!G23</f>
        <v>0</v>
      </c>
      <c r="H5" s="471">
        <f>'Summary Bioplan'!H23</f>
        <v>0</v>
      </c>
      <c r="I5" s="471">
        <f>'Summary Bioplan'!I23</f>
        <v>0</v>
      </c>
      <c r="J5" s="471">
        <f>'Summary Bioplan'!J23</f>
        <v>0</v>
      </c>
      <c r="K5" s="471">
        <f>'Summary Bioplan'!K23</f>
        <v>0</v>
      </c>
      <c r="L5" s="471">
        <f>'Summary Bioplan'!L23</f>
        <v>0</v>
      </c>
      <c r="M5" s="471">
        <f>'Summary Bioplan'!M23</f>
        <v>0</v>
      </c>
      <c r="N5" s="471">
        <f>'Summary Bioplan'!N23</f>
        <v>0</v>
      </c>
      <c r="O5" s="471">
        <f>'Summary Bioplan'!O23</f>
        <v>866.21357635521122</v>
      </c>
      <c r="P5" s="498">
        <f>'Summary Bioplan'!P23</f>
        <v>1257.4875792758266</v>
      </c>
      <c r="Q5" s="282">
        <f>'Summary Bioplan'!Q23</f>
        <v>2213.2067818142618</v>
      </c>
      <c r="R5" s="282">
        <f>'Summary Bioplan'!R23</f>
        <v>3739.8505868421507</v>
      </c>
      <c r="S5" s="282">
        <f>'Summary Bioplan'!S23</f>
        <v>6187.6584558776422</v>
      </c>
      <c r="T5" s="282">
        <f>'Summary Bioplan'!T23</f>
        <v>9851.8574768875133</v>
      </c>
      <c r="U5" s="282">
        <f>'Summary Bioplan'!U23</f>
        <v>14841.192614556956</v>
      </c>
      <c r="V5" s="282">
        <f>'Summary Bioplan'!V23</f>
        <v>21225.388761933202</v>
      </c>
      <c r="W5" s="282">
        <f>'Summary Bioplan'!W23</f>
        <v>28548.662434117767</v>
      </c>
      <c r="X5" s="282">
        <f>'Summary Bioplan'!X23</f>
        <v>37210.436176771451</v>
      </c>
      <c r="Y5" s="282">
        <f>'Summary Bioplan'!Y23</f>
        <v>47555.759356657378</v>
      </c>
      <c r="Z5" s="282">
        <f>'Summary Bioplan'!Z23</f>
        <v>59687.722658337749</v>
      </c>
      <c r="AA5" s="282">
        <f>'Summary Bioplan'!AA23</f>
        <v>72849.098371469008</v>
      </c>
      <c r="AB5" s="766">
        <f>'Summary Bioplan'!AB23</f>
        <v>86834.495699346357</v>
      </c>
      <c r="AC5" s="282">
        <f>'Summary Bioplan'!AC23</f>
        <v>104241.58044357441</v>
      </c>
      <c r="AD5" s="282">
        <f>'Summary Bioplan'!AD23</f>
        <v>122661.38867136768</v>
      </c>
      <c r="AE5" s="282">
        <f>'Summary Bioplan'!AE23</f>
        <v>144857.21645473118</v>
      </c>
      <c r="AF5" s="282">
        <f>'Summary Bioplan'!AF23</f>
        <v>169140.52970339524</v>
      </c>
      <c r="AG5" s="282">
        <f>'Summary Bioplan'!AG23</f>
        <v>196764.23272036723</v>
      </c>
      <c r="AH5" s="282">
        <f>'Summary Bioplan'!AH23</f>
        <v>228170.55425002618</v>
      </c>
      <c r="AI5" s="282">
        <f>'Summary Bioplan'!AI23</f>
        <v>262384.51125078852</v>
      </c>
      <c r="AJ5" s="282">
        <f>'Summary Bioplan'!AJ23</f>
        <v>300942.69261982519</v>
      </c>
      <c r="AK5" s="282">
        <f>'Summary Bioplan'!AK23</f>
        <v>342800.61958470475</v>
      </c>
      <c r="AL5" s="282">
        <f>'Summary Bioplan'!AL23</f>
        <v>345853.55443038756</v>
      </c>
      <c r="AM5" s="282">
        <f>'Summary Bioplan'!AM23</f>
        <v>344215.1938306035</v>
      </c>
      <c r="AN5" s="766">
        <f>'Summary Bioplan'!AN23</f>
        <v>343961.07696085691</v>
      </c>
      <c r="AO5" s="282">
        <f>'Summary Bioplan'!AO23</f>
        <v>346092.52769764024</v>
      </c>
      <c r="AP5" s="282">
        <f>'Summary Bioplan'!AP23</f>
        <v>341610.45023586327</v>
      </c>
      <c r="AQ5" s="282">
        <f>'Summary Bioplan'!AQ23</f>
        <v>344578.01878080773</v>
      </c>
      <c r="AR5" s="282">
        <f>'Summary Bioplan'!AR23</f>
        <v>344469.84937347379</v>
      </c>
      <c r="AS5" s="282">
        <f>'Summary Bioplan'!AS23</f>
        <v>340576.17754438485</v>
      </c>
      <c r="AT5" s="282">
        <f>'Summary Bioplan'!AT23</f>
        <v>342706.71246376605</v>
      </c>
      <c r="AU5" s="282">
        <f>'Summary Bioplan'!AU23</f>
        <v>343934.2069122328</v>
      </c>
      <c r="AV5" s="282">
        <f>'Summary Bioplan'!AV23</f>
        <v>341145.26302869531</v>
      </c>
      <c r="AW5" s="282">
        <f>'Summary Bioplan'!AW23</f>
        <v>342841.50592797791</v>
      </c>
      <c r="AX5" s="282">
        <f>'Summary Bioplan'!AX23</f>
        <v>345894.68680447259</v>
      </c>
      <c r="AY5" s="282">
        <f>'Summary Bioplan'!AY23</f>
        <v>344256.57371597411</v>
      </c>
      <c r="AZ5" s="766">
        <f>'Summary Bioplan'!AZ23</f>
        <v>344002.70584689552</v>
      </c>
      <c r="BA5" s="282">
        <f>'Summary Bioplan'!BA23</f>
        <v>346134.40708269167</v>
      </c>
      <c r="BB5" s="282">
        <f>'Summary Bioplan'!BB23</f>
        <v>341652.58162728837</v>
      </c>
      <c r="BC5" s="282">
        <f>'Summary Bioplan'!BC23</f>
        <v>344620.40369503794</v>
      </c>
      <c r="BD5" s="282">
        <f>'Summary Bioplan'!BD23</f>
        <v>344512.48933606537</v>
      </c>
      <c r="BE5" s="282">
        <f>'Summary Bioplan'!BE23</f>
        <v>340619.07409007417</v>
      </c>
      <c r="BF5" s="282">
        <f>'Summary Bioplan'!BF23</f>
        <v>342749.86713652452</v>
      </c>
      <c r="BG5" s="282">
        <f>'Summary Bioplan'!BG23</f>
        <v>343977.62126532267</v>
      </c>
      <c r="BH5" s="282">
        <f>'Summary Bioplan'!BH23</f>
        <v>341188.9386247255</v>
      </c>
      <c r="BI5" s="282">
        <f>'Summary Bioplan'!BI23</f>
        <v>342885.44433896017</v>
      </c>
      <c r="BJ5" s="282">
        <f>'Summary Bioplan'!BJ23</f>
        <v>345938.88961187808</v>
      </c>
      <c r="BK5" s="282">
        <f>'Summary Bioplan'!BK23</f>
        <v>344301.04251079058</v>
      </c>
      <c r="BL5" s="766">
        <f>'Summary Bioplan'!BL23</f>
        <v>344047.44222968421</v>
      </c>
      <c r="BM5" s="282">
        <f>'Summary Bioplan'!BM23</f>
        <v>346179.41266364511</v>
      </c>
      <c r="BN5" s="282">
        <f>'Summary Bioplan'!BN23</f>
        <v>341697.85802628845</v>
      </c>
      <c r="BO5" s="282">
        <f>'Summary Bioplan'!BO23</f>
        <v>344665.95254171389</v>
      </c>
      <c r="BP5" s="282">
        <f>'Summary Bioplan'!BP23</f>
        <v>344558.31226985273</v>
      </c>
      <c r="BQ5" s="282">
        <f>'Summary Bioplan'!BQ23</f>
        <v>340665.17276027362</v>
      </c>
      <c r="BR5" s="282">
        <f>'Summary Bioplan'!BR23</f>
        <v>342796.24320236139</v>
      </c>
      <c r="BS5" s="282">
        <f>'Summary Bioplan'!BS23</f>
        <v>344024.27639600646</v>
      </c>
      <c r="BT5" s="282">
        <f>'Summary Bioplan'!BT23</f>
        <v>341235.87449951004</v>
      </c>
      <c r="BU5" s="282">
        <f>'Summary Bioplan'!BU23</f>
        <v>342932.66264720418</v>
      </c>
      <c r="BV5" s="282">
        <f>'Summary Bioplan'!BV23</f>
        <v>345986.39205310587</v>
      </c>
      <c r="BW5" s="282">
        <f>'Summary Bioplan'!BW23</f>
        <v>344348.8307947531</v>
      </c>
      <c r="BX5" s="766">
        <f>'Summary Bioplan'!BX23</f>
        <v>344095.51807642099</v>
      </c>
      <c r="BY5" s="282">
        <f>'Summary Bioplan'!BY23</f>
        <v>346227.77780354564</v>
      </c>
      <c r="BZ5" s="282">
        <f>'Summary Bioplan'!BZ23</f>
        <v>341746.51420015481</v>
      </c>
      <c r="CA5" s="282">
        <f>'Summary Bioplan'!CA23</f>
        <v>344714.90150082338</v>
      </c>
      <c r="CB5" s="282">
        <f>'Summary Bioplan'!CB23</f>
        <v>344607.55577602074</v>
      </c>
      <c r="CC5" s="282">
        <f>'Summary Bioplan'!CC23</f>
        <v>340714.71258591727</v>
      </c>
      <c r="CD5" s="282">
        <f>'Summary Bioplan'!CD23</f>
        <v>342846.08113056311</v>
      </c>
      <c r="CE5" s="282">
        <f>'Summary Bioplan'!CE23</f>
        <v>344074.41422057821</v>
      </c>
      <c r="CF5" s="282">
        <f>'Summary Bioplan'!CF23</f>
        <v>341286.31402505806</v>
      </c>
      <c r="CG5" s="282">
        <f>'Summary Bioplan'!CG23</f>
        <v>342983.40568919375</v>
      </c>
      <c r="CH5" s="282">
        <f>'Summary Bioplan'!CH23</f>
        <v>346037.44043792662</v>
      </c>
      <c r="CI5" s="282">
        <f>'Summary Bioplan'!CI23</f>
        <v>344400.18635978503</v>
      </c>
      <c r="CJ5" s="766">
        <f>'Summary Bioplan'!CJ23</f>
        <v>344147.18267010018</v>
      </c>
      <c r="CK5" s="282">
        <f>'Summary Bioplan'!CK23</f>
        <v>346279.75328543119</v>
      </c>
      <c r="CL5" s="282">
        <f>'Summary Bioplan'!CL23</f>
        <v>341798.80244099553</v>
      </c>
      <c r="CM5" s="282">
        <f>'Summary Bioplan'!CM23</f>
        <v>344767.50438262511</v>
      </c>
      <c r="CN5" s="282">
        <f>'Summary Bioplan'!CN23</f>
        <v>344660.4751921143</v>
      </c>
      <c r="CO5" s="282">
        <f>'Summary Bioplan'!CO23</f>
        <v>340767.95044102636</v>
      </c>
      <c r="CP5" s="282">
        <f>'Summary Bioplan'!CP23</f>
        <v>342899.63934087305</v>
      </c>
      <c r="CQ5" s="282">
        <f>'Summary Bioplan'!CQ23</f>
        <v>344128.29471380479</v>
      </c>
      <c r="CR5" s="282">
        <f>'Summary Bioplan'!CR23</f>
        <v>341340.51874051703</v>
      </c>
      <c r="CS5" s="282">
        <f>'Summary Bioplan'!CS23</f>
        <v>343037.93657787039</v>
      </c>
      <c r="CT5" s="282">
        <f>'Summary Bioplan'!CT23</f>
        <v>346092.29946254642</v>
      </c>
      <c r="CU5" s="282">
        <f>'Summary Bioplan'!CU23</f>
        <v>344455.37549488374</v>
      </c>
      <c r="CV5" s="766">
        <f>'Summary Bioplan'!CV23</f>
        <v>344202.70390209544</v>
      </c>
      <c r="CW5" s="282">
        <f>'Summary Bioplan'!CW23</f>
        <v>346335.60861269361</v>
      </c>
      <c r="CX5" s="282">
        <f>'Summary Bioplan'!CX23</f>
        <v>341854.99387392082</v>
      </c>
      <c r="CY5" s="282">
        <f>'Summary Bioplan'!CY23</f>
        <v>344824.03394370648</v>
      </c>
      <c r="CZ5" s="282">
        <f>'Summary Bioplan'!CZ23</f>
        <v>344717.34491601511</v>
      </c>
      <c r="DA5" s="282">
        <f>'Summary Bioplan'!DA23</f>
        <v>340825.16237465339</v>
      </c>
      <c r="DB5" s="282">
        <f>'Summary Bioplan'!DB23</f>
        <v>342957.19554345019</v>
      </c>
      <c r="DC5" s="282">
        <f>'Summary Bioplan'!DC23</f>
        <v>344186.19725694729</v>
      </c>
      <c r="DD5" s="282">
        <f>'Summary Bioplan'!DD23</f>
        <v>341398.76970830583</v>
      </c>
      <c r="DE5" s="282">
        <f>'Summary Bioplan'!DE23</f>
        <v>343096.53806692734</v>
      </c>
      <c r="DF5" s="282">
        <f>'Summary Bioplan'!DF23</f>
        <v>346151.25358210952</v>
      </c>
      <c r="DG5" s="282">
        <f>'Summary Bioplan'!DG23</f>
        <v>344514.68436688336</v>
      </c>
      <c r="DH5" s="766">
        <f>'Summary Bioplan'!DH23</f>
        <v>344262.36966123036</v>
      </c>
      <c r="DI5" s="282">
        <f>'Summary Bioplan'!DI23</f>
        <v>346395.63340650813</v>
      </c>
      <c r="DJ5" s="282">
        <f>'Summary Bioplan'!DJ23</f>
        <v>341915.37986288191</v>
      </c>
      <c r="DK5" s="282">
        <f>'Summary Bioplan'!DK23</f>
        <v>344884.78330128151</v>
      </c>
      <c r="DL5" s="282">
        <f>'Summary Bioplan'!DL23</f>
        <v>344778.45982875017</v>
      </c>
      <c r="DM5" s="282">
        <f>'Summary Bioplan'!DM23</f>
        <v>340886.64504225209</v>
      </c>
      <c r="DN5" s="282">
        <f>'Summary Bioplan'!DN23</f>
        <v>343019.04817885254</v>
      </c>
      <c r="DO5" s="282">
        <f>'Summary Bioplan'!DO23</f>
        <v>344248.42208640964</v>
      </c>
      <c r="DP5" s="282">
        <f>'Summary Bioplan'!DP23</f>
        <v>341461.36897148076</v>
      </c>
      <c r="DQ5" s="282">
        <f>'Summary Bioplan'!DQ23</f>
        <v>343159.51401694445</v>
      </c>
      <c r="DR5" s="282">
        <f>'Summary Bioplan'!DR23</f>
        <v>346214.6084856565</v>
      </c>
      <c r="DS5" s="282">
        <f>'Summary Bioplan'!DS23</f>
        <v>344192.20692793233</v>
      </c>
      <c r="DT5" s="766">
        <f>'Summary Bioplan'!DT23</f>
        <v>343551.89011487633</v>
      </c>
    </row>
    <row r="6" spans="1:125" ht="15" x14ac:dyDescent="0.25">
      <c r="B6" s="160" t="s">
        <v>248</v>
      </c>
      <c r="C6" s="55"/>
      <c r="D6" s="7"/>
      <c r="E6" s="471">
        <f>'Summary Bioplan'!E42</f>
        <v>0</v>
      </c>
      <c r="F6" s="471">
        <f>'Summary Bioplan'!F42</f>
        <v>0</v>
      </c>
      <c r="G6" s="471">
        <f>'Summary Bioplan'!G42</f>
        <v>0</v>
      </c>
      <c r="H6" s="471">
        <f>'Summary Bioplan'!H42</f>
        <v>0</v>
      </c>
      <c r="I6" s="471">
        <f>'Summary Bioplan'!I42</f>
        <v>0</v>
      </c>
      <c r="J6" s="471">
        <f>'Summary Bioplan'!J42</f>
        <v>0</v>
      </c>
      <c r="K6" s="471">
        <f>'Summary Bioplan'!K42</f>
        <v>0</v>
      </c>
      <c r="L6" s="471">
        <f>'Summary Bioplan'!L42</f>
        <v>0</v>
      </c>
      <c r="M6" s="471">
        <f>'Summary Bioplan'!M42</f>
        <v>0</v>
      </c>
      <c r="N6" s="471">
        <f>'Summary Bioplan'!N42</f>
        <v>0</v>
      </c>
      <c r="O6" s="471">
        <f>'Summary Bioplan'!O42</f>
        <v>288.87764926177454</v>
      </c>
      <c r="P6" s="498">
        <f>'Summary Bioplan'!P42</f>
        <v>504.90132590189091</v>
      </c>
      <c r="Q6" s="282">
        <f>'Summary Bioplan'!Q42</f>
        <v>1238.6574906806884</v>
      </c>
      <c r="R6" s="483">
        <f>'Summary Bioplan'!R42</f>
        <v>1781.4221158518042</v>
      </c>
      <c r="S6" s="483">
        <f>'Summary Bioplan'!S42</f>
        <v>3202.3447996572741</v>
      </c>
      <c r="T6" s="483">
        <f>'Summary Bioplan'!T42</f>
        <v>4792.0700435560975</v>
      </c>
      <c r="U6" s="483">
        <f>'Summary Bioplan'!U42</f>
        <v>6324.2682024900478</v>
      </c>
      <c r="V6" s="483">
        <f>'Summary Bioplan'!V42</f>
        <v>8366.6561585485506</v>
      </c>
      <c r="W6" s="483">
        <f>'Summary Bioplan'!W42</f>
        <v>9592.3603752341332</v>
      </c>
      <c r="X6" s="483">
        <f>'Summary Bioplan'!X42</f>
        <v>11142.43673413883</v>
      </c>
      <c r="Y6" s="483">
        <f>'Summary Bioplan'!Y42</f>
        <v>13563.864595926145</v>
      </c>
      <c r="Z6" s="483">
        <f>'Summary Bioplan'!Z42</f>
        <v>15901.015221769281</v>
      </c>
      <c r="AA6" s="483">
        <f>'Summary Bioplan'!AA42</f>
        <v>17045.842313361227</v>
      </c>
      <c r="AB6" s="727">
        <f>'Summary Bioplan'!AB42</f>
        <v>18542.2417003837</v>
      </c>
      <c r="AC6" s="282">
        <f>'Summary Bioplan'!AC42</f>
        <v>23075.813373762194</v>
      </c>
      <c r="AD6" s="483">
        <f>'Summary Bioplan'!AD42</f>
        <v>24222.864308872326</v>
      </c>
      <c r="AE6" s="483">
        <f>'Summary Bioplan'!AE42</f>
        <v>29663.748233864353</v>
      </c>
      <c r="AF6" s="483">
        <f>'Summary Bioplan'!AF42</f>
        <v>32449.311739455148</v>
      </c>
      <c r="AG6" s="483">
        <f>'Summary Bioplan'!AG42</f>
        <v>36722.565843008219</v>
      </c>
      <c r="AH6" s="483">
        <f>'Summary Bioplan'!AH42</f>
        <v>42907.447948956134</v>
      </c>
      <c r="AI6" s="483">
        <f>'Summary Bioplan'!AI42</f>
        <v>46730.31436984193</v>
      </c>
      <c r="AJ6" s="483">
        <f>'Summary Bioplan'!AJ42</f>
        <v>52430.911859342399</v>
      </c>
      <c r="AK6" s="483">
        <f>'Summary Bioplan'!AK42</f>
        <v>59800.761293425341</v>
      </c>
      <c r="AL6" s="483">
        <f>'Summary Bioplan'!AL42</f>
        <v>60897.015955131668</v>
      </c>
      <c r="AM6" s="483">
        <f>'Summary Bioplan'!AM42</f>
        <v>59729.595429017994</v>
      </c>
      <c r="AN6" s="727">
        <f>'Summary Bioplan'!AN42</f>
        <v>56145.387762684804</v>
      </c>
      <c r="AO6" s="282">
        <f>'Summary Bioplan'!AO42</f>
        <v>60969.116019240937</v>
      </c>
      <c r="AP6" s="483">
        <f>'Summary Bioplan'!AP42</f>
        <v>57272.30848810944</v>
      </c>
      <c r="AQ6" s="483">
        <f>'Summary Bioplan'!AQ42</f>
        <v>61895.709371609912</v>
      </c>
      <c r="AR6" s="483">
        <f>'Summary Bioplan'!AR42</f>
        <v>58791.865274698735</v>
      </c>
      <c r="AS6" s="483">
        <f>'Summary Bioplan'!AS42</f>
        <v>93026.300705008456</v>
      </c>
      <c r="AT6" s="483">
        <f>'Summary Bioplan'!AT42</f>
        <v>61605.507263937587</v>
      </c>
      <c r="AU6" s="483">
        <f>'Summary Bioplan'!AU42</f>
        <v>59495.060240017861</v>
      </c>
      <c r="AV6" s="483">
        <f>'Summary Bioplan'!AV42</f>
        <v>59156.8675941806</v>
      </c>
      <c r="AW6" s="483">
        <f>'Summary Bioplan'!AW42</f>
        <v>59800.761293425341</v>
      </c>
      <c r="AX6" s="483">
        <f>'Summary Bioplan'!AX42</f>
        <v>60897.015955131668</v>
      </c>
      <c r="AY6" s="483">
        <f>'Summary Bioplan'!AY42</f>
        <v>59729.595429017994</v>
      </c>
      <c r="AZ6" s="727">
        <f>'Summary Bioplan'!AZ42</f>
        <v>56145.387762684804</v>
      </c>
      <c r="BA6" s="282">
        <f>'Summary Bioplan'!BA42</f>
        <v>60969.116019240937</v>
      </c>
      <c r="BB6" s="483">
        <f>'Summary Bioplan'!BB42</f>
        <v>57272.30848810944</v>
      </c>
      <c r="BC6" s="483">
        <f>'Summary Bioplan'!BC42</f>
        <v>61895.709371609912</v>
      </c>
      <c r="BD6" s="483">
        <f>'Summary Bioplan'!BD42</f>
        <v>58791.865274698735</v>
      </c>
      <c r="BE6" s="483">
        <f>'Summary Bioplan'!BE42</f>
        <v>93026.300705008456</v>
      </c>
      <c r="BF6" s="483">
        <f>'Summary Bioplan'!BF42</f>
        <v>61605.507263937587</v>
      </c>
      <c r="BG6" s="483">
        <f>'Summary Bioplan'!BG42</f>
        <v>59495.060240017861</v>
      </c>
      <c r="BH6" s="483">
        <f>'Summary Bioplan'!BH42</f>
        <v>52430.911859342399</v>
      </c>
      <c r="BI6" s="483">
        <f>'Summary Bioplan'!BI42</f>
        <v>59800.761293425341</v>
      </c>
      <c r="BJ6" s="483">
        <f>'Summary Bioplan'!BJ42</f>
        <v>60897.015955131668</v>
      </c>
      <c r="BK6" s="483">
        <f>'Summary Bioplan'!BK42</f>
        <v>59729.595429017994</v>
      </c>
      <c r="BL6" s="727">
        <f>'Summary Bioplan'!BL42</f>
        <v>56145.387762684804</v>
      </c>
      <c r="BM6" s="282">
        <f>'Summary Bioplan'!BM42</f>
        <v>60969.116019240937</v>
      </c>
      <c r="BN6" s="483">
        <f>'Summary Bioplan'!BN42</f>
        <v>57272.30848810944</v>
      </c>
      <c r="BO6" s="483">
        <f>'Summary Bioplan'!BO42</f>
        <v>61895.709371609912</v>
      </c>
      <c r="BP6" s="483">
        <f>'Summary Bioplan'!BP42</f>
        <v>58791.865274698735</v>
      </c>
      <c r="BQ6" s="483">
        <f>'Summary Bioplan'!BQ42</f>
        <v>93026.300705008456</v>
      </c>
      <c r="BR6" s="483">
        <f>'Summary Bioplan'!BR42</f>
        <v>61605.507263937587</v>
      </c>
      <c r="BS6" s="483">
        <f>'Summary Bioplan'!BS42</f>
        <v>59495.060240017861</v>
      </c>
      <c r="BT6" s="483">
        <f>'Summary Bioplan'!BT42</f>
        <v>52430.911859342399</v>
      </c>
      <c r="BU6" s="483">
        <f>'Summary Bioplan'!BU42</f>
        <v>59800.761293425341</v>
      </c>
      <c r="BV6" s="483">
        <f>'Summary Bioplan'!BV42</f>
        <v>60897.015955131668</v>
      </c>
      <c r="BW6" s="483">
        <f>'Summary Bioplan'!BW42</f>
        <v>59729.595429017994</v>
      </c>
      <c r="BX6" s="727">
        <f>'Summary Bioplan'!BX42</f>
        <v>56145.387762684804</v>
      </c>
      <c r="BY6" s="282">
        <f>'Summary Bioplan'!BY42</f>
        <v>60969.116019240937</v>
      </c>
      <c r="BZ6" s="483">
        <f>'Summary Bioplan'!BZ42</f>
        <v>57272.30848810944</v>
      </c>
      <c r="CA6" s="483">
        <f>'Summary Bioplan'!CA42</f>
        <v>61895.709371609912</v>
      </c>
      <c r="CB6" s="483">
        <f>'Summary Bioplan'!CB42</f>
        <v>58791.865274698735</v>
      </c>
      <c r="CC6" s="483">
        <f>'Summary Bioplan'!CC42</f>
        <v>93026.300705008456</v>
      </c>
      <c r="CD6" s="483">
        <f>'Summary Bioplan'!CD42</f>
        <v>61605.507263937587</v>
      </c>
      <c r="CE6" s="483">
        <f>'Summary Bioplan'!CE42</f>
        <v>59495.060240017861</v>
      </c>
      <c r="CF6" s="483">
        <f>'Summary Bioplan'!CF42</f>
        <v>52430.911859342399</v>
      </c>
      <c r="CG6" s="483">
        <f>'Summary Bioplan'!CG42</f>
        <v>59800.761293425341</v>
      </c>
      <c r="CH6" s="483">
        <f>'Summary Bioplan'!CH42</f>
        <v>60897.015955131668</v>
      </c>
      <c r="CI6" s="483">
        <f>'Summary Bioplan'!CI42</f>
        <v>59729.595429017994</v>
      </c>
      <c r="CJ6" s="727">
        <f>'Summary Bioplan'!CJ42</f>
        <v>56145.387762684804</v>
      </c>
      <c r="CK6" s="282">
        <f>'Summary Bioplan'!CK42</f>
        <v>60969.116019240937</v>
      </c>
      <c r="CL6" s="483">
        <f>'Summary Bioplan'!CL42</f>
        <v>57272.30848810944</v>
      </c>
      <c r="CM6" s="483">
        <f>'Summary Bioplan'!CM42</f>
        <v>61895.709371609912</v>
      </c>
      <c r="CN6" s="483">
        <f>'Summary Bioplan'!CN42</f>
        <v>58791.865274698735</v>
      </c>
      <c r="CO6" s="483">
        <f>'Summary Bioplan'!CO42</f>
        <v>93026.300705008456</v>
      </c>
      <c r="CP6" s="483">
        <f>'Summary Bioplan'!CP42</f>
        <v>61605.507263937587</v>
      </c>
      <c r="CQ6" s="483">
        <f>'Summary Bioplan'!CQ42</f>
        <v>59495.060240017861</v>
      </c>
      <c r="CR6" s="483">
        <f>'Summary Bioplan'!CR42</f>
        <v>52430.911859342399</v>
      </c>
      <c r="CS6" s="483">
        <f>'Summary Bioplan'!CS42</f>
        <v>59800.761293425341</v>
      </c>
      <c r="CT6" s="483">
        <f>'Summary Bioplan'!CT42</f>
        <v>60897.015955131668</v>
      </c>
      <c r="CU6" s="483">
        <f>'Summary Bioplan'!CU42</f>
        <v>59729.595429017994</v>
      </c>
      <c r="CV6" s="727">
        <f>'Summary Bioplan'!CV42</f>
        <v>56145.387762684804</v>
      </c>
      <c r="CW6" s="282">
        <f>'Summary Bioplan'!CW42</f>
        <v>60969.116019240937</v>
      </c>
      <c r="CX6" s="483">
        <f>'Summary Bioplan'!CX42</f>
        <v>57272.30848810944</v>
      </c>
      <c r="CY6" s="483">
        <f>'Summary Bioplan'!CY42</f>
        <v>61895.709371609912</v>
      </c>
      <c r="CZ6" s="483">
        <f>'Summary Bioplan'!CZ42</f>
        <v>58791.865274698735</v>
      </c>
      <c r="DA6" s="483">
        <f>'Summary Bioplan'!DA42</f>
        <v>93026.300705008456</v>
      </c>
      <c r="DB6" s="483">
        <f>'Summary Bioplan'!DB42</f>
        <v>61605.507263937587</v>
      </c>
      <c r="DC6" s="483">
        <f>'Summary Bioplan'!DC42</f>
        <v>59495.060240017861</v>
      </c>
      <c r="DD6" s="483">
        <f>'Summary Bioplan'!DD42</f>
        <v>52430.911859342399</v>
      </c>
      <c r="DE6" s="483">
        <f>'Summary Bioplan'!DE42</f>
        <v>59800.761293425341</v>
      </c>
      <c r="DF6" s="483">
        <f>'Summary Bioplan'!DF42</f>
        <v>60897.015955131668</v>
      </c>
      <c r="DG6" s="483">
        <f>'Summary Bioplan'!DG42</f>
        <v>59729.595429017994</v>
      </c>
      <c r="DH6" s="727">
        <f>'Summary Bioplan'!DH42</f>
        <v>56145.387762684804</v>
      </c>
      <c r="DI6" s="282">
        <f>'Summary Bioplan'!DI42</f>
        <v>60969.116019240937</v>
      </c>
      <c r="DJ6" s="483">
        <f>'Summary Bioplan'!DJ42</f>
        <v>57272.30848810944</v>
      </c>
      <c r="DK6" s="483">
        <f>'Summary Bioplan'!DK42</f>
        <v>61895.709371609912</v>
      </c>
      <c r="DL6" s="483">
        <f>'Summary Bioplan'!DL42</f>
        <v>58791.865274698735</v>
      </c>
      <c r="DM6" s="483">
        <f>'Summary Bioplan'!DM42</f>
        <v>93026.300705008456</v>
      </c>
      <c r="DN6" s="483">
        <f>'Summary Bioplan'!DN42</f>
        <v>61605.507263937587</v>
      </c>
      <c r="DO6" s="483">
        <f>'Summary Bioplan'!DO42</f>
        <v>59495.060240017861</v>
      </c>
      <c r="DP6" s="483">
        <f>'Summary Bioplan'!DP42</f>
        <v>52430.911859342399</v>
      </c>
      <c r="DQ6" s="483">
        <f>'Summary Bioplan'!DQ42</f>
        <v>59800.761293425341</v>
      </c>
      <c r="DR6" s="483">
        <f>'Summary Bioplan'!DR42</f>
        <v>60897.015955131668</v>
      </c>
      <c r="DS6" s="483">
        <f>'Summary Bioplan'!DS42</f>
        <v>59440.717779756218</v>
      </c>
      <c r="DT6" s="727">
        <f>'Summary Bioplan'!DT42</f>
        <v>55640.486436782914</v>
      </c>
      <c r="DU6" s="265"/>
    </row>
    <row r="7" spans="1:125" ht="15" x14ac:dyDescent="0.25">
      <c r="B7" s="161" t="s">
        <v>509</v>
      </c>
      <c r="C7" s="83"/>
      <c r="D7" s="7"/>
      <c r="E7" s="404">
        <f>'Summary Bioplan'!E60</f>
        <v>0</v>
      </c>
      <c r="F7" s="404">
        <f>'Summary Bioplan'!F60</f>
        <v>0</v>
      </c>
      <c r="G7" s="404">
        <f>'Summary Bioplan'!G60</f>
        <v>0</v>
      </c>
      <c r="H7" s="404">
        <f>'Summary Bioplan'!H60</f>
        <v>0</v>
      </c>
      <c r="I7" s="404">
        <f>'Summary Bioplan'!I60</f>
        <v>0</v>
      </c>
      <c r="J7" s="404">
        <f>'Summary Bioplan'!J60</f>
        <v>0</v>
      </c>
      <c r="K7" s="404">
        <f>'Summary Bioplan'!K60</f>
        <v>0</v>
      </c>
      <c r="L7" s="404">
        <f>'Summary Bioplan'!L60</f>
        <v>0</v>
      </c>
      <c r="M7" s="404">
        <f>'Summary Bioplan'!M60</f>
        <v>0</v>
      </c>
      <c r="N7" s="404">
        <f>'Summary Bioplan'!N60</f>
        <v>0</v>
      </c>
      <c r="O7" s="404">
        <f>'Summary Bioplan'!O60</f>
        <v>0</v>
      </c>
      <c r="P7" s="497">
        <f>'Summary Bioplan'!P60</f>
        <v>0</v>
      </c>
      <c r="Q7" s="282">
        <f>'Summary Bioplan'!Q60</f>
        <v>0</v>
      </c>
      <c r="R7" s="312">
        <f>'Summary Bioplan'!R60</f>
        <v>0</v>
      </c>
      <c r="S7" s="312">
        <f>'Summary Bioplan'!S60</f>
        <v>0</v>
      </c>
      <c r="T7" s="106">
        <f>'Summary Bioplan'!T60</f>
        <v>0</v>
      </c>
      <c r="U7" s="106">
        <f>'Summary Bioplan'!U60</f>
        <v>0</v>
      </c>
      <c r="V7" s="106">
        <f>'Summary Bioplan'!V60</f>
        <v>0</v>
      </c>
      <c r="W7" s="106">
        <f>'Summary Bioplan'!W60</f>
        <v>0</v>
      </c>
      <c r="X7" s="106">
        <f>'Summary Bioplan'!X60</f>
        <v>0</v>
      </c>
      <c r="Y7" s="106">
        <f>'Summary Bioplan'!Y60</f>
        <v>0</v>
      </c>
      <c r="Z7" s="106">
        <f>'Summary Bioplan'!Z60</f>
        <v>0</v>
      </c>
      <c r="AA7" s="106">
        <f>'Summary Bioplan'!AA60</f>
        <v>0</v>
      </c>
      <c r="AB7" s="108">
        <f>'Summary Bioplan'!AB60</f>
        <v>0</v>
      </c>
      <c r="AC7" s="282">
        <f>'Summary Bioplan'!AC60</f>
        <v>0</v>
      </c>
      <c r="AD7" s="312">
        <f>'Summary Bioplan'!AD60</f>
        <v>0</v>
      </c>
      <c r="AE7" s="312">
        <f>'Summary Bioplan'!AE60</f>
        <v>0</v>
      </c>
      <c r="AF7" s="312">
        <f>'Summary Bioplan'!AF60</f>
        <v>0</v>
      </c>
      <c r="AG7" s="312">
        <f>'Summary Bioplan'!AG60</f>
        <v>0</v>
      </c>
      <c r="AH7" s="312">
        <f>'Summary Bioplan'!AH60</f>
        <v>0</v>
      </c>
      <c r="AI7" s="312">
        <f>'Summary Bioplan'!AI60</f>
        <v>0</v>
      </c>
      <c r="AJ7" s="312">
        <f>'Summary Bioplan'!AJ60</f>
        <v>0</v>
      </c>
      <c r="AK7" s="312">
        <f>'Summary Bioplan'!AK60</f>
        <v>0</v>
      </c>
      <c r="AL7" s="312">
        <f>'Summary Bioplan'!AL60</f>
        <v>40164.577489631527</v>
      </c>
      <c r="AM7" s="312">
        <f>'Summary Bioplan'!AM60</f>
        <v>44819.688006079276</v>
      </c>
      <c r="AN7" s="313">
        <f>'Summary Bioplan'!AN60</f>
        <v>39438.024282604434</v>
      </c>
      <c r="AO7" s="107">
        <f>'Summary Bioplan'!AO60</f>
        <v>41099.915462942678</v>
      </c>
      <c r="AP7" s="106">
        <f>'Summary Bioplan'!AP60</f>
        <v>45863.432488512</v>
      </c>
      <c r="AQ7" s="106">
        <f>'Summary Bioplan'!AQ60</f>
        <v>40206.872983377849</v>
      </c>
      <c r="AR7" s="106">
        <f>'Summary Bioplan'!AR60</f>
        <v>41781.05342146675</v>
      </c>
      <c r="AS7" s="106">
        <f>'Summary Bioplan'!AS60</f>
        <v>46458.87630379208</v>
      </c>
      <c r="AT7" s="106">
        <f>'Summary Bioplan'!AT60</f>
        <v>40880.389251325098</v>
      </c>
      <c r="AU7" s="106">
        <f>'Summary Bioplan'!AU60</f>
        <v>40964.670363466583</v>
      </c>
      <c r="AV7" s="106">
        <f>'Summary Bioplan'!AV60</f>
        <v>45551.09068322528</v>
      </c>
      <c r="AW7" s="106">
        <f>'Summary Bioplan'!AW60</f>
        <v>40081.604767540732</v>
      </c>
      <c r="AX7" s="106">
        <f>'Summary Bioplan'!AX60</f>
        <v>40164.577489631527</v>
      </c>
      <c r="AY7" s="106">
        <f>'Summary Bioplan'!AY60</f>
        <v>44819.688006079276</v>
      </c>
      <c r="AZ7" s="108">
        <f>'Summary Bioplan'!AZ60</f>
        <v>39438.024282604434</v>
      </c>
      <c r="BA7" s="107">
        <f>'Summary Bioplan'!BA60</f>
        <v>41099.915462942678</v>
      </c>
      <c r="BB7" s="106">
        <f>'Summary Bioplan'!BB60</f>
        <v>45863.432488512</v>
      </c>
      <c r="BC7" s="106">
        <f>'Summary Bioplan'!BC60</f>
        <v>40206.872983377849</v>
      </c>
      <c r="BD7" s="106">
        <f>'Summary Bioplan'!BD60</f>
        <v>41781.05342146675</v>
      </c>
      <c r="BE7" s="106">
        <f>'Summary Bioplan'!BE60</f>
        <v>46458.87630379208</v>
      </c>
      <c r="BF7" s="106">
        <f>'Summary Bioplan'!BF60</f>
        <v>40880.389251325098</v>
      </c>
      <c r="BG7" s="106">
        <f>'Summary Bioplan'!BG60</f>
        <v>40964.670363466583</v>
      </c>
      <c r="BH7" s="106">
        <f>'Summary Bioplan'!BH60</f>
        <v>45551.09068322528</v>
      </c>
      <c r="BI7" s="106">
        <f>'Summary Bioplan'!BI60</f>
        <v>40081.604767540732</v>
      </c>
      <c r="BJ7" s="106">
        <f>'Summary Bioplan'!BJ60</f>
        <v>40164.577489631527</v>
      </c>
      <c r="BK7" s="106">
        <f>'Summary Bioplan'!BK60</f>
        <v>44819.688006079276</v>
      </c>
      <c r="BL7" s="108">
        <f>'Summary Bioplan'!BL60</f>
        <v>39438.024282604434</v>
      </c>
      <c r="BM7" s="107">
        <f>'Summary Bioplan'!BM60</f>
        <v>41099.915462942678</v>
      </c>
      <c r="BN7" s="106">
        <f>'Summary Bioplan'!BN60</f>
        <v>45863.432488512</v>
      </c>
      <c r="BO7" s="106">
        <f>'Summary Bioplan'!BO60</f>
        <v>40206.872983377849</v>
      </c>
      <c r="BP7" s="106">
        <f>'Summary Bioplan'!BP60</f>
        <v>41781.05342146675</v>
      </c>
      <c r="BQ7" s="106">
        <f>'Summary Bioplan'!BQ60</f>
        <v>46458.87630379208</v>
      </c>
      <c r="BR7" s="106">
        <f>'Summary Bioplan'!BR60</f>
        <v>40880.389251325098</v>
      </c>
      <c r="BS7" s="106">
        <f>'Summary Bioplan'!BS60</f>
        <v>40964.670363466583</v>
      </c>
      <c r="BT7" s="106">
        <f>'Summary Bioplan'!BT60</f>
        <v>45551.09068322528</v>
      </c>
      <c r="BU7" s="106">
        <f>'Summary Bioplan'!BU60</f>
        <v>40081.604767540732</v>
      </c>
      <c r="BV7" s="106">
        <f>'Summary Bioplan'!BV60</f>
        <v>40164.577489631527</v>
      </c>
      <c r="BW7" s="106">
        <f>'Summary Bioplan'!BW60</f>
        <v>44819.688006079276</v>
      </c>
      <c r="BX7" s="108">
        <f>'Summary Bioplan'!BX60</f>
        <v>39438.024282604434</v>
      </c>
      <c r="BY7" s="107">
        <f>'Summary Bioplan'!BY60</f>
        <v>41099.915462942678</v>
      </c>
      <c r="BZ7" s="106">
        <f>'Summary Bioplan'!BZ60</f>
        <v>45863.432488512</v>
      </c>
      <c r="CA7" s="106">
        <f>'Summary Bioplan'!CA60</f>
        <v>40206.872983377849</v>
      </c>
      <c r="CB7" s="106">
        <f>'Summary Bioplan'!CB60</f>
        <v>41781.05342146675</v>
      </c>
      <c r="CC7" s="106">
        <f>'Summary Bioplan'!CC60</f>
        <v>46458.87630379208</v>
      </c>
      <c r="CD7" s="106">
        <f>'Summary Bioplan'!CD60</f>
        <v>40880.389251325098</v>
      </c>
      <c r="CE7" s="106">
        <f>'Summary Bioplan'!CE60</f>
        <v>40964.670363466583</v>
      </c>
      <c r="CF7" s="106">
        <f>'Summary Bioplan'!CF60</f>
        <v>45551.09068322528</v>
      </c>
      <c r="CG7" s="106">
        <f>'Summary Bioplan'!CG60</f>
        <v>40081.604767540732</v>
      </c>
      <c r="CH7" s="106">
        <f>'Summary Bioplan'!CH60</f>
        <v>40164.577489631527</v>
      </c>
      <c r="CI7" s="106">
        <f>'Summary Bioplan'!CI60</f>
        <v>44819.688006079276</v>
      </c>
      <c r="CJ7" s="108">
        <f>'Summary Bioplan'!CJ60</f>
        <v>39438.024282604434</v>
      </c>
      <c r="CK7" s="107">
        <f>'Summary Bioplan'!CK60</f>
        <v>41099.915462942678</v>
      </c>
      <c r="CL7" s="106">
        <f>'Summary Bioplan'!CL60</f>
        <v>45863.432488512</v>
      </c>
      <c r="CM7" s="106">
        <f>'Summary Bioplan'!CM60</f>
        <v>40206.872983377849</v>
      </c>
      <c r="CN7" s="106">
        <f>'Summary Bioplan'!CN60</f>
        <v>41781.05342146675</v>
      </c>
      <c r="CO7" s="106">
        <f>'Summary Bioplan'!CO60</f>
        <v>46458.87630379208</v>
      </c>
      <c r="CP7" s="106">
        <f>'Summary Bioplan'!CP60</f>
        <v>40880.389251325098</v>
      </c>
      <c r="CQ7" s="106">
        <f>'Summary Bioplan'!CQ60</f>
        <v>40964.670363466583</v>
      </c>
      <c r="CR7" s="106">
        <f>'Summary Bioplan'!CR60</f>
        <v>45551.09068322528</v>
      </c>
      <c r="CS7" s="106">
        <f>'Summary Bioplan'!CS60</f>
        <v>40081.604767540732</v>
      </c>
      <c r="CT7" s="106">
        <f>'Summary Bioplan'!CT60</f>
        <v>40164.577489631527</v>
      </c>
      <c r="CU7" s="106">
        <f>'Summary Bioplan'!CU60</f>
        <v>44819.688006079276</v>
      </c>
      <c r="CV7" s="108">
        <f>'Summary Bioplan'!CV60</f>
        <v>39438.024282604434</v>
      </c>
      <c r="CW7" s="107">
        <f>'Summary Bioplan'!CW60</f>
        <v>41099.915462942678</v>
      </c>
      <c r="CX7" s="106">
        <f>'Summary Bioplan'!CX60</f>
        <v>45863.432488512</v>
      </c>
      <c r="CY7" s="106">
        <f>'Summary Bioplan'!CY60</f>
        <v>40206.872983377849</v>
      </c>
      <c r="CZ7" s="106">
        <f>'Summary Bioplan'!CZ60</f>
        <v>41781.05342146675</v>
      </c>
      <c r="DA7" s="106">
        <f>'Summary Bioplan'!DA60</f>
        <v>46458.87630379208</v>
      </c>
      <c r="DB7" s="106">
        <f>'Summary Bioplan'!DB60</f>
        <v>40880.389251325098</v>
      </c>
      <c r="DC7" s="106">
        <f>'Summary Bioplan'!DC60</f>
        <v>40964.670363466583</v>
      </c>
      <c r="DD7" s="106">
        <f>'Summary Bioplan'!DD60</f>
        <v>45551.09068322528</v>
      </c>
      <c r="DE7" s="106">
        <f>'Summary Bioplan'!DE60</f>
        <v>40081.604767540732</v>
      </c>
      <c r="DF7" s="106">
        <f>'Summary Bioplan'!DF60</f>
        <v>40164.577489631527</v>
      </c>
      <c r="DG7" s="106">
        <f>'Summary Bioplan'!DG60</f>
        <v>44819.688006079276</v>
      </c>
      <c r="DH7" s="108">
        <f>'Summary Bioplan'!DH60</f>
        <v>39438.024282604434</v>
      </c>
      <c r="DI7" s="107">
        <f>'Summary Bioplan'!DI60</f>
        <v>41099.915462942678</v>
      </c>
      <c r="DJ7" s="106">
        <f>'Summary Bioplan'!DJ60</f>
        <v>45863.432488512</v>
      </c>
      <c r="DK7" s="106">
        <f>'Summary Bioplan'!DK60</f>
        <v>40206.872983377849</v>
      </c>
      <c r="DL7" s="106">
        <f>'Summary Bioplan'!DL60</f>
        <v>41781.05342146675</v>
      </c>
      <c r="DM7" s="106">
        <f>'Summary Bioplan'!DM60</f>
        <v>46458.87630379208</v>
      </c>
      <c r="DN7" s="106">
        <f>'Summary Bioplan'!DN60</f>
        <v>40880.389251325098</v>
      </c>
      <c r="DO7" s="106">
        <f>'Summary Bioplan'!DO60</f>
        <v>40964.670363466583</v>
      </c>
      <c r="DP7" s="106">
        <f>'Summary Bioplan'!DP60</f>
        <v>45551.09068322528</v>
      </c>
      <c r="DQ7" s="106">
        <f>'Summary Bioplan'!DQ60</f>
        <v>40081.604767540732</v>
      </c>
      <c r="DR7" s="106">
        <f>'Summary Bioplan'!DR60</f>
        <v>40164.577489631527</v>
      </c>
      <c r="DS7" s="106">
        <f>'Summary Bioplan'!DS60</f>
        <v>44819.688006079276</v>
      </c>
      <c r="DT7" s="108">
        <f>'Summary Bioplan'!DT60</f>
        <v>39438.024282604434</v>
      </c>
    </row>
    <row r="8" spans="1:125" ht="15" x14ac:dyDescent="0.25">
      <c r="B8" s="870" t="s">
        <v>704</v>
      </c>
      <c r="C8" s="83"/>
      <c r="D8" s="7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  <c r="Q8" s="406"/>
      <c r="R8" s="406"/>
      <c r="S8" s="406"/>
      <c r="T8" s="388"/>
      <c r="U8" s="388"/>
      <c r="V8" s="388"/>
      <c r="W8" s="388"/>
      <c r="X8" s="388"/>
      <c r="Y8" s="388"/>
      <c r="Z8" s="388"/>
      <c r="AA8" s="388"/>
      <c r="AB8" s="389"/>
      <c r="AC8" s="406"/>
      <c r="AD8" s="674">
        <f>AD7*Assumptions!$C$22*Assumptions!$C$15</f>
        <v>0</v>
      </c>
      <c r="AE8" s="674">
        <f>AE7*Assumptions!$C$22*Assumptions!$C$15</f>
        <v>0</v>
      </c>
      <c r="AF8" s="674">
        <f>AF7*Assumptions!$C$22*Assumptions!$C$15</f>
        <v>0</v>
      </c>
      <c r="AG8" s="674">
        <f>AG7*Assumptions!$C$22*Assumptions!$C$15</f>
        <v>0</v>
      </c>
      <c r="AH8" s="674">
        <f>AH7*Assumptions!$C$22*Assumptions!$C$15</f>
        <v>0</v>
      </c>
      <c r="AI8" s="674">
        <f>AI7*Assumptions!$C$22*Assumptions!$C$15</f>
        <v>0</v>
      </c>
      <c r="AJ8" s="674">
        <f>AJ7*Assumptions!$C$22*Assumptions!$C$15</f>
        <v>0</v>
      </c>
      <c r="AK8" s="674">
        <f>AK7*Assumptions!$C$22*Assumptions!$C$15</f>
        <v>0</v>
      </c>
      <c r="AL8" s="674">
        <f>AL7*Assumptions!$C$22*Assumptions!$C$15</f>
        <v>36148.119740668379</v>
      </c>
      <c r="AM8" s="674">
        <f>AM7*Assumptions!$C$22*Assumptions!$C$15</f>
        <v>40337.719205471352</v>
      </c>
      <c r="AN8" s="730">
        <f>AN7*Assumptions!$C$22*Assumptions!$C$15</f>
        <v>35494.221854343989</v>
      </c>
      <c r="AO8" s="674">
        <f>AO7*Assumptions!$C$22*Assumptions!$C$15</f>
        <v>36989.923916648411</v>
      </c>
      <c r="AP8" s="674">
        <f>AP7*Assumptions!$C$22*Assumptions!$C$15</f>
        <v>41277.089239660803</v>
      </c>
      <c r="AQ8" s="674">
        <f>AQ7*Assumptions!$C$22*Assumptions!$C$15</f>
        <v>36186.185685040065</v>
      </c>
      <c r="AR8" s="674">
        <f>AR7*Assumptions!$C$22*Assumptions!$C$15</f>
        <v>37602.948079320078</v>
      </c>
      <c r="AS8" s="674">
        <f>AS7*Assumptions!$C$22*Assumptions!$C$15</f>
        <v>41812.988673412874</v>
      </c>
      <c r="AT8" s="674">
        <f>AT7*Assumptions!$C$22*Assumptions!$C$15</f>
        <v>36792.350326192587</v>
      </c>
      <c r="AU8" s="674">
        <f>AU7*Assumptions!$C$22*Assumptions!$C$15</f>
        <v>36868.203327119925</v>
      </c>
      <c r="AV8" s="674">
        <f>AV7*Assumptions!$C$22*Assumptions!$C$15</f>
        <v>40995.981614902754</v>
      </c>
      <c r="AW8" s="674">
        <f>AW7*Assumptions!$C$22*Assumptions!$C$15</f>
        <v>36073.444290786661</v>
      </c>
      <c r="AX8" s="674">
        <f>AX7*Assumptions!$C$22*Assumptions!$C$15</f>
        <v>36148.119740668379</v>
      </c>
      <c r="AY8" s="674">
        <f>AY7*Assumptions!$C$22*Assumptions!$C$15</f>
        <v>40337.719205471352</v>
      </c>
      <c r="AZ8" s="730">
        <f>AZ7*Assumptions!$C$22*Assumptions!$C$15</f>
        <v>35494.221854343989</v>
      </c>
      <c r="BA8" s="674">
        <f>BA7*Assumptions!$C$22*Assumptions!$C$15</f>
        <v>36989.923916648411</v>
      </c>
      <c r="BB8" s="674">
        <f>BB7*Assumptions!$C$22*Assumptions!$C$15</f>
        <v>41277.089239660803</v>
      </c>
      <c r="BC8" s="674">
        <f>BC7*Assumptions!$C$22*Assumptions!$C$15</f>
        <v>36186.185685040065</v>
      </c>
      <c r="BD8" s="674">
        <f>BD7*Assumptions!$C$22*Assumptions!$C$15</f>
        <v>37602.948079320078</v>
      </c>
      <c r="BE8" s="674">
        <f>BE7*Assumptions!$C$22*Assumptions!$C$15</f>
        <v>41812.988673412874</v>
      </c>
      <c r="BF8" s="674">
        <f>BF7*Assumptions!$C$22*Assumptions!$C$15</f>
        <v>36792.350326192587</v>
      </c>
      <c r="BG8" s="674">
        <f>BG7*Assumptions!$C$22*Assumptions!$C$15</f>
        <v>36868.203327119925</v>
      </c>
      <c r="BH8" s="674">
        <f>BH7*Assumptions!$C$22*Assumptions!$C$15</f>
        <v>40995.981614902754</v>
      </c>
      <c r="BI8" s="674">
        <f>BI7*Assumptions!$C$22*Assumptions!$C$15</f>
        <v>36073.444290786661</v>
      </c>
      <c r="BJ8" s="674">
        <f>BJ7*Assumptions!$C$22*Assumptions!$C$15</f>
        <v>36148.119740668379</v>
      </c>
      <c r="BK8" s="674">
        <f>BK7*Assumptions!$C$22*Assumptions!$C$15</f>
        <v>40337.719205471352</v>
      </c>
      <c r="BL8" s="730">
        <f>BL7*Assumptions!$C$22*Assumptions!$C$15</f>
        <v>35494.221854343989</v>
      </c>
      <c r="BM8" s="674">
        <f>BM7*Assumptions!$C$22*Assumptions!$C$15</f>
        <v>36989.923916648411</v>
      </c>
      <c r="BN8" s="674">
        <f>BN7*Assumptions!$C$22*Assumptions!$C$15</f>
        <v>41277.089239660803</v>
      </c>
      <c r="BO8" s="674">
        <f>BO7*Assumptions!$C$22*Assumptions!$C$15</f>
        <v>36186.185685040065</v>
      </c>
      <c r="BP8" s="674">
        <f>BP7*Assumptions!$C$22*Assumptions!$C$15</f>
        <v>37602.948079320078</v>
      </c>
      <c r="BQ8" s="674">
        <f>BQ7*Assumptions!$C$22*Assumptions!$C$15</f>
        <v>41812.988673412874</v>
      </c>
      <c r="BR8" s="674">
        <f>BR7*Assumptions!$C$22*Assumptions!$C$15</f>
        <v>36792.350326192587</v>
      </c>
      <c r="BS8" s="674">
        <f>BS7*Assumptions!$C$22*Assumptions!$C$15</f>
        <v>36868.203327119925</v>
      </c>
      <c r="BT8" s="674">
        <f>BT7*Assumptions!$C$22*Assumptions!$C$15</f>
        <v>40995.981614902754</v>
      </c>
      <c r="BU8" s="674">
        <f>BU7*Assumptions!$C$22*Assumptions!$C$15</f>
        <v>36073.444290786661</v>
      </c>
      <c r="BV8" s="674">
        <f>BV7*Assumptions!$C$22*Assumptions!$C$15</f>
        <v>36148.119740668379</v>
      </c>
      <c r="BW8" s="674">
        <f>BW7*Assumptions!$C$22*Assumptions!$C$15</f>
        <v>40337.719205471352</v>
      </c>
      <c r="BX8" s="730">
        <f>BX7*Assumptions!$C$22*Assumptions!$C$15</f>
        <v>35494.221854343989</v>
      </c>
      <c r="BY8" s="674">
        <f>BY7*Assumptions!$C$22*Assumptions!$C$15</f>
        <v>36989.923916648411</v>
      </c>
      <c r="BZ8" s="674">
        <f>BZ7*Assumptions!$C$22*Assumptions!$C$15</f>
        <v>41277.089239660803</v>
      </c>
      <c r="CA8" s="674">
        <f>CA7*Assumptions!$C$22*Assumptions!$C$15</f>
        <v>36186.185685040065</v>
      </c>
      <c r="CB8" s="674">
        <f>CB7*Assumptions!$C$22*Assumptions!$C$15</f>
        <v>37602.948079320078</v>
      </c>
      <c r="CC8" s="674">
        <f>CC7*Assumptions!$C$22*Assumptions!$C$15</f>
        <v>41812.988673412874</v>
      </c>
      <c r="CD8" s="674">
        <f>CD7*Assumptions!$C$22*Assumptions!$C$15</f>
        <v>36792.350326192587</v>
      </c>
      <c r="CE8" s="674">
        <f>CE7*Assumptions!$C$22*Assumptions!$C$15</f>
        <v>36868.203327119925</v>
      </c>
      <c r="CF8" s="674">
        <f>CF7*Assumptions!$C$22*Assumptions!$C$15</f>
        <v>40995.981614902754</v>
      </c>
      <c r="CG8" s="674">
        <f>CG7*Assumptions!$C$22*Assumptions!$C$15</f>
        <v>36073.444290786661</v>
      </c>
      <c r="CH8" s="674">
        <f>CH7*Assumptions!$C$22*Assumptions!$C$15</f>
        <v>36148.119740668379</v>
      </c>
      <c r="CI8" s="674">
        <f>CI7*Assumptions!$C$22*Assumptions!$C$15</f>
        <v>40337.719205471352</v>
      </c>
      <c r="CJ8" s="730">
        <f>CJ7*Assumptions!$C$22*Assumptions!$C$15</f>
        <v>35494.221854343989</v>
      </c>
      <c r="CK8" s="674">
        <f>CK7*Assumptions!$C$22*Assumptions!$C$15</f>
        <v>36989.923916648411</v>
      </c>
      <c r="CL8" s="674">
        <f>CL7*Assumptions!$C$22*Assumptions!$C$15</f>
        <v>41277.089239660803</v>
      </c>
      <c r="CM8" s="674">
        <f>CM7*Assumptions!$C$22*Assumptions!$C$15</f>
        <v>36186.185685040065</v>
      </c>
      <c r="CN8" s="674">
        <f>CN7*Assumptions!$C$22*Assumptions!$C$15</f>
        <v>37602.948079320078</v>
      </c>
      <c r="CO8" s="674">
        <f>CO7*Assumptions!$C$22*Assumptions!$C$15</f>
        <v>41812.988673412874</v>
      </c>
      <c r="CP8" s="674">
        <f>CP7*Assumptions!$C$22*Assumptions!$C$15</f>
        <v>36792.350326192587</v>
      </c>
      <c r="CQ8" s="674">
        <f>CQ7*Assumptions!$C$22*Assumptions!$C$15</f>
        <v>36868.203327119925</v>
      </c>
      <c r="CR8" s="674">
        <f>CR7*Assumptions!$C$22*Assumptions!$C$15</f>
        <v>40995.981614902754</v>
      </c>
      <c r="CS8" s="674">
        <f>CS7*Assumptions!$C$22*Assumptions!$C$15</f>
        <v>36073.444290786661</v>
      </c>
      <c r="CT8" s="674">
        <f>CT7*Assumptions!$C$22*Assumptions!$C$15</f>
        <v>36148.119740668379</v>
      </c>
      <c r="CU8" s="674">
        <f>CU7*Assumptions!$C$22*Assumptions!$C$15</f>
        <v>40337.719205471352</v>
      </c>
      <c r="CV8" s="730">
        <f>CV7*Assumptions!$C$22*Assumptions!$C$15</f>
        <v>35494.221854343989</v>
      </c>
      <c r="CW8" s="674">
        <f>CW7*Assumptions!$C$22*Assumptions!$C$15</f>
        <v>36989.923916648411</v>
      </c>
      <c r="CX8" s="674">
        <f>CX7*Assumptions!$C$22*Assumptions!$C$15</f>
        <v>41277.089239660803</v>
      </c>
      <c r="CY8" s="674">
        <f>CY7*Assumptions!$C$22*Assumptions!$C$15</f>
        <v>36186.185685040065</v>
      </c>
      <c r="CZ8" s="674">
        <f>CZ7*Assumptions!$C$22*Assumptions!$C$15</f>
        <v>37602.948079320078</v>
      </c>
      <c r="DA8" s="674">
        <f>DA7*Assumptions!$C$22*Assumptions!$C$15</f>
        <v>41812.988673412874</v>
      </c>
      <c r="DB8" s="674">
        <f>DB7*Assumptions!$C$22*Assumptions!$C$15</f>
        <v>36792.350326192587</v>
      </c>
      <c r="DC8" s="674">
        <f>DC7*Assumptions!$C$22*Assumptions!$C$15</f>
        <v>36868.203327119925</v>
      </c>
      <c r="DD8" s="674">
        <f>DD7*Assumptions!$C$22*Assumptions!$C$15</f>
        <v>40995.981614902754</v>
      </c>
      <c r="DE8" s="674">
        <f>DE7*Assumptions!$C$22*Assumptions!$C$15</f>
        <v>36073.444290786661</v>
      </c>
      <c r="DF8" s="674">
        <f>DF7*Assumptions!$C$22*Assumptions!$C$15</f>
        <v>36148.119740668379</v>
      </c>
      <c r="DG8" s="674">
        <f>DG7*Assumptions!$C$22*Assumptions!$C$15</f>
        <v>40337.719205471352</v>
      </c>
      <c r="DH8" s="730">
        <f>DH7*Assumptions!$C$22*Assumptions!$C$15</f>
        <v>35494.221854343989</v>
      </c>
      <c r="DI8" s="674">
        <f>DI7*Assumptions!$C$22*Assumptions!$C$15</f>
        <v>36989.923916648411</v>
      </c>
      <c r="DJ8" s="674">
        <f>DJ7*Assumptions!$C$22*Assumptions!$C$15</f>
        <v>41277.089239660803</v>
      </c>
      <c r="DK8" s="674">
        <f>DK7*Assumptions!$C$22*Assumptions!$C$15</f>
        <v>36186.185685040065</v>
      </c>
      <c r="DL8" s="674">
        <f>DL7*Assumptions!$C$22*Assumptions!$C$15</f>
        <v>37602.948079320078</v>
      </c>
      <c r="DM8" s="674">
        <f>DM7*Assumptions!$C$22*Assumptions!$C$15</f>
        <v>41812.988673412874</v>
      </c>
      <c r="DN8" s="674">
        <f>DN7*Assumptions!$C$22*Assumptions!$C$15</f>
        <v>36792.350326192587</v>
      </c>
      <c r="DO8" s="674">
        <f>DO7*Assumptions!$C$22*Assumptions!$C$15</f>
        <v>36868.203327119925</v>
      </c>
      <c r="DP8" s="674">
        <f>DP7*Assumptions!$C$22*Assumptions!$C$15</f>
        <v>40995.981614902754</v>
      </c>
      <c r="DQ8" s="674">
        <f>DQ7*Assumptions!$C$22*Assumptions!$C$15</f>
        <v>36073.444290786661</v>
      </c>
      <c r="DR8" s="674">
        <f>DR7*Assumptions!$C$22*Assumptions!$C$15</f>
        <v>36148.119740668379</v>
      </c>
      <c r="DS8" s="674">
        <f>DS7*Assumptions!$C$22*Assumptions!$C$15</f>
        <v>40337.719205471352</v>
      </c>
      <c r="DT8" s="730">
        <f>DT7*Assumptions!$C$22*Assumptions!$C$15</f>
        <v>35494.221854343989</v>
      </c>
    </row>
    <row r="9" spans="1:125" ht="15" hidden="1" x14ac:dyDescent="0.25">
      <c r="B9" s="161" t="s">
        <v>705</v>
      </c>
      <c r="C9" s="83"/>
      <c r="D9" s="7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9"/>
      <c r="Q9" s="406"/>
      <c r="R9" s="406"/>
      <c r="S9" s="406"/>
      <c r="T9" s="388"/>
      <c r="U9" s="388"/>
      <c r="V9" s="388"/>
      <c r="W9" s="388"/>
      <c r="X9" s="388"/>
      <c r="Y9" s="388"/>
      <c r="Z9" s="388"/>
      <c r="AA9" s="388"/>
      <c r="AB9" s="389"/>
      <c r="AC9" s="406"/>
      <c r="AD9" s="674">
        <f>AD7*Assumptions!$C$23*Assumptions!$C$15</f>
        <v>0</v>
      </c>
      <c r="AE9" s="674">
        <f>AE7*Assumptions!$C$23*Assumptions!$C$15</f>
        <v>0</v>
      </c>
      <c r="AF9" s="674">
        <f>AF7*Assumptions!$C$23*Assumptions!$C$15</f>
        <v>0</v>
      </c>
      <c r="AG9" s="674">
        <f>AG7*Assumptions!$C$23*Assumptions!$C$15</f>
        <v>0</v>
      </c>
      <c r="AH9" s="674">
        <f>AH7*Assumptions!$C$23*Assumptions!$C$15</f>
        <v>0</v>
      </c>
      <c r="AI9" s="674">
        <f>AI7*Assumptions!$C$23*Assumptions!$C$15</f>
        <v>0</v>
      </c>
      <c r="AJ9" s="674">
        <f>AJ7*Assumptions!$C$23*Assumptions!$C$15</f>
        <v>0</v>
      </c>
      <c r="AK9" s="674">
        <f>AK7*Assumptions!$C$23*Assumptions!$C$15</f>
        <v>0</v>
      </c>
      <c r="AL9" s="674">
        <f>AL7*Assumptions!$C$23*Assumptions!$C$15</f>
        <v>0</v>
      </c>
      <c r="AM9" s="674">
        <f>AM7*Assumptions!$C$23*Assumptions!$C$15</f>
        <v>0</v>
      </c>
      <c r="AN9" s="730">
        <f>AN7*Assumptions!$C$23*Assumptions!$C$15</f>
        <v>0</v>
      </c>
      <c r="AO9" s="674">
        <f>AO7*Assumptions!$C$23*Assumptions!$C$15</f>
        <v>0</v>
      </c>
      <c r="AP9" s="674">
        <f>AP7*Assumptions!$C$23*Assumptions!$C$15</f>
        <v>0</v>
      </c>
      <c r="AQ9" s="674">
        <f>AQ7*Assumptions!$C$23*Assumptions!$C$15</f>
        <v>0</v>
      </c>
      <c r="AR9" s="674">
        <f>AR7*Assumptions!$C$23*Assumptions!$C$15</f>
        <v>0</v>
      </c>
      <c r="AS9" s="674">
        <f>AS7*Assumptions!$C$23*Assumptions!$C$15</f>
        <v>0</v>
      </c>
      <c r="AT9" s="674">
        <f>AT7*Assumptions!$C$23*Assumptions!$C$15</f>
        <v>0</v>
      </c>
      <c r="AU9" s="674">
        <f>AU7*Assumptions!$C$23*Assumptions!$C$15</f>
        <v>0</v>
      </c>
      <c r="AV9" s="674">
        <f>AV7*Assumptions!$C$23*Assumptions!$C$15</f>
        <v>0</v>
      </c>
      <c r="AW9" s="674">
        <f>AW7*Assumptions!$C$23*Assumptions!$C$15</f>
        <v>0</v>
      </c>
      <c r="AX9" s="674">
        <f>AX7*Assumptions!$C$23*Assumptions!$C$15</f>
        <v>0</v>
      </c>
      <c r="AY9" s="674">
        <f>AY7*Assumptions!$C$23*Assumptions!$C$15</f>
        <v>0</v>
      </c>
      <c r="AZ9" s="730">
        <f>AZ7*Assumptions!$C$23*Assumptions!$C$15</f>
        <v>0</v>
      </c>
      <c r="BA9" s="674">
        <f>BA7*Assumptions!$C$23*Assumptions!$C$15</f>
        <v>0</v>
      </c>
      <c r="BB9" s="674">
        <f>BB7*Assumptions!$C$23*Assumptions!$C$15</f>
        <v>0</v>
      </c>
      <c r="BC9" s="674">
        <f>BC7*Assumptions!$C$23*Assumptions!$C$15</f>
        <v>0</v>
      </c>
      <c r="BD9" s="674">
        <f>BD7*Assumptions!$C$23*Assumptions!$C$15</f>
        <v>0</v>
      </c>
      <c r="BE9" s="674">
        <f>BE7*Assumptions!$C$23*Assumptions!$C$15</f>
        <v>0</v>
      </c>
      <c r="BF9" s="674">
        <f>BF7*Assumptions!$C$23*Assumptions!$C$15</f>
        <v>0</v>
      </c>
      <c r="BG9" s="674">
        <f>BG7*Assumptions!$C$23*Assumptions!$C$15</f>
        <v>0</v>
      </c>
      <c r="BH9" s="674">
        <f>BH7*Assumptions!$C$23*Assumptions!$C$15</f>
        <v>0</v>
      </c>
      <c r="BI9" s="674">
        <f>BI7*Assumptions!$C$23*Assumptions!$C$15</f>
        <v>0</v>
      </c>
      <c r="BJ9" s="674">
        <f>BJ7*Assumptions!$C$23*Assumptions!$C$15</f>
        <v>0</v>
      </c>
      <c r="BK9" s="674">
        <f>BK7*Assumptions!$C$23*Assumptions!$C$15</f>
        <v>0</v>
      </c>
      <c r="BL9" s="730">
        <f>BL7*Assumptions!$C$23*Assumptions!$C$15</f>
        <v>0</v>
      </c>
      <c r="BM9" s="674">
        <f>BM7*Assumptions!$C$23*Assumptions!$C$15</f>
        <v>0</v>
      </c>
      <c r="BN9" s="674">
        <f>BN7*Assumptions!$C$23*Assumptions!$C$15</f>
        <v>0</v>
      </c>
      <c r="BO9" s="674">
        <f>BO7*Assumptions!$C$23*Assumptions!$C$15</f>
        <v>0</v>
      </c>
      <c r="BP9" s="674">
        <f>BP7*Assumptions!$C$23*Assumptions!$C$15</f>
        <v>0</v>
      </c>
      <c r="BQ9" s="674">
        <f>BQ7*Assumptions!$C$23*Assumptions!$C$15</f>
        <v>0</v>
      </c>
      <c r="BR9" s="674">
        <f>BR7*Assumptions!$C$23*Assumptions!$C$15</f>
        <v>0</v>
      </c>
      <c r="BS9" s="674">
        <f>BS7*Assumptions!$C$23*Assumptions!$C$15</f>
        <v>0</v>
      </c>
      <c r="BT9" s="674">
        <f>BT7*Assumptions!$C$23*Assumptions!$C$15</f>
        <v>0</v>
      </c>
      <c r="BU9" s="674">
        <f>BU7*Assumptions!$C$23*Assumptions!$C$15</f>
        <v>0</v>
      </c>
      <c r="BV9" s="674">
        <f>BV7*Assumptions!$C$23*Assumptions!$C$15</f>
        <v>0</v>
      </c>
      <c r="BW9" s="674">
        <f>BW7*Assumptions!$C$23*Assumptions!$C$15</f>
        <v>0</v>
      </c>
      <c r="BX9" s="730">
        <f>BX7*Assumptions!$C$23*Assumptions!$C$15</f>
        <v>0</v>
      </c>
      <c r="BY9" s="674">
        <f>BY7*Assumptions!$C$23*Assumptions!$C$15</f>
        <v>0</v>
      </c>
      <c r="BZ9" s="674">
        <f>BZ7*Assumptions!$C$23*Assumptions!$C$15</f>
        <v>0</v>
      </c>
      <c r="CA9" s="674">
        <f>CA7*Assumptions!$C$23*Assumptions!$C$15</f>
        <v>0</v>
      </c>
      <c r="CB9" s="674">
        <f>CB7*Assumptions!$C$23*Assumptions!$C$15</f>
        <v>0</v>
      </c>
      <c r="CC9" s="674">
        <f>CC7*Assumptions!$C$23*Assumptions!$C$15</f>
        <v>0</v>
      </c>
      <c r="CD9" s="674">
        <f>CD7*Assumptions!$C$23*Assumptions!$C$15</f>
        <v>0</v>
      </c>
      <c r="CE9" s="674">
        <f>CE7*Assumptions!$C$23*Assumptions!$C$15</f>
        <v>0</v>
      </c>
      <c r="CF9" s="674">
        <f>CF7*Assumptions!$C$23*Assumptions!$C$15</f>
        <v>0</v>
      </c>
      <c r="CG9" s="674">
        <f>CG7*Assumptions!$C$23*Assumptions!$C$15</f>
        <v>0</v>
      </c>
      <c r="CH9" s="674">
        <f>CH7*Assumptions!$C$23*Assumptions!$C$15</f>
        <v>0</v>
      </c>
      <c r="CI9" s="674">
        <f>CI7*Assumptions!$C$23*Assumptions!$C$15</f>
        <v>0</v>
      </c>
      <c r="CJ9" s="730">
        <f>CJ7*Assumptions!$C$23*Assumptions!$C$15</f>
        <v>0</v>
      </c>
      <c r="CK9" s="674">
        <f>CK7*Assumptions!$C$23*Assumptions!$C$15</f>
        <v>0</v>
      </c>
      <c r="CL9" s="674">
        <f>CL7*Assumptions!$C$23*Assumptions!$C$15</f>
        <v>0</v>
      </c>
      <c r="CM9" s="674">
        <f>CM7*Assumptions!$C$23*Assumptions!$C$15</f>
        <v>0</v>
      </c>
      <c r="CN9" s="674">
        <f>CN7*Assumptions!$C$23*Assumptions!$C$15</f>
        <v>0</v>
      </c>
      <c r="CO9" s="674">
        <f>CO7*Assumptions!$C$23*Assumptions!$C$15</f>
        <v>0</v>
      </c>
      <c r="CP9" s="674">
        <f>CP7*Assumptions!$C$23*Assumptions!$C$15</f>
        <v>0</v>
      </c>
      <c r="CQ9" s="674">
        <f>CQ7*Assumptions!$C$23*Assumptions!$C$15</f>
        <v>0</v>
      </c>
      <c r="CR9" s="674">
        <f>CR7*Assumptions!$C$23*Assumptions!$C$15</f>
        <v>0</v>
      </c>
      <c r="CS9" s="674">
        <f>CS7*Assumptions!$C$23*Assumptions!$C$15</f>
        <v>0</v>
      </c>
      <c r="CT9" s="674">
        <f>CT7*Assumptions!$C$23*Assumptions!$C$15</f>
        <v>0</v>
      </c>
      <c r="CU9" s="674">
        <f>CU7*Assumptions!$C$23*Assumptions!$C$15</f>
        <v>0</v>
      </c>
      <c r="CV9" s="730">
        <f>CV7*Assumptions!$C$23*Assumptions!$C$15</f>
        <v>0</v>
      </c>
      <c r="CW9" s="674">
        <f>CW7*Assumptions!$C$23*Assumptions!$C$15</f>
        <v>0</v>
      </c>
      <c r="CX9" s="674">
        <f>CX7*Assumptions!$C$23*Assumptions!$C$15</f>
        <v>0</v>
      </c>
      <c r="CY9" s="674">
        <f>CY7*Assumptions!$C$23*Assumptions!$C$15</f>
        <v>0</v>
      </c>
      <c r="CZ9" s="674">
        <f>CZ7*Assumptions!$C$23*Assumptions!$C$15</f>
        <v>0</v>
      </c>
      <c r="DA9" s="674">
        <f>DA7*Assumptions!$C$23*Assumptions!$C$15</f>
        <v>0</v>
      </c>
      <c r="DB9" s="674">
        <f>DB7*Assumptions!$C$23*Assumptions!$C$15</f>
        <v>0</v>
      </c>
      <c r="DC9" s="674">
        <f>DC7*Assumptions!$C$23*Assumptions!$C$15</f>
        <v>0</v>
      </c>
      <c r="DD9" s="674">
        <f>DD7*Assumptions!$C$23*Assumptions!$C$15</f>
        <v>0</v>
      </c>
      <c r="DE9" s="674">
        <f>DE7*Assumptions!$C$23*Assumptions!$C$15</f>
        <v>0</v>
      </c>
      <c r="DF9" s="674">
        <f>DF7*Assumptions!$C$23*Assumptions!$C$15</f>
        <v>0</v>
      </c>
      <c r="DG9" s="674">
        <f>DG7*Assumptions!$C$23*Assumptions!$C$15</f>
        <v>0</v>
      </c>
      <c r="DH9" s="730">
        <f>DH7*Assumptions!$C$23*Assumptions!$C$15</f>
        <v>0</v>
      </c>
      <c r="DI9" s="674">
        <f>DI7*Assumptions!$C$23*Assumptions!$C$15</f>
        <v>0</v>
      </c>
      <c r="DJ9" s="674">
        <f>DJ7*Assumptions!$C$23*Assumptions!$C$15</f>
        <v>0</v>
      </c>
      <c r="DK9" s="674">
        <f>DK7*Assumptions!$C$23*Assumptions!$C$15</f>
        <v>0</v>
      </c>
      <c r="DL9" s="674">
        <f>DL7*Assumptions!$C$23*Assumptions!$C$15</f>
        <v>0</v>
      </c>
      <c r="DM9" s="674">
        <f>DM7*Assumptions!$C$23*Assumptions!$C$15</f>
        <v>0</v>
      </c>
      <c r="DN9" s="674">
        <f>DN7*Assumptions!$C$23*Assumptions!$C$15</f>
        <v>0</v>
      </c>
      <c r="DO9" s="674">
        <f>DO7*Assumptions!$C$23*Assumptions!$C$15</f>
        <v>0</v>
      </c>
      <c r="DP9" s="674">
        <f>DP7*Assumptions!$C$23*Assumptions!$C$15</f>
        <v>0</v>
      </c>
      <c r="DQ9" s="674">
        <f>DQ7*Assumptions!$C$23*Assumptions!$C$15</f>
        <v>0</v>
      </c>
      <c r="DR9" s="674">
        <f>DR7*Assumptions!$C$23*Assumptions!$C$15</f>
        <v>0</v>
      </c>
      <c r="DS9" s="674">
        <f>DS7*Assumptions!$C$23*Assumptions!$C$15</f>
        <v>0</v>
      </c>
      <c r="DT9" s="730">
        <f>DT7*Assumptions!$C$23*Assumptions!$C$15</f>
        <v>0</v>
      </c>
    </row>
    <row r="10" spans="1:125" ht="15" hidden="1" x14ac:dyDescent="0.25">
      <c r="B10" s="161" t="s">
        <v>703</v>
      </c>
      <c r="C10" s="83"/>
      <c r="D10" s="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99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5"/>
      <c r="AC10" s="314"/>
      <c r="AD10" s="390">
        <f>AD7*Assumptions!$C$24*Assumptions!$C$16</f>
        <v>0</v>
      </c>
      <c r="AE10" s="390">
        <f>AE7*Assumptions!$C$24*Assumptions!$C$16</f>
        <v>0</v>
      </c>
      <c r="AF10" s="390">
        <f>AF7*Assumptions!$C$24*Assumptions!$C$16</f>
        <v>0</v>
      </c>
      <c r="AG10" s="390">
        <f>AG7*Assumptions!$C$24*Assumptions!$C$16</f>
        <v>0</v>
      </c>
      <c r="AH10" s="390">
        <f>AH7*Assumptions!$C$24*Assumptions!$C$16</f>
        <v>0</v>
      </c>
      <c r="AI10" s="390">
        <f>AI7*Assumptions!$C$24*Assumptions!$C$16</f>
        <v>0</v>
      </c>
      <c r="AJ10" s="390">
        <f>AJ7*Assumptions!$C$24*Assumptions!$C$16</f>
        <v>0</v>
      </c>
      <c r="AK10" s="390">
        <f>AK7*Assumptions!$C$24*Assumptions!$C$16</f>
        <v>0</v>
      </c>
      <c r="AL10" s="390">
        <f>AL7*Assumptions!$C$24*Assumptions!$C$16</f>
        <v>0</v>
      </c>
      <c r="AM10" s="390">
        <f>AM7*Assumptions!$C$24*Assumptions!$C$16</f>
        <v>0</v>
      </c>
      <c r="AN10" s="731">
        <f>AN7*Assumptions!$C$24*Assumptions!$C$16</f>
        <v>0</v>
      </c>
      <c r="AO10" s="390">
        <f>AO7*Assumptions!$C$24*Assumptions!$C$16</f>
        <v>0</v>
      </c>
      <c r="AP10" s="390">
        <f>AP7*Assumptions!$C$24*Assumptions!$C$16</f>
        <v>0</v>
      </c>
      <c r="AQ10" s="390">
        <f>AQ7*Assumptions!$C$24*Assumptions!$C$16</f>
        <v>0</v>
      </c>
      <c r="AR10" s="390">
        <f>AR7*Assumptions!$C$24*Assumptions!$C$16</f>
        <v>0</v>
      </c>
      <c r="AS10" s="390">
        <f>AS7*Assumptions!$C$24*Assumptions!$C$16</f>
        <v>0</v>
      </c>
      <c r="AT10" s="390">
        <f>AT7*Assumptions!$C$24*Assumptions!$C$16</f>
        <v>0</v>
      </c>
      <c r="AU10" s="390">
        <f>AU7*Assumptions!$C$24*Assumptions!$C$16</f>
        <v>0</v>
      </c>
      <c r="AV10" s="390">
        <f>AV7*Assumptions!$C$24*Assumptions!$C$16</f>
        <v>0</v>
      </c>
      <c r="AW10" s="390">
        <f>AW7*Assumptions!$C$24*Assumptions!$C$16</f>
        <v>0</v>
      </c>
      <c r="AX10" s="390">
        <f>AX7*Assumptions!$C$24*Assumptions!$C$16</f>
        <v>0</v>
      </c>
      <c r="AY10" s="390">
        <f>AY7*Assumptions!$C$24*Assumptions!$C$16</f>
        <v>0</v>
      </c>
      <c r="AZ10" s="731">
        <f>AZ7*Assumptions!$C$24*Assumptions!$C$16</f>
        <v>0</v>
      </c>
      <c r="BA10" s="390">
        <f>BA7*Assumptions!$C$24*Assumptions!$C$16</f>
        <v>0</v>
      </c>
      <c r="BB10" s="390">
        <f>BB7*Assumptions!$C$24*Assumptions!$C$16</f>
        <v>0</v>
      </c>
      <c r="BC10" s="390">
        <f>BC7*Assumptions!$C$24*Assumptions!$C$16</f>
        <v>0</v>
      </c>
      <c r="BD10" s="390">
        <f>BD7*Assumptions!$C$24*Assumptions!$C$16</f>
        <v>0</v>
      </c>
      <c r="BE10" s="390">
        <f>BE7*Assumptions!$C$24*Assumptions!$C$16</f>
        <v>0</v>
      </c>
      <c r="BF10" s="390">
        <f>BF7*Assumptions!$C$24*Assumptions!$C$16</f>
        <v>0</v>
      </c>
      <c r="BG10" s="390">
        <f>BG7*Assumptions!$C$24*Assumptions!$C$16</f>
        <v>0</v>
      </c>
      <c r="BH10" s="390">
        <f>BH7*Assumptions!$C$24*Assumptions!$C$16</f>
        <v>0</v>
      </c>
      <c r="BI10" s="390">
        <f>BI7*Assumptions!$C$24*Assumptions!$C$16</f>
        <v>0</v>
      </c>
      <c r="BJ10" s="390">
        <f>BJ7*Assumptions!$C$24*Assumptions!$C$16</f>
        <v>0</v>
      </c>
      <c r="BK10" s="390">
        <f>BK7*Assumptions!$C$24*Assumptions!$C$16</f>
        <v>0</v>
      </c>
      <c r="BL10" s="731">
        <f>BL7*Assumptions!$C$24*Assumptions!$C$16</f>
        <v>0</v>
      </c>
      <c r="BM10" s="390">
        <f>BM7*Assumptions!$C$24*Assumptions!$C$16</f>
        <v>0</v>
      </c>
      <c r="BN10" s="390">
        <f>BN7*Assumptions!$C$24*Assumptions!$C$16</f>
        <v>0</v>
      </c>
      <c r="BO10" s="390">
        <f>BO7*Assumptions!$C$24*Assumptions!$C$16</f>
        <v>0</v>
      </c>
      <c r="BP10" s="390">
        <f>BP7*Assumptions!$C$24*Assumptions!$C$16</f>
        <v>0</v>
      </c>
      <c r="BQ10" s="390">
        <f>BQ7*Assumptions!$C$24*Assumptions!$C$16</f>
        <v>0</v>
      </c>
      <c r="BR10" s="390">
        <f>BR7*Assumptions!$C$24*Assumptions!$C$16</f>
        <v>0</v>
      </c>
      <c r="BS10" s="390">
        <f>BS7*Assumptions!$C$24*Assumptions!$C$16</f>
        <v>0</v>
      </c>
      <c r="BT10" s="390">
        <f>BT7*Assumptions!$C$24*Assumptions!$C$16</f>
        <v>0</v>
      </c>
      <c r="BU10" s="390">
        <f>BU7*Assumptions!$C$24*Assumptions!$C$16</f>
        <v>0</v>
      </c>
      <c r="BV10" s="390">
        <f>BV7*Assumptions!$C$24*Assumptions!$C$16</f>
        <v>0</v>
      </c>
      <c r="BW10" s="390">
        <f>BW7*Assumptions!$C$24*Assumptions!$C$16</f>
        <v>0</v>
      </c>
      <c r="BX10" s="731">
        <f>BX7*Assumptions!$C$24*Assumptions!$C$16</f>
        <v>0</v>
      </c>
      <c r="BY10" s="390">
        <f>BY7*Assumptions!$C$24*Assumptions!$C$16</f>
        <v>0</v>
      </c>
      <c r="BZ10" s="390">
        <f>BZ7*Assumptions!$C$24*Assumptions!$C$16</f>
        <v>0</v>
      </c>
      <c r="CA10" s="390">
        <f>CA7*Assumptions!$C$24*Assumptions!$C$16</f>
        <v>0</v>
      </c>
      <c r="CB10" s="390">
        <f>CB7*Assumptions!$C$24*Assumptions!$C$16</f>
        <v>0</v>
      </c>
      <c r="CC10" s="390">
        <f>CC7*Assumptions!$C$24*Assumptions!$C$16</f>
        <v>0</v>
      </c>
      <c r="CD10" s="390">
        <f>CD7*Assumptions!$C$24*Assumptions!$C$16</f>
        <v>0</v>
      </c>
      <c r="CE10" s="390">
        <f>CE7*Assumptions!$C$24*Assumptions!$C$16</f>
        <v>0</v>
      </c>
      <c r="CF10" s="390">
        <f>CF7*Assumptions!$C$24*Assumptions!$C$16</f>
        <v>0</v>
      </c>
      <c r="CG10" s="390">
        <f>CG7*Assumptions!$C$24*Assumptions!$C$16</f>
        <v>0</v>
      </c>
      <c r="CH10" s="390">
        <f>CH7*Assumptions!$C$24*Assumptions!$C$16</f>
        <v>0</v>
      </c>
      <c r="CI10" s="390">
        <f>CI7*Assumptions!$C$24*Assumptions!$C$16</f>
        <v>0</v>
      </c>
      <c r="CJ10" s="731">
        <f>CJ7*Assumptions!$C$24*Assumptions!$C$16</f>
        <v>0</v>
      </c>
      <c r="CK10" s="390">
        <f>CK7*Assumptions!$C$24*Assumptions!$C$16</f>
        <v>0</v>
      </c>
      <c r="CL10" s="390">
        <f>CL7*Assumptions!$C$24*Assumptions!$C$16</f>
        <v>0</v>
      </c>
      <c r="CM10" s="390">
        <f>CM7*Assumptions!$C$24*Assumptions!$C$16</f>
        <v>0</v>
      </c>
      <c r="CN10" s="390">
        <f>CN7*Assumptions!$C$24*Assumptions!$C$16</f>
        <v>0</v>
      </c>
      <c r="CO10" s="390">
        <f>CO7*Assumptions!$C$24*Assumptions!$C$16</f>
        <v>0</v>
      </c>
      <c r="CP10" s="390">
        <f>CP7*Assumptions!$C$24*Assumptions!$C$16</f>
        <v>0</v>
      </c>
      <c r="CQ10" s="390">
        <f>CQ7*Assumptions!$C$24*Assumptions!$C$16</f>
        <v>0</v>
      </c>
      <c r="CR10" s="390">
        <f>CR7*Assumptions!$C$24*Assumptions!$C$16</f>
        <v>0</v>
      </c>
      <c r="CS10" s="390">
        <f>CS7*Assumptions!$C$24*Assumptions!$C$16</f>
        <v>0</v>
      </c>
      <c r="CT10" s="390">
        <f>CT7*Assumptions!$C$24*Assumptions!$C$16</f>
        <v>0</v>
      </c>
      <c r="CU10" s="390">
        <f>CU7*Assumptions!$C$24*Assumptions!$C$16</f>
        <v>0</v>
      </c>
      <c r="CV10" s="731">
        <f>CV7*Assumptions!$C$24*Assumptions!$C$16</f>
        <v>0</v>
      </c>
      <c r="CW10" s="390">
        <f>CW7*Assumptions!$C$24*Assumptions!$C$16</f>
        <v>0</v>
      </c>
      <c r="CX10" s="390">
        <f>CX7*Assumptions!$C$24*Assumptions!$C$16</f>
        <v>0</v>
      </c>
      <c r="CY10" s="390">
        <f>CY7*Assumptions!$C$24*Assumptions!$C$16</f>
        <v>0</v>
      </c>
      <c r="CZ10" s="390">
        <f>CZ7*Assumptions!$C$24*Assumptions!$C$16</f>
        <v>0</v>
      </c>
      <c r="DA10" s="390">
        <f>DA7*Assumptions!$C$24*Assumptions!$C$16</f>
        <v>0</v>
      </c>
      <c r="DB10" s="390">
        <f>DB7*Assumptions!$C$24*Assumptions!$C$16</f>
        <v>0</v>
      </c>
      <c r="DC10" s="390">
        <f>DC7*Assumptions!$C$24*Assumptions!$C$16</f>
        <v>0</v>
      </c>
      <c r="DD10" s="390">
        <f>DD7*Assumptions!$C$24*Assumptions!$C$16</f>
        <v>0</v>
      </c>
      <c r="DE10" s="390">
        <f>DE7*Assumptions!$C$24*Assumptions!$C$16</f>
        <v>0</v>
      </c>
      <c r="DF10" s="390">
        <f>DF7*Assumptions!$C$24*Assumptions!$C$16</f>
        <v>0</v>
      </c>
      <c r="DG10" s="390">
        <f>DG7*Assumptions!$C$24*Assumptions!$C$16</f>
        <v>0</v>
      </c>
      <c r="DH10" s="731">
        <f>DH7*Assumptions!$C$24*Assumptions!$C$16</f>
        <v>0</v>
      </c>
      <c r="DI10" s="390">
        <f>DI7*Assumptions!$C$24*Assumptions!$C$16</f>
        <v>0</v>
      </c>
      <c r="DJ10" s="390">
        <f>DJ7*Assumptions!$C$24*Assumptions!$C$16</f>
        <v>0</v>
      </c>
      <c r="DK10" s="390">
        <f>DK7*Assumptions!$C$24*Assumptions!$C$16</f>
        <v>0</v>
      </c>
      <c r="DL10" s="390">
        <f>DL7*Assumptions!$C$24*Assumptions!$C$16</f>
        <v>0</v>
      </c>
      <c r="DM10" s="390">
        <f>DM7*Assumptions!$C$24*Assumptions!$C$16</f>
        <v>0</v>
      </c>
      <c r="DN10" s="390">
        <f>DN7*Assumptions!$C$24*Assumptions!$C$16</f>
        <v>0</v>
      </c>
      <c r="DO10" s="390">
        <f>DO7*Assumptions!$C$24*Assumptions!$C$16</f>
        <v>0</v>
      </c>
      <c r="DP10" s="390">
        <f>DP7*Assumptions!$C$24*Assumptions!$C$16</f>
        <v>0</v>
      </c>
      <c r="DQ10" s="390">
        <f>DQ7*Assumptions!$C$24*Assumptions!$C$16</f>
        <v>0</v>
      </c>
      <c r="DR10" s="390">
        <f>DR7*Assumptions!$C$24*Assumptions!$C$16</f>
        <v>0</v>
      </c>
      <c r="DS10" s="390">
        <f>DS7*Assumptions!$C$24*Assumptions!$C$16</f>
        <v>0</v>
      </c>
      <c r="DT10" s="731">
        <f>DT7*Assumptions!$C$24*Assumptions!$C$16</f>
        <v>0</v>
      </c>
    </row>
    <row r="11" spans="1:125" s="493" customFormat="1" ht="22.5" customHeight="1" x14ac:dyDescent="0.2">
      <c r="B11" s="1358"/>
      <c r="C11" s="1358"/>
      <c r="E11" s="500"/>
      <c r="F11" s="500"/>
      <c r="G11" s="500"/>
      <c r="H11" s="500"/>
      <c r="I11" s="500"/>
      <c r="J11" s="500"/>
      <c r="K11" s="501"/>
      <c r="L11" s="500"/>
      <c r="M11" s="500"/>
      <c r="N11" s="500"/>
      <c r="O11" s="500"/>
      <c r="P11" s="722"/>
      <c r="AB11" s="728"/>
      <c r="AH11" s="675"/>
      <c r="AI11" s="675"/>
      <c r="AJ11" s="675"/>
      <c r="AK11" s="675"/>
      <c r="AL11" s="675"/>
      <c r="AM11" s="675"/>
      <c r="AN11" s="732"/>
      <c r="AO11" s="675"/>
      <c r="AP11" s="675"/>
      <c r="AQ11" s="675"/>
      <c r="AR11" s="675"/>
      <c r="AS11" s="675"/>
      <c r="AT11" s="675"/>
      <c r="AU11" s="675"/>
      <c r="AV11" s="675"/>
      <c r="AW11" s="675"/>
      <c r="AX11" s="675"/>
      <c r="AY11" s="675"/>
      <c r="AZ11" s="732"/>
      <c r="BA11" s="675"/>
      <c r="BB11" s="675"/>
      <c r="BC11" s="675"/>
      <c r="BD11" s="675"/>
      <c r="BE11" s="675"/>
      <c r="BF11" s="675"/>
      <c r="BG11" s="675"/>
      <c r="BH11" s="675"/>
      <c r="BI11" s="675"/>
      <c r="BJ11" s="675"/>
      <c r="BK11" s="675"/>
      <c r="BL11" s="732"/>
      <c r="BM11" s="675"/>
      <c r="BN11" s="675"/>
      <c r="BO11" s="675"/>
      <c r="BP11" s="675"/>
      <c r="BQ11" s="675"/>
      <c r="BR11" s="675"/>
      <c r="BS11" s="675"/>
      <c r="BT11" s="675"/>
      <c r="BU11" s="675"/>
      <c r="BV11" s="675"/>
      <c r="BW11" s="675"/>
      <c r="BX11" s="732"/>
      <c r="BY11" s="675"/>
      <c r="BZ11" s="675"/>
      <c r="CA11" s="675"/>
      <c r="CB11" s="675"/>
      <c r="CC11" s="675"/>
      <c r="CD11" s="675"/>
      <c r="CE11" s="675"/>
      <c r="CF11" s="675"/>
      <c r="CG11" s="675"/>
      <c r="CH11" s="675"/>
      <c r="CI11" s="675"/>
      <c r="CJ11" s="732"/>
      <c r="CK11" s="675"/>
      <c r="CL11" s="675"/>
      <c r="CM11" s="675"/>
      <c r="CN11" s="675"/>
      <c r="CO11" s="675"/>
      <c r="CP11" s="675"/>
      <c r="CQ11" s="675"/>
      <c r="CR11" s="675"/>
      <c r="CS11" s="675"/>
      <c r="CT11" s="675"/>
      <c r="CU11" s="675"/>
      <c r="CV11" s="732"/>
      <c r="CW11" s="675"/>
      <c r="CX11" s="675"/>
      <c r="CY11" s="675"/>
      <c r="CZ11" s="675"/>
      <c r="DA11" s="675"/>
      <c r="DB11" s="675"/>
      <c r="DC11" s="675"/>
      <c r="DD11" s="675"/>
      <c r="DE11" s="675"/>
      <c r="DF11" s="675"/>
      <c r="DG11" s="675"/>
      <c r="DH11" s="732"/>
      <c r="DI11" s="675"/>
      <c r="DJ11" s="675"/>
      <c r="DK11" s="675"/>
      <c r="DL11" s="675"/>
      <c r="DM11" s="675"/>
      <c r="DN11" s="675"/>
      <c r="DO11" s="675"/>
      <c r="DP11" s="675"/>
      <c r="DQ11" s="675"/>
      <c r="DR11" s="675"/>
      <c r="DS11" s="675"/>
      <c r="DT11" s="732"/>
    </row>
    <row r="12" spans="1:125" s="476" customFormat="1" ht="22.5" hidden="1" customHeight="1" x14ac:dyDescent="0.2">
      <c r="B12" s="492"/>
      <c r="C12" s="492"/>
      <c r="E12" s="723"/>
      <c r="F12" s="723"/>
      <c r="G12" s="723"/>
      <c r="H12" s="723"/>
      <c r="I12" s="723"/>
      <c r="J12" s="723"/>
      <c r="K12" s="724"/>
      <c r="L12" s="723"/>
      <c r="M12" s="723"/>
      <c r="N12" s="723"/>
      <c r="O12" s="723"/>
      <c r="P12" s="725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729"/>
      <c r="AC12" s="547"/>
      <c r="AD12" s="547"/>
      <c r="AE12" s="547"/>
      <c r="AF12" s="547"/>
      <c r="AG12" s="547"/>
      <c r="AH12" s="676"/>
      <c r="AI12" s="676"/>
      <c r="AJ12" s="676"/>
      <c r="AK12" s="676"/>
      <c r="AL12" s="676"/>
      <c r="AM12" s="676"/>
      <c r="AN12" s="733"/>
      <c r="AO12" s="676"/>
      <c r="AP12" s="676"/>
      <c r="AQ12" s="676"/>
      <c r="AR12" s="676"/>
      <c r="AS12" s="676"/>
      <c r="AT12" s="676"/>
      <c r="AU12" s="676"/>
      <c r="AV12" s="676"/>
      <c r="AW12" s="676"/>
      <c r="AX12" s="676"/>
      <c r="AY12" s="676"/>
      <c r="AZ12" s="733"/>
      <c r="BA12" s="676"/>
      <c r="BB12" s="676"/>
      <c r="BC12" s="676"/>
      <c r="BD12" s="676"/>
      <c r="BE12" s="676"/>
      <c r="BF12" s="676"/>
      <c r="BG12" s="676"/>
      <c r="BH12" s="676"/>
      <c r="BI12" s="676"/>
      <c r="BJ12" s="676"/>
      <c r="BK12" s="676"/>
      <c r="BL12" s="733"/>
      <c r="BM12" s="676"/>
      <c r="BN12" s="676"/>
      <c r="BO12" s="676"/>
      <c r="BP12" s="676"/>
      <c r="BQ12" s="676"/>
      <c r="BR12" s="676"/>
      <c r="BS12" s="676"/>
      <c r="BT12" s="676"/>
      <c r="BU12" s="676"/>
      <c r="BV12" s="676"/>
      <c r="BW12" s="676"/>
      <c r="BX12" s="733"/>
      <c r="BY12" s="676"/>
      <c r="BZ12" s="676"/>
      <c r="CA12" s="676"/>
      <c r="CB12" s="676"/>
      <c r="CC12" s="676"/>
      <c r="CD12" s="676"/>
      <c r="CE12" s="676"/>
      <c r="CF12" s="676"/>
      <c r="CG12" s="676"/>
      <c r="CH12" s="676"/>
      <c r="CI12" s="676"/>
      <c r="CJ12" s="733"/>
      <c r="CK12" s="676"/>
      <c r="CL12" s="676"/>
      <c r="CM12" s="676"/>
      <c r="CN12" s="676"/>
      <c r="CO12" s="676"/>
      <c r="CP12" s="676"/>
      <c r="CQ12" s="676"/>
      <c r="CR12" s="676"/>
      <c r="CS12" s="676"/>
      <c r="CT12" s="676"/>
      <c r="CU12" s="676"/>
      <c r="CV12" s="733"/>
      <c r="CW12" s="676"/>
      <c r="CX12" s="676"/>
      <c r="CY12" s="676"/>
      <c r="CZ12" s="676"/>
      <c r="DA12" s="676"/>
      <c r="DB12" s="676"/>
      <c r="DC12" s="676"/>
      <c r="DD12" s="676"/>
      <c r="DE12" s="676"/>
      <c r="DF12" s="676"/>
      <c r="DG12" s="676"/>
      <c r="DH12" s="733"/>
      <c r="DI12" s="676"/>
      <c r="DJ12" s="676"/>
      <c r="DK12" s="676"/>
      <c r="DL12" s="676"/>
      <c r="DM12" s="676"/>
      <c r="DN12" s="676"/>
      <c r="DO12" s="676"/>
      <c r="DP12" s="676"/>
      <c r="DQ12" s="676"/>
      <c r="DR12" s="676"/>
      <c r="DS12" s="676"/>
      <c r="DT12" s="733"/>
    </row>
    <row r="13" spans="1:125" ht="18.75" hidden="1" x14ac:dyDescent="0.3">
      <c r="B13" s="159" t="s">
        <v>393</v>
      </c>
      <c r="C13" s="127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10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42"/>
      <c r="AC13" s="832"/>
      <c r="AD13" s="832"/>
      <c r="AE13" s="832"/>
      <c r="AF13" s="832"/>
      <c r="AG13" s="832"/>
      <c r="AH13" s="204"/>
      <c r="AI13" s="204"/>
      <c r="AJ13" s="204"/>
      <c r="AK13" s="204"/>
      <c r="AL13" s="204"/>
      <c r="AM13" s="204"/>
      <c r="AN13" s="73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73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73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73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73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73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73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734"/>
    </row>
    <row r="14" spans="1:125" ht="15" hidden="1" x14ac:dyDescent="0.25">
      <c r="B14" s="160" t="s">
        <v>79</v>
      </c>
      <c r="C14" s="55"/>
      <c r="D14" s="7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97"/>
      <c r="Q14" s="721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95"/>
      <c r="AC14" s="721"/>
      <c r="AD14" s="667"/>
      <c r="AE14" s="667"/>
      <c r="AF14" s="667"/>
      <c r="AG14" s="667"/>
      <c r="AH14" s="670">
        <f t="shared" ref="AH14:AV14" si="0">AG17</f>
        <v>0</v>
      </c>
      <c r="AI14" s="670">
        <f t="shared" si="0"/>
        <v>0</v>
      </c>
      <c r="AJ14" s="670">
        <f t="shared" si="0"/>
        <v>0</v>
      </c>
      <c r="AK14" s="670">
        <f t="shared" si="0"/>
        <v>0</v>
      </c>
      <c r="AL14" s="670">
        <f t="shared" si="0"/>
        <v>0</v>
      </c>
      <c r="AM14" s="670">
        <f t="shared" si="0"/>
        <v>0</v>
      </c>
      <c r="AN14" s="677">
        <f t="shared" si="0"/>
        <v>0</v>
      </c>
      <c r="AO14" s="387">
        <f t="shared" si="0"/>
        <v>0</v>
      </c>
      <c r="AP14" s="670">
        <f t="shared" si="0"/>
        <v>0</v>
      </c>
      <c r="AQ14" s="670">
        <f t="shared" si="0"/>
        <v>0</v>
      </c>
      <c r="AR14" s="670">
        <f t="shared" si="0"/>
        <v>0</v>
      </c>
      <c r="AS14" s="670">
        <f t="shared" si="0"/>
        <v>0</v>
      </c>
      <c r="AT14" s="670">
        <f t="shared" si="0"/>
        <v>0</v>
      </c>
      <c r="AU14" s="670">
        <f t="shared" si="0"/>
        <v>0</v>
      </c>
      <c r="AV14" s="670">
        <f t="shared" si="0"/>
        <v>0</v>
      </c>
      <c r="AW14" s="670">
        <f t="shared" ref="AW14:CB14" si="1">AV17</f>
        <v>0</v>
      </c>
      <c r="AX14" s="670">
        <f t="shared" si="1"/>
        <v>0</v>
      </c>
      <c r="AY14" s="670">
        <f t="shared" si="1"/>
        <v>0</v>
      </c>
      <c r="AZ14" s="677">
        <f t="shared" si="1"/>
        <v>0</v>
      </c>
      <c r="BA14" s="387">
        <f t="shared" si="1"/>
        <v>0</v>
      </c>
      <c r="BB14" s="670">
        <f t="shared" si="1"/>
        <v>0</v>
      </c>
      <c r="BC14" s="670">
        <f t="shared" si="1"/>
        <v>0</v>
      </c>
      <c r="BD14" s="670">
        <f t="shared" si="1"/>
        <v>0</v>
      </c>
      <c r="BE14" s="670">
        <f t="shared" si="1"/>
        <v>0</v>
      </c>
      <c r="BF14" s="670">
        <f t="shared" si="1"/>
        <v>0</v>
      </c>
      <c r="BG14" s="670">
        <f t="shared" si="1"/>
        <v>0</v>
      </c>
      <c r="BH14" s="670">
        <f t="shared" si="1"/>
        <v>0</v>
      </c>
      <c r="BI14" s="670">
        <f t="shared" si="1"/>
        <v>0</v>
      </c>
      <c r="BJ14" s="670">
        <f t="shared" si="1"/>
        <v>0</v>
      </c>
      <c r="BK14" s="670">
        <f t="shared" si="1"/>
        <v>0</v>
      </c>
      <c r="BL14" s="677">
        <f t="shared" si="1"/>
        <v>0</v>
      </c>
      <c r="BM14" s="387">
        <f t="shared" si="1"/>
        <v>0</v>
      </c>
      <c r="BN14" s="670">
        <f t="shared" si="1"/>
        <v>0</v>
      </c>
      <c r="BO14" s="670">
        <f t="shared" si="1"/>
        <v>0</v>
      </c>
      <c r="BP14" s="670">
        <f t="shared" si="1"/>
        <v>0</v>
      </c>
      <c r="BQ14" s="670">
        <f t="shared" si="1"/>
        <v>0</v>
      </c>
      <c r="BR14" s="670">
        <f t="shared" si="1"/>
        <v>0</v>
      </c>
      <c r="BS14" s="670">
        <f t="shared" si="1"/>
        <v>0</v>
      </c>
      <c r="BT14" s="670">
        <f t="shared" si="1"/>
        <v>0</v>
      </c>
      <c r="BU14" s="670">
        <f t="shared" si="1"/>
        <v>0</v>
      </c>
      <c r="BV14" s="670">
        <f t="shared" si="1"/>
        <v>0</v>
      </c>
      <c r="BW14" s="670">
        <f t="shared" si="1"/>
        <v>0</v>
      </c>
      <c r="BX14" s="677">
        <f t="shared" si="1"/>
        <v>0</v>
      </c>
      <c r="BY14" s="387">
        <f t="shared" si="1"/>
        <v>0</v>
      </c>
      <c r="BZ14" s="670">
        <f t="shared" si="1"/>
        <v>0</v>
      </c>
      <c r="CA14" s="670">
        <f t="shared" si="1"/>
        <v>0</v>
      </c>
      <c r="CB14" s="670">
        <f t="shared" si="1"/>
        <v>0</v>
      </c>
      <c r="CC14" s="670">
        <f t="shared" ref="CC14:DH14" si="2">CB17</f>
        <v>0</v>
      </c>
      <c r="CD14" s="670">
        <f t="shared" si="2"/>
        <v>0</v>
      </c>
      <c r="CE14" s="670">
        <f t="shared" si="2"/>
        <v>0</v>
      </c>
      <c r="CF14" s="670">
        <f t="shared" si="2"/>
        <v>0</v>
      </c>
      <c r="CG14" s="670">
        <f t="shared" si="2"/>
        <v>0</v>
      </c>
      <c r="CH14" s="670">
        <f t="shared" si="2"/>
        <v>0</v>
      </c>
      <c r="CI14" s="670">
        <f t="shared" si="2"/>
        <v>0</v>
      </c>
      <c r="CJ14" s="677">
        <f t="shared" si="2"/>
        <v>0</v>
      </c>
      <c r="CK14" s="387">
        <f t="shared" si="2"/>
        <v>0</v>
      </c>
      <c r="CL14" s="670">
        <f t="shared" si="2"/>
        <v>0</v>
      </c>
      <c r="CM14" s="670">
        <f t="shared" si="2"/>
        <v>0</v>
      </c>
      <c r="CN14" s="670">
        <f t="shared" si="2"/>
        <v>0</v>
      </c>
      <c r="CO14" s="670">
        <f t="shared" si="2"/>
        <v>0</v>
      </c>
      <c r="CP14" s="670">
        <f t="shared" si="2"/>
        <v>0</v>
      </c>
      <c r="CQ14" s="670">
        <f t="shared" si="2"/>
        <v>0</v>
      </c>
      <c r="CR14" s="670">
        <f t="shared" si="2"/>
        <v>0</v>
      </c>
      <c r="CS14" s="670">
        <f t="shared" si="2"/>
        <v>0</v>
      </c>
      <c r="CT14" s="670">
        <f t="shared" si="2"/>
        <v>0</v>
      </c>
      <c r="CU14" s="670">
        <f t="shared" si="2"/>
        <v>0</v>
      </c>
      <c r="CV14" s="677">
        <f t="shared" si="2"/>
        <v>0</v>
      </c>
      <c r="CW14" s="387">
        <f t="shared" si="2"/>
        <v>0</v>
      </c>
      <c r="CX14" s="670">
        <f t="shared" si="2"/>
        <v>0</v>
      </c>
      <c r="CY14" s="670">
        <f t="shared" si="2"/>
        <v>0</v>
      </c>
      <c r="CZ14" s="670">
        <f t="shared" si="2"/>
        <v>0</v>
      </c>
      <c r="DA14" s="670">
        <f t="shared" si="2"/>
        <v>0</v>
      </c>
      <c r="DB14" s="670">
        <f t="shared" si="2"/>
        <v>0</v>
      </c>
      <c r="DC14" s="670">
        <f t="shared" si="2"/>
        <v>0</v>
      </c>
      <c r="DD14" s="670">
        <f t="shared" si="2"/>
        <v>0</v>
      </c>
      <c r="DE14" s="670">
        <f t="shared" si="2"/>
        <v>0</v>
      </c>
      <c r="DF14" s="670">
        <f t="shared" si="2"/>
        <v>0</v>
      </c>
      <c r="DG14" s="670">
        <f t="shared" si="2"/>
        <v>0</v>
      </c>
      <c r="DH14" s="677">
        <f t="shared" si="2"/>
        <v>0</v>
      </c>
      <c r="DI14" s="387">
        <f t="shared" ref="DI14:DT14" si="3">DH17</f>
        <v>0</v>
      </c>
      <c r="DJ14" s="670">
        <f t="shared" si="3"/>
        <v>0</v>
      </c>
      <c r="DK14" s="670">
        <f t="shared" si="3"/>
        <v>0</v>
      </c>
      <c r="DL14" s="670">
        <f t="shared" si="3"/>
        <v>0</v>
      </c>
      <c r="DM14" s="670">
        <f t="shared" si="3"/>
        <v>0</v>
      </c>
      <c r="DN14" s="670">
        <f t="shared" si="3"/>
        <v>0</v>
      </c>
      <c r="DO14" s="670">
        <f t="shared" si="3"/>
        <v>0</v>
      </c>
      <c r="DP14" s="670">
        <f t="shared" si="3"/>
        <v>0</v>
      </c>
      <c r="DQ14" s="670">
        <f t="shared" si="3"/>
        <v>0</v>
      </c>
      <c r="DR14" s="670">
        <f t="shared" si="3"/>
        <v>0</v>
      </c>
      <c r="DS14" s="670">
        <f t="shared" si="3"/>
        <v>0</v>
      </c>
      <c r="DT14" s="677">
        <f t="shared" si="3"/>
        <v>0</v>
      </c>
    </row>
    <row r="15" spans="1:125" ht="15" hidden="1" x14ac:dyDescent="0.25">
      <c r="B15" s="160" t="s">
        <v>133</v>
      </c>
      <c r="C15" s="55"/>
      <c r="D15" s="7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97"/>
      <c r="Q15" s="721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95"/>
      <c r="AC15" s="721"/>
      <c r="AD15" s="667"/>
      <c r="AE15" s="667"/>
      <c r="AF15" s="667"/>
      <c r="AG15" s="667"/>
      <c r="AH15" s="670">
        <f>AH10*Assumptions!$G27</f>
        <v>0</v>
      </c>
      <c r="AI15" s="670">
        <f>AI10*Assumptions!$G27</f>
        <v>0</v>
      </c>
      <c r="AJ15" s="670">
        <f>AJ10*Assumptions!$G27</f>
        <v>0</v>
      </c>
      <c r="AK15" s="670">
        <f>AK10*Assumptions!$G27</f>
        <v>0</v>
      </c>
      <c r="AL15" s="670">
        <f>AL10*Assumptions!$G27</f>
        <v>0</v>
      </c>
      <c r="AM15" s="670">
        <f>AM10*Assumptions!$G27</f>
        <v>0</v>
      </c>
      <c r="AN15" s="677">
        <f>AN10*Assumptions!$G27</f>
        <v>0</v>
      </c>
      <c r="AO15" s="387">
        <f>AO10*Assumptions!$G27</f>
        <v>0</v>
      </c>
      <c r="AP15" s="670">
        <f>AP10*Assumptions!$G27</f>
        <v>0</v>
      </c>
      <c r="AQ15" s="670">
        <f>AQ10*Assumptions!$G27</f>
        <v>0</v>
      </c>
      <c r="AR15" s="670">
        <f>AR10*Assumptions!$G27</f>
        <v>0</v>
      </c>
      <c r="AS15" s="670">
        <f>AS10*Assumptions!$G27</f>
        <v>0</v>
      </c>
      <c r="AT15" s="670">
        <f>AT10*Assumptions!$G27</f>
        <v>0</v>
      </c>
      <c r="AU15" s="670">
        <f>AU10*Assumptions!$G27</f>
        <v>0</v>
      </c>
      <c r="AV15" s="670">
        <f>AV10*Assumptions!$G27</f>
        <v>0</v>
      </c>
      <c r="AW15" s="670">
        <f>AW10*Assumptions!$G27</f>
        <v>0</v>
      </c>
      <c r="AX15" s="670">
        <f>AX10*Assumptions!$G27</f>
        <v>0</v>
      </c>
      <c r="AY15" s="670">
        <f>AY10*Assumptions!$G27</f>
        <v>0</v>
      </c>
      <c r="AZ15" s="677">
        <f>AZ10*Assumptions!$G27</f>
        <v>0</v>
      </c>
      <c r="BA15" s="387">
        <f>BA10*Assumptions!$G27</f>
        <v>0</v>
      </c>
      <c r="BB15" s="670">
        <f>BB10*Assumptions!$G27</f>
        <v>0</v>
      </c>
      <c r="BC15" s="670">
        <f>BC10*Assumptions!$G27</f>
        <v>0</v>
      </c>
      <c r="BD15" s="670">
        <f>BD10*Assumptions!$G27</f>
        <v>0</v>
      </c>
      <c r="BE15" s="670">
        <f>BE10*Assumptions!$G27</f>
        <v>0</v>
      </c>
      <c r="BF15" s="670">
        <f>BF10*Assumptions!$G27</f>
        <v>0</v>
      </c>
      <c r="BG15" s="670">
        <f>BG10*Assumptions!$G27</f>
        <v>0</v>
      </c>
      <c r="BH15" s="670">
        <f>BH10*Assumptions!$G27</f>
        <v>0</v>
      </c>
      <c r="BI15" s="670">
        <f>BI10*Assumptions!$G27</f>
        <v>0</v>
      </c>
      <c r="BJ15" s="670">
        <f>BJ10*Assumptions!$G27</f>
        <v>0</v>
      </c>
      <c r="BK15" s="670">
        <f>BK10*Assumptions!$G27</f>
        <v>0</v>
      </c>
      <c r="BL15" s="677">
        <f>BL10*Assumptions!$G27</f>
        <v>0</v>
      </c>
      <c r="BM15" s="387">
        <f>BM10*Assumptions!$G27</f>
        <v>0</v>
      </c>
      <c r="BN15" s="670">
        <f>BN10*Assumptions!$G27</f>
        <v>0</v>
      </c>
      <c r="BO15" s="670">
        <f>BO10*Assumptions!$G27</f>
        <v>0</v>
      </c>
      <c r="BP15" s="670">
        <f>BP10*Assumptions!$G27</f>
        <v>0</v>
      </c>
      <c r="BQ15" s="670">
        <f>BQ10*Assumptions!$G27</f>
        <v>0</v>
      </c>
      <c r="BR15" s="670">
        <f>BR10*Assumptions!$G27</f>
        <v>0</v>
      </c>
      <c r="BS15" s="670">
        <f>BS10*Assumptions!$G27</f>
        <v>0</v>
      </c>
      <c r="BT15" s="670">
        <f>BT10*Assumptions!$G27</f>
        <v>0</v>
      </c>
      <c r="BU15" s="670">
        <f>BU10*Assumptions!$G27</f>
        <v>0</v>
      </c>
      <c r="BV15" s="670">
        <f>BV10*Assumptions!$G27</f>
        <v>0</v>
      </c>
      <c r="BW15" s="670">
        <f>BW10*Assumptions!$G27</f>
        <v>0</v>
      </c>
      <c r="BX15" s="677">
        <f>BX10*Assumptions!$G27</f>
        <v>0</v>
      </c>
      <c r="BY15" s="387">
        <f>BY10*Assumptions!$G27</f>
        <v>0</v>
      </c>
      <c r="BZ15" s="670">
        <f>BZ10*Assumptions!$G27</f>
        <v>0</v>
      </c>
      <c r="CA15" s="670">
        <f>CA10*Assumptions!$G27</f>
        <v>0</v>
      </c>
      <c r="CB15" s="670">
        <f>CB10*Assumptions!$G27</f>
        <v>0</v>
      </c>
      <c r="CC15" s="670">
        <f>CC10*Assumptions!$G27</f>
        <v>0</v>
      </c>
      <c r="CD15" s="670">
        <f>CD10*Assumptions!$G27</f>
        <v>0</v>
      </c>
      <c r="CE15" s="670">
        <f>CE10*Assumptions!$G27</f>
        <v>0</v>
      </c>
      <c r="CF15" s="670">
        <f>CF10*Assumptions!$G27</f>
        <v>0</v>
      </c>
      <c r="CG15" s="670">
        <f>CG10*Assumptions!$G27</f>
        <v>0</v>
      </c>
      <c r="CH15" s="670">
        <f>CH10*Assumptions!$G27</f>
        <v>0</v>
      </c>
      <c r="CI15" s="670">
        <f>CI10*Assumptions!$G27</f>
        <v>0</v>
      </c>
      <c r="CJ15" s="677">
        <f>CJ10*Assumptions!$G27</f>
        <v>0</v>
      </c>
      <c r="CK15" s="387">
        <f>CK10*Assumptions!$G27</f>
        <v>0</v>
      </c>
      <c r="CL15" s="670">
        <f>CL10*Assumptions!$G27</f>
        <v>0</v>
      </c>
      <c r="CM15" s="670">
        <f>CM10*Assumptions!$G27</f>
        <v>0</v>
      </c>
      <c r="CN15" s="670">
        <f>CN10*Assumptions!$G27</f>
        <v>0</v>
      </c>
      <c r="CO15" s="670">
        <f>CO10*Assumptions!$G27</f>
        <v>0</v>
      </c>
      <c r="CP15" s="670">
        <f>CP10*Assumptions!$G27</f>
        <v>0</v>
      </c>
      <c r="CQ15" s="670">
        <f>CQ10*Assumptions!$G27</f>
        <v>0</v>
      </c>
      <c r="CR15" s="670">
        <f>CR10*Assumptions!$G27</f>
        <v>0</v>
      </c>
      <c r="CS15" s="670">
        <f>CS10*Assumptions!$G27</f>
        <v>0</v>
      </c>
      <c r="CT15" s="670">
        <f>CT10*Assumptions!$G27</f>
        <v>0</v>
      </c>
      <c r="CU15" s="670">
        <f>CU10*Assumptions!$G27</f>
        <v>0</v>
      </c>
      <c r="CV15" s="677">
        <f>CV10*Assumptions!$G27</f>
        <v>0</v>
      </c>
      <c r="CW15" s="387">
        <f>CW10*Assumptions!$G27</f>
        <v>0</v>
      </c>
      <c r="CX15" s="670">
        <f>CX10*Assumptions!$G27</f>
        <v>0</v>
      </c>
      <c r="CY15" s="670">
        <f>CY10*Assumptions!$G27</f>
        <v>0</v>
      </c>
      <c r="CZ15" s="670">
        <f>CZ10*Assumptions!$G27</f>
        <v>0</v>
      </c>
      <c r="DA15" s="670">
        <f>DA10*Assumptions!$G27</f>
        <v>0</v>
      </c>
      <c r="DB15" s="670">
        <f>DB10*Assumptions!$G27</f>
        <v>0</v>
      </c>
      <c r="DC15" s="670">
        <f>DC10*Assumptions!$G27</f>
        <v>0</v>
      </c>
      <c r="DD15" s="670">
        <f>DD10*Assumptions!$G27</f>
        <v>0</v>
      </c>
      <c r="DE15" s="670">
        <f>DE10*Assumptions!$G27</f>
        <v>0</v>
      </c>
      <c r="DF15" s="670">
        <f>DF10*Assumptions!$G27</f>
        <v>0</v>
      </c>
      <c r="DG15" s="670">
        <f>DG10*Assumptions!$G27</f>
        <v>0</v>
      </c>
      <c r="DH15" s="677">
        <f>DH10*Assumptions!$G27</f>
        <v>0</v>
      </c>
      <c r="DI15" s="387">
        <f>DI10*Assumptions!$G27</f>
        <v>0</v>
      </c>
      <c r="DJ15" s="670">
        <f>DJ10*Assumptions!$G27</f>
        <v>0</v>
      </c>
      <c r="DK15" s="670">
        <f>DK10*Assumptions!$G27</f>
        <v>0</v>
      </c>
      <c r="DL15" s="670">
        <f>DL10*Assumptions!$G27</f>
        <v>0</v>
      </c>
      <c r="DM15" s="670">
        <f>DM10*Assumptions!$G27</f>
        <v>0</v>
      </c>
      <c r="DN15" s="670">
        <f>DN10*Assumptions!$G27</f>
        <v>0</v>
      </c>
      <c r="DO15" s="670">
        <f>DO10*Assumptions!$G27</f>
        <v>0</v>
      </c>
      <c r="DP15" s="670">
        <f>DP10*Assumptions!$G27</f>
        <v>0</v>
      </c>
      <c r="DQ15" s="670">
        <f>DQ10*Assumptions!$G27</f>
        <v>0</v>
      </c>
      <c r="DR15" s="670">
        <f>DR10*Assumptions!$G27</f>
        <v>0</v>
      </c>
      <c r="DS15" s="670">
        <f>DS10*Assumptions!$G27</f>
        <v>0</v>
      </c>
      <c r="DT15" s="677">
        <f>DT10*Assumptions!$G27</f>
        <v>0</v>
      </c>
    </row>
    <row r="16" spans="1:125" ht="15" hidden="1" x14ac:dyDescent="0.25">
      <c r="B16" s="160" t="s">
        <v>346</v>
      </c>
      <c r="C16" s="55"/>
      <c r="D16" s="7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97"/>
      <c r="Q16" s="721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95"/>
      <c r="AC16" s="721"/>
      <c r="AD16" s="667"/>
      <c r="AE16" s="667"/>
      <c r="AF16" s="667"/>
      <c r="AG16" s="667"/>
      <c r="AH16" s="670">
        <f>IF(ROUNDDOWN((AH14+AH15)/Assumptions!$C$43,0)&lt;15,(ROUNDDOWN((AH14+AH15)/Assumptions!$C$43,0)),(15))</f>
        <v>0</v>
      </c>
      <c r="AI16" s="670">
        <f>IF(ROUNDDOWN((AI14+AI15)/Assumptions!$C$43,0)&lt;15,(ROUNDDOWN((AI14+AI15)/Assumptions!$C$43,0)),(15))</f>
        <v>0</v>
      </c>
      <c r="AJ16" s="670">
        <f>IF(ROUNDDOWN((AJ14+AJ15)/Assumptions!$C$43,0)&lt;15,(ROUNDDOWN((AJ14+AJ15)/Assumptions!$C$43,0)),(15))</f>
        <v>0</v>
      </c>
      <c r="AK16" s="670">
        <f>IF(ROUNDDOWN((AK14+AK15)/Assumptions!$C$43,0)&lt;15,(ROUNDDOWN((AK14+AK15)/Assumptions!$C$43,0)),(15))</f>
        <v>0</v>
      </c>
      <c r="AL16" s="670">
        <f>IF(ROUNDDOWN((AL14+AL15)/Assumptions!$C$43,0)&lt;15,(ROUNDDOWN((AL14+AL15)/Assumptions!$C$43,0)),(15))</f>
        <v>0</v>
      </c>
      <c r="AM16" s="670">
        <f>IF(ROUNDDOWN((AM14+AM15)/Assumptions!$C$43,0)&lt;15,(ROUNDDOWN((AM14+AM15)/Assumptions!$C$43,0)),(15))</f>
        <v>0</v>
      </c>
      <c r="AN16" s="677">
        <f>IF(ROUNDDOWN((AN14+AN15)/Assumptions!$C$43,0)&lt;15,(ROUNDDOWN((AN14+AN15)/Assumptions!$C$43,0)),(15))</f>
        <v>0</v>
      </c>
      <c r="AO16" s="387">
        <f>IF(ROUNDDOWN((AO14+AO15)/Assumptions!$C$43,0)&lt;15,(ROUNDDOWN((AO14+AO15)/Assumptions!$C$43,0)),(15))</f>
        <v>0</v>
      </c>
      <c r="AP16" s="670">
        <f>IF(ROUNDDOWN((AP14+AP15)/Assumptions!$C$43,0)&lt;15,(ROUNDDOWN((AP14+AP15)/Assumptions!$C$43,0)),(15))</f>
        <v>0</v>
      </c>
      <c r="AQ16" s="670">
        <f>IF(ROUNDDOWN((AQ14+AQ15)/Assumptions!$C$43,0)&lt;15,(ROUNDDOWN((AQ14+AQ15)/Assumptions!$C$43,0)),(15))</f>
        <v>0</v>
      </c>
      <c r="AR16" s="670">
        <f>IF(ROUNDDOWN((AR14+AR15)/Assumptions!$C$43,0)&lt;15,(ROUNDDOWN((AR14+AR15)/Assumptions!$C$43,0)),(15))</f>
        <v>0</v>
      </c>
      <c r="AS16" s="670">
        <f>IF(ROUNDDOWN((AS14+AS15)/Assumptions!$C$43,0)&lt;15,(ROUNDDOWN((AS14+AS15)/Assumptions!$C$43,0)),(15))</f>
        <v>0</v>
      </c>
      <c r="AT16" s="670">
        <f>IF(ROUNDDOWN((AT14+AT15)/Assumptions!$C$43,0)&lt;15,(ROUNDDOWN((AT14+AT15)/Assumptions!$C$43,0)),(15))</f>
        <v>0</v>
      </c>
      <c r="AU16" s="670">
        <f>IF(ROUNDDOWN((AU14+AU15)/Assumptions!$C$43,0)&lt;15,(ROUNDDOWN((AU14+AU15)/Assumptions!$C$43,0)),(15))</f>
        <v>0</v>
      </c>
      <c r="AV16" s="670">
        <f>IF(ROUNDDOWN((AV14+AV15)/Assumptions!$C$43,0)&lt;15,(ROUNDDOWN((AV14+AV15)/Assumptions!$C$43,0)),(15))</f>
        <v>0</v>
      </c>
      <c r="AW16" s="670">
        <f>IF(ROUNDDOWN((AW14+AW15)/Assumptions!$C$43,0)&lt;15,(ROUNDDOWN((AW14+AW15)/Assumptions!$C$43,0)),(15))</f>
        <v>0</v>
      </c>
      <c r="AX16" s="670">
        <f>IF(ROUNDDOWN((AX14+AX15)/Assumptions!$C$43,0)&lt;15,(ROUNDDOWN((AX14+AX15)/Assumptions!$C$43,0)),(15))</f>
        <v>0</v>
      </c>
      <c r="AY16" s="670">
        <f>IF(ROUNDDOWN((AY14+AY15)/Assumptions!$C$43,0)&lt;15,(ROUNDDOWN((AY14+AY15)/Assumptions!$C$43,0)),(15))</f>
        <v>0</v>
      </c>
      <c r="AZ16" s="677">
        <f>IF(ROUNDDOWN((AZ14+AZ15)/Assumptions!$C$43,0)&lt;15,(ROUNDDOWN((AZ14+AZ15)/Assumptions!$C$43,0)),(15))</f>
        <v>0</v>
      </c>
      <c r="BA16" s="387">
        <f>IF(ROUNDDOWN((BA14+BA15)/Assumptions!$C$43,0)&lt;15,(ROUNDDOWN((BA14+BA15)/Assumptions!$C$43,0)),(15))</f>
        <v>0</v>
      </c>
      <c r="BB16" s="670">
        <f>IF(ROUNDDOWN((BB14+BB15)/Assumptions!$C$43,0)&lt;15,(ROUNDDOWN((BB14+BB15)/Assumptions!$C$43,0)),(15))</f>
        <v>0</v>
      </c>
      <c r="BC16" s="670">
        <f>IF(ROUNDDOWN((BC14+BC15)/Assumptions!$C$43,0)&lt;15,(ROUNDDOWN((BC14+BC15)/Assumptions!$C$43,0)),(15))</f>
        <v>0</v>
      </c>
      <c r="BD16" s="670">
        <f>IF(ROUNDDOWN((BD14+BD15)/Assumptions!$C$43,0)&lt;15,(ROUNDDOWN((BD14+BD15)/Assumptions!$C$43,0)),(15))</f>
        <v>0</v>
      </c>
      <c r="BE16" s="670">
        <f>IF(ROUNDDOWN((BE14+BE15)/Assumptions!$C$43,0)&lt;15,(ROUNDDOWN((BE14+BE15)/Assumptions!$C$43,0)),(15))</f>
        <v>0</v>
      </c>
      <c r="BF16" s="670">
        <f>IF(ROUNDDOWN((BF14+BF15)/Assumptions!$C$43,0)&lt;15,(ROUNDDOWN((BF14+BF15)/Assumptions!$C$43,0)),(15))</f>
        <v>0</v>
      </c>
      <c r="BG16" s="670">
        <f>IF(ROUNDDOWN((BG14+BG15)/Assumptions!$C$43,0)&lt;15,(ROUNDDOWN((BG14+BG15)/Assumptions!$C$43,0)),(15))</f>
        <v>0</v>
      </c>
      <c r="BH16" s="670">
        <f>IF(ROUNDDOWN((BH14+BH15)/Assumptions!$C$43,0)&lt;15,(ROUNDDOWN((BH14+BH15)/Assumptions!$C$43,0)),(15))</f>
        <v>0</v>
      </c>
      <c r="BI16" s="670">
        <f>IF(ROUNDDOWN((BI14+BI15)/Assumptions!$C$43,0)&lt;15,(ROUNDDOWN((BI14+BI15)/Assumptions!$C$43,0)),(15))</f>
        <v>0</v>
      </c>
      <c r="BJ16" s="670">
        <f>IF(ROUNDDOWN((BJ14+BJ15)/Assumptions!$C$43,0)&lt;15,(ROUNDDOWN((BJ14+BJ15)/Assumptions!$C$43,0)),(15))</f>
        <v>0</v>
      </c>
      <c r="BK16" s="670">
        <f>IF(ROUNDDOWN((BK14+BK15)/Assumptions!$C$43,0)&lt;15,(ROUNDDOWN((BK14+BK15)/Assumptions!$C$43,0)),(15))</f>
        <v>0</v>
      </c>
      <c r="BL16" s="677">
        <f>IF(ROUNDDOWN((BL14+BL15)/Assumptions!$C$43,0)&lt;15,(ROUNDDOWN((BL14+BL15)/Assumptions!$C$43,0)),(15))</f>
        <v>0</v>
      </c>
      <c r="BM16" s="387">
        <f>IF(ROUNDDOWN((BM14+BM15)/Assumptions!$C$43,0)&lt;15,(ROUNDDOWN((BM14+BM15)/Assumptions!$C$43,0)),(15))</f>
        <v>0</v>
      </c>
      <c r="BN16" s="670">
        <f>IF(ROUNDDOWN((BN14+BN15)/Assumptions!$C$43,0)&lt;15,(ROUNDDOWN((BN14+BN15)/Assumptions!$C$43,0)),(15))</f>
        <v>0</v>
      </c>
      <c r="BO16" s="670">
        <f>IF(ROUNDDOWN((BO14+BO15)/Assumptions!$C$43,0)&lt;15,(ROUNDDOWN((BO14+BO15)/Assumptions!$C$43,0)),(15))</f>
        <v>0</v>
      </c>
      <c r="BP16" s="670">
        <f>IF(ROUNDDOWN((BP14+BP15)/Assumptions!$C$43,0)&lt;15,(ROUNDDOWN((BP14+BP15)/Assumptions!$C$43,0)),(15))</f>
        <v>0</v>
      </c>
      <c r="BQ16" s="670">
        <f>IF(ROUNDDOWN((BQ14+BQ15)/Assumptions!$C$43,0)&lt;15,(ROUNDDOWN((BQ14+BQ15)/Assumptions!$C$43,0)),(15))</f>
        <v>0</v>
      </c>
      <c r="BR16" s="670">
        <f>IF(ROUNDDOWN((BR14+BR15)/Assumptions!$C$43,0)&lt;15,(ROUNDDOWN((BR14+BR15)/Assumptions!$C$43,0)),(15))</f>
        <v>0</v>
      </c>
      <c r="BS16" s="670">
        <f>IF(ROUNDDOWN((BS14+BS15)/Assumptions!$C$43,0)&lt;15,(ROUNDDOWN((BS14+BS15)/Assumptions!$C$43,0)),(15))</f>
        <v>0</v>
      </c>
      <c r="BT16" s="670">
        <f>IF(ROUNDDOWN((BT14+BT15)/Assumptions!$C$43,0)&lt;15,(ROUNDDOWN((BT14+BT15)/Assumptions!$C$43,0)),(15))</f>
        <v>0</v>
      </c>
      <c r="BU16" s="670">
        <f>IF(ROUNDDOWN((BU14+BU15)/Assumptions!$C$43,0)&lt;15,(ROUNDDOWN((BU14+BU15)/Assumptions!$C$43,0)),(15))</f>
        <v>0</v>
      </c>
      <c r="BV16" s="670">
        <f>IF(ROUNDDOWN((BV14+BV15)/Assumptions!$C$43,0)&lt;15,(ROUNDDOWN((BV14+BV15)/Assumptions!$C$43,0)),(15))</f>
        <v>0</v>
      </c>
      <c r="BW16" s="670">
        <f>IF(ROUNDDOWN((BW14+BW15)/Assumptions!$C$43,0)&lt;15,(ROUNDDOWN((BW14+BW15)/Assumptions!$C$43,0)),(15))</f>
        <v>0</v>
      </c>
      <c r="BX16" s="677">
        <f>IF(ROUNDDOWN((BX14+BX15)/Assumptions!$C$43,0)&lt;15,(ROUNDDOWN((BX14+BX15)/Assumptions!$C$43,0)),(15))</f>
        <v>0</v>
      </c>
      <c r="BY16" s="387">
        <f>IF(ROUNDDOWN((BY14+BY15)/Assumptions!$C$43,0)&lt;15,(ROUNDDOWN((BY14+BY15)/Assumptions!$C$43,0)),(15))</f>
        <v>0</v>
      </c>
      <c r="BZ16" s="670">
        <f>IF(ROUNDDOWN((BZ14+BZ15)/Assumptions!$C$43,0)&lt;15,(ROUNDDOWN((BZ14+BZ15)/Assumptions!$C$43,0)),(15))</f>
        <v>0</v>
      </c>
      <c r="CA16" s="670">
        <f>IF(ROUNDDOWN((CA14+CA15)/Assumptions!$C$43,0)&lt;15,(ROUNDDOWN((CA14+CA15)/Assumptions!$C$43,0)),(15))</f>
        <v>0</v>
      </c>
      <c r="CB16" s="670">
        <f>IF(ROUNDDOWN((CB14+CB15)/Assumptions!$C$43,0)&lt;15,(ROUNDDOWN((CB14+CB15)/Assumptions!$C$43,0)),(15))</f>
        <v>0</v>
      </c>
      <c r="CC16" s="670">
        <f>IF(ROUNDDOWN((CC14+CC15)/Assumptions!$C$43,0)&lt;15,(ROUNDDOWN((CC14+CC15)/Assumptions!$C$43,0)),(15))</f>
        <v>0</v>
      </c>
      <c r="CD16" s="670">
        <f>IF(ROUNDDOWN((CD14+CD15)/Assumptions!$C$43,0)&lt;15,(ROUNDDOWN((CD14+CD15)/Assumptions!$C$43,0)),(15))</f>
        <v>0</v>
      </c>
      <c r="CE16" s="670">
        <f>IF(ROUNDDOWN((CE14+CE15)/Assumptions!$C$43,0)&lt;15,(ROUNDDOWN((CE14+CE15)/Assumptions!$C$43,0)),(15))</f>
        <v>0</v>
      </c>
      <c r="CF16" s="670">
        <f>IF(ROUNDDOWN((CF14+CF15)/Assumptions!$C$43,0)&lt;15,(ROUNDDOWN((CF14+CF15)/Assumptions!$C$43,0)),(15))</f>
        <v>0</v>
      </c>
      <c r="CG16" s="670">
        <f>IF(ROUNDDOWN((CG14+CG15)/Assumptions!$C$43,0)&lt;15,(ROUNDDOWN((CG14+CG15)/Assumptions!$C$43,0)),(15))</f>
        <v>0</v>
      </c>
      <c r="CH16" s="670">
        <f>IF(ROUNDDOWN((CH14+CH15)/Assumptions!$C$43,0)&lt;15,(ROUNDDOWN((CH14+CH15)/Assumptions!$C$43,0)),(15))</f>
        <v>0</v>
      </c>
      <c r="CI16" s="670">
        <f>IF(ROUNDDOWN((CI14+CI15)/Assumptions!$C$43,0)&lt;15,(ROUNDDOWN((CI14+CI15)/Assumptions!$C$43,0)),(15))</f>
        <v>0</v>
      </c>
      <c r="CJ16" s="677">
        <f>IF(ROUNDDOWN((CJ14+CJ15)/Assumptions!$C$43,0)&lt;15,(ROUNDDOWN((CJ14+CJ15)/Assumptions!$C$43,0)),(15))</f>
        <v>0</v>
      </c>
      <c r="CK16" s="387">
        <f>IF(ROUNDDOWN((CK14+CK15)/Assumptions!$C$43,0)&lt;15,(ROUNDDOWN((CK14+CK15)/Assumptions!$C$43,0)),(15))</f>
        <v>0</v>
      </c>
      <c r="CL16" s="670">
        <f>IF(ROUNDDOWN((CL14+CL15)/Assumptions!$C$43,0)&lt;15,(ROUNDDOWN((CL14+CL15)/Assumptions!$C$43,0)),(15))</f>
        <v>0</v>
      </c>
      <c r="CM16" s="670">
        <f>IF(ROUNDDOWN((CM14+CM15)/Assumptions!$C$43,0)&lt;15,(ROUNDDOWN((CM14+CM15)/Assumptions!$C$43,0)),(15))</f>
        <v>0</v>
      </c>
      <c r="CN16" s="670">
        <f>IF(ROUNDDOWN((CN14+CN15)/Assumptions!$C$43,0)&lt;15,(ROUNDDOWN((CN14+CN15)/Assumptions!$C$43,0)),(15))</f>
        <v>0</v>
      </c>
      <c r="CO16" s="670">
        <f>IF(ROUNDDOWN((CO14+CO15)/Assumptions!$C$43,0)&lt;15,(ROUNDDOWN((CO14+CO15)/Assumptions!$C$43,0)),(15))</f>
        <v>0</v>
      </c>
      <c r="CP16" s="670">
        <f>IF(ROUNDDOWN((CP14+CP15)/Assumptions!$C$43,0)&lt;15,(ROUNDDOWN((CP14+CP15)/Assumptions!$C$43,0)),(15))</f>
        <v>0</v>
      </c>
      <c r="CQ16" s="670">
        <f>IF(ROUNDDOWN((CQ14+CQ15)/Assumptions!$C$43,0)&lt;15,(ROUNDDOWN((CQ14+CQ15)/Assumptions!$C$43,0)),(15))</f>
        <v>0</v>
      </c>
      <c r="CR16" s="670">
        <f>IF(ROUNDDOWN((CR14+CR15)/Assumptions!$C$43,0)&lt;15,(ROUNDDOWN((CR14+CR15)/Assumptions!$C$43,0)),(15))</f>
        <v>0</v>
      </c>
      <c r="CS16" s="670">
        <f>IF(ROUNDDOWN((CS14+CS15)/Assumptions!$C$43,0)&lt;15,(ROUNDDOWN((CS14+CS15)/Assumptions!$C$43,0)),(15))</f>
        <v>0</v>
      </c>
      <c r="CT16" s="670">
        <f>IF(ROUNDDOWN((CT14+CT15)/Assumptions!$C$43,0)&lt;15,(ROUNDDOWN((CT14+CT15)/Assumptions!$C$43,0)),(15))</f>
        <v>0</v>
      </c>
      <c r="CU16" s="670">
        <f>IF(ROUNDDOWN((CU14+CU15)/Assumptions!$C$43,0)&lt;15,(ROUNDDOWN((CU14+CU15)/Assumptions!$C$43,0)),(15))</f>
        <v>0</v>
      </c>
      <c r="CV16" s="677">
        <f>IF(ROUNDDOWN((CV14+CV15)/Assumptions!$C$43,0)&lt;15,(ROUNDDOWN((CV14+CV15)/Assumptions!$C$43,0)),(15))</f>
        <v>0</v>
      </c>
      <c r="CW16" s="387">
        <f>IF(ROUNDDOWN((CW14+CW15)/Assumptions!$C$43,0)&lt;15,(ROUNDDOWN((CW14+CW15)/Assumptions!$C$43,0)),(15))</f>
        <v>0</v>
      </c>
      <c r="CX16" s="670">
        <f>IF(ROUNDDOWN((CX14+CX15)/Assumptions!$C$43,0)&lt;15,(ROUNDDOWN((CX14+CX15)/Assumptions!$C$43,0)),(15))</f>
        <v>0</v>
      </c>
      <c r="CY16" s="670">
        <f>IF(ROUNDDOWN((CY14+CY15)/Assumptions!$C$43,0)&lt;15,(ROUNDDOWN((CY14+CY15)/Assumptions!$C$43,0)),(15))</f>
        <v>0</v>
      </c>
      <c r="CZ16" s="670">
        <f>IF(ROUNDDOWN((CZ14+CZ15)/Assumptions!$C$43,0)&lt;15,(ROUNDDOWN((CZ14+CZ15)/Assumptions!$C$43,0)),(15))</f>
        <v>0</v>
      </c>
      <c r="DA16" s="670">
        <f>IF(ROUNDDOWN((DA14+DA15)/Assumptions!$C$43,0)&lt;15,(ROUNDDOWN((DA14+DA15)/Assumptions!$C$43,0)),(15))</f>
        <v>0</v>
      </c>
      <c r="DB16" s="670">
        <f>IF(ROUNDDOWN((DB14+DB15)/Assumptions!$C$43,0)&lt;15,(ROUNDDOWN((DB14+DB15)/Assumptions!$C$43,0)),(15))</f>
        <v>0</v>
      </c>
      <c r="DC16" s="670">
        <f>IF(ROUNDDOWN((DC14+DC15)/Assumptions!$C$43,0)&lt;15,(ROUNDDOWN((DC14+DC15)/Assumptions!$C$43,0)),(15))</f>
        <v>0</v>
      </c>
      <c r="DD16" s="670">
        <f>IF(ROUNDDOWN((DD14+DD15)/Assumptions!$C$43,0)&lt;15,(ROUNDDOWN((DD14+DD15)/Assumptions!$C$43,0)),(15))</f>
        <v>0</v>
      </c>
      <c r="DE16" s="670">
        <f>IF(ROUNDDOWN((DE14+DE15)/Assumptions!$C$43,0)&lt;15,(ROUNDDOWN((DE14+DE15)/Assumptions!$C$43,0)),(15))</f>
        <v>0</v>
      </c>
      <c r="DF16" s="670">
        <f>IF(ROUNDDOWN((DF14+DF15)/Assumptions!$C$43,0)&lt;15,(ROUNDDOWN((DF14+DF15)/Assumptions!$C$43,0)),(15))</f>
        <v>0</v>
      </c>
      <c r="DG16" s="670">
        <f>IF(ROUNDDOWN((DG14+DG15)/Assumptions!$C$43,0)&lt;15,(ROUNDDOWN((DG14+DG15)/Assumptions!$C$43,0)),(15))</f>
        <v>0</v>
      </c>
      <c r="DH16" s="677">
        <f>IF(ROUNDDOWN((DH14+DH15)/Assumptions!$C$43,0)&lt;15,(ROUNDDOWN((DH14+DH15)/Assumptions!$C$43,0)),(15))</f>
        <v>0</v>
      </c>
      <c r="DI16" s="387">
        <f>IF(ROUNDDOWN((DI14+DI15)/Assumptions!$C$43,0)&lt;15,(ROUNDDOWN((DI14+DI15)/Assumptions!$C$43,0)),(15))</f>
        <v>0</v>
      </c>
      <c r="DJ16" s="670">
        <f>IF(ROUNDDOWN((DJ14+DJ15)/Assumptions!$C$43,0)&lt;15,(ROUNDDOWN((DJ14+DJ15)/Assumptions!$C$43,0)),(15))</f>
        <v>0</v>
      </c>
      <c r="DK16" s="670">
        <f>IF(ROUNDDOWN((DK14+DK15)/Assumptions!$C$43,0)&lt;15,(ROUNDDOWN((DK14+DK15)/Assumptions!$C$43,0)),(15))</f>
        <v>0</v>
      </c>
      <c r="DL16" s="670">
        <f>IF(ROUNDDOWN((DL14+DL15)/Assumptions!$C$43,0)&lt;15,(ROUNDDOWN((DL14+DL15)/Assumptions!$C$43,0)),(15))</f>
        <v>0</v>
      </c>
      <c r="DM16" s="670">
        <f>IF(ROUNDDOWN((DM14+DM15)/Assumptions!$C$43,0)&lt;15,(ROUNDDOWN((DM14+DM15)/Assumptions!$C$43,0)),(15))</f>
        <v>0</v>
      </c>
      <c r="DN16" s="670">
        <f>IF(ROUNDDOWN((DN14+DN15)/Assumptions!$C$43,0)&lt;15,(ROUNDDOWN((DN14+DN15)/Assumptions!$C$43,0)),(15))</f>
        <v>0</v>
      </c>
      <c r="DO16" s="670">
        <f>IF(ROUNDDOWN((DO14+DO15)/Assumptions!$C$43,0)&lt;15,(ROUNDDOWN((DO14+DO15)/Assumptions!$C$43,0)),(15))</f>
        <v>0</v>
      </c>
      <c r="DP16" s="670">
        <f>IF(ROUNDDOWN((DP14+DP15)/Assumptions!$C$43,0)&lt;15,(ROUNDDOWN((DP14+DP15)/Assumptions!$C$43,0)),(15))</f>
        <v>0</v>
      </c>
      <c r="DQ16" s="670">
        <f>IF(ROUNDDOWN((DQ14+DQ15)/Assumptions!$C$43,0)&lt;15,(ROUNDDOWN((DQ14+DQ15)/Assumptions!$C$43,0)),(15))</f>
        <v>0</v>
      </c>
      <c r="DR16" s="670">
        <f>IF(ROUNDDOWN((DR14+DR15)/Assumptions!$C$43,0)&lt;15,(ROUNDDOWN((DR14+DR15)/Assumptions!$C$43,0)),(15))</f>
        <v>0</v>
      </c>
      <c r="DS16" s="670">
        <f>IF(ROUNDDOWN((DS14+DS15)/Assumptions!$C$43,0)&lt;15,(ROUNDDOWN((DS14+DS15)/Assumptions!$C$43,0)),(15))</f>
        <v>0</v>
      </c>
      <c r="DT16" s="677">
        <f>IF(ROUNDDOWN((DT14+DT15)/Assumptions!$C$43,0)&lt;15,(ROUNDDOWN((DT14+DT15)/Assumptions!$C$43,0)),(15))</f>
        <v>0</v>
      </c>
    </row>
    <row r="17" spans="1:124" ht="15" hidden="1" x14ac:dyDescent="0.25">
      <c r="B17" s="160" t="s">
        <v>80</v>
      </c>
      <c r="C17" s="55"/>
      <c r="D17" s="7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97"/>
      <c r="Q17" s="721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95"/>
      <c r="AC17" s="721"/>
      <c r="AD17" s="667"/>
      <c r="AE17" s="667"/>
      <c r="AF17" s="667"/>
      <c r="AG17" s="667"/>
      <c r="AH17" s="670">
        <f>AH14+AH15-(AH16*Assumptions!$C$43)</f>
        <v>0</v>
      </c>
      <c r="AI17" s="670">
        <f>AI14+AI15-(AI16*Assumptions!$C$43)</f>
        <v>0</v>
      </c>
      <c r="AJ17" s="670">
        <f>AJ14+AJ15-(AJ16*Assumptions!$C$43)</f>
        <v>0</v>
      </c>
      <c r="AK17" s="670">
        <f>AK14+AK15-(AK16*Assumptions!$C$43)</f>
        <v>0</v>
      </c>
      <c r="AL17" s="670">
        <f>AL14+AL15-(AL16*Assumptions!$C$43)</f>
        <v>0</v>
      </c>
      <c r="AM17" s="670">
        <f>AM14+AM15-(AM16*Assumptions!$C$43)</f>
        <v>0</v>
      </c>
      <c r="AN17" s="677">
        <f>AN14+AN15-(AN16*Assumptions!$C$43)</f>
        <v>0</v>
      </c>
      <c r="AO17" s="387">
        <f>AO14+AO15-(AO16*Assumptions!$C$43)</f>
        <v>0</v>
      </c>
      <c r="AP17" s="670">
        <f>AP14+AP15-(AP16*Assumptions!$C$43)</f>
        <v>0</v>
      </c>
      <c r="AQ17" s="670">
        <f>AQ14+AQ15-(AQ16*Assumptions!$C$43)</f>
        <v>0</v>
      </c>
      <c r="AR17" s="670">
        <f>AR14+AR15-(AR16*Assumptions!$C$43)</f>
        <v>0</v>
      </c>
      <c r="AS17" s="670">
        <f>AS14+AS15-(AS16*Assumptions!$C$43)</f>
        <v>0</v>
      </c>
      <c r="AT17" s="670">
        <f>AT14+AT15-(AT16*Assumptions!$C$43)</f>
        <v>0</v>
      </c>
      <c r="AU17" s="670">
        <f>AU14+AU15-(AU16*Assumptions!$C$43)</f>
        <v>0</v>
      </c>
      <c r="AV17" s="670">
        <f>AV14+AV15-(AV16*Assumptions!$C$43)</f>
        <v>0</v>
      </c>
      <c r="AW17" s="670">
        <f>AW14+AW15-(AW16*Assumptions!$C$43)</f>
        <v>0</v>
      </c>
      <c r="AX17" s="670">
        <f>AX14+AX15-(AX16*Assumptions!$C$43)</f>
        <v>0</v>
      </c>
      <c r="AY17" s="670">
        <f>AY14+AY15-(AY16*Assumptions!$C$43)</f>
        <v>0</v>
      </c>
      <c r="AZ17" s="677">
        <f>AZ14+AZ15-(AZ16*Assumptions!$C$43)</f>
        <v>0</v>
      </c>
      <c r="BA17" s="387">
        <f>BA14+BA15-(BA16*Assumptions!$C$43)</f>
        <v>0</v>
      </c>
      <c r="BB17" s="670">
        <f>BB14+BB15-(BB16*Assumptions!$C$43)</f>
        <v>0</v>
      </c>
      <c r="BC17" s="670">
        <f>BC14+BC15-(BC16*Assumptions!$C$43)</f>
        <v>0</v>
      </c>
      <c r="BD17" s="670">
        <f>BD14+BD15-(BD16*Assumptions!$C$43)</f>
        <v>0</v>
      </c>
      <c r="BE17" s="670">
        <f>BE14+BE15-(BE16*Assumptions!$C$43)</f>
        <v>0</v>
      </c>
      <c r="BF17" s="670">
        <f>BF14+BF15-(BF16*Assumptions!$C$43)</f>
        <v>0</v>
      </c>
      <c r="BG17" s="670">
        <f>BG14+BG15-(BG16*Assumptions!$C$43)</f>
        <v>0</v>
      </c>
      <c r="BH17" s="670">
        <f>BH14+BH15-(BH16*Assumptions!$C$43)</f>
        <v>0</v>
      </c>
      <c r="BI17" s="670">
        <f>BI14+BI15-(BI16*Assumptions!$C$43)</f>
        <v>0</v>
      </c>
      <c r="BJ17" s="670">
        <f>BJ14+BJ15-(BJ16*Assumptions!$C$43)</f>
        <v>0</v>
      </c>
      <c r="BK17" s="670">
        <f>BK14+BK15-(BK16*Assumptions!$C$43)</f>
        <v>0</v>
      </c>
      <c r="BL17" s="677">
        <f>BL14+BL15-(BL16*Assumptions!$C$43)</f>
        <v>0</v>
      </c>
      <c r="BM17" s="387">
        <f>BM14+BM15-(BM16*Assumptions!$C$43)</f>
        <v>0</v>
      </c>
      <c r="BN17" s="670">
        <f>BN14+BN15-(BN16*Assumptions!$C$43)</f>
        <v>0</v>
      </c>
      <c r="BO17" s="670">
        <f>BO14+BO15-(BO16*Assumptions!$C$43)</f>
        <v>0</v>
      </c>
      <c r="BP17" s="670">
        <f>BP14+BP15-(BP16*Assumptions!$C$43)</f>
        <v>0</v>
      </c>
      <c r="BQ17" s="670">
        <f>BQ14+BQ15-(BQ16*Assumptions!$C$43)</f>
        <v>0</v>
      </c>
      <c r="BR17" s="670">
        <f>BR14+BR15-(BR16*Assumptions!$C$43)</f>
        <v>0</v>
      </c>
      <c r="BS17" s="670">
        <f>BS14+BS15-(BS16*Assumptions!$C$43)</f>
        <v>0</v>
      </c>
      <c r="BT17" s="670">
        <f>BT14+BT15-(BT16*Assumptions!$C$43)</f>
        <v>0</v>
      </c>
      <c r="BU17" s="670">
        <f>BU14+BU15-(BU16*Assumptions!$C$43)</f>
        <v>0</v>
      </c>
      <c r="BV17" s="670">
        <f>BV14+BV15-(BV16*Assumptions!$C$43)</f>
        <v>0</v>
      </c>
      <c r="BW17" s="670">
        <f>BW14+BW15-(BW16*Assumptions!$C$43)</f>
        <v>0</v>
      </c>
      <c r="BX17" s="677">
        <f>BX14+BX15-(BX16*Assumptions!$C$43)</f>
        <v>0</v>
      </c>
      <c r="BY17" s="387">
        <f>BY14+BY15-(BY16*Assumptions!$C$43)</f>
        <v>0</v>
      </c>
      <c r="BZ17" s="670">
        <f>BZ14+BZ15-(BZ16*Assumptions!$C$43)</f>
        <v>0</v>
      </c>
      <c r="CA17" s="670">
        <f>CA14+CA15-(CA16*Assumptions!$C$43)</f>
        <v>0</v>
      </c>
      <c r="CB17" s="670">
        <f>CB14+CB15-(CB16*Assumptions!$C$43)</f>
        <v>0</v>
      </c>
      <c r="CC17" s="670">
        <f>CC14+CC15-(CC16*Assumptions!$C$43)</f>
        <v>0</v>
      </c>
      <c r="CD17" s="670">
        <f>CD14+CD15-(CD16*Assumptions!$C$43)</f>
        <v>0</v>
      </c>
      <c r="CE17" s="670">
        <f>CE14+CE15-(CE16*Assumptions!$C$43)</f>
        <v>0</v>
      </c>
      <c r="CF17" s="670">
        <f>CF14+CF15-(CF16*Assumptions!$C$43)</f>
        <v>0</v>
      </c>
      <c r="CG17" s="670">
        <f>CG14+CG15-(CG16*Assumptions!$C$43)</f>
        <v>0</v>
      </c>
      <c r="CH17" s="670">
        <f>CH14+CH15-(CH16*Assumptions!$C$43)</f>
        <v>0</v>
      </c>
      <c r="CI17" s="670">
        <f>CI14+CI15-(CI16*Assumptions!$C$43)</f>
        <v>0</v>
      </c>
      <c r="CJ17" s="677">
        <f>CJ14+CJ15-(CJ16*Assumptions!$C$43)</f>
        <v>0</v>
      </c>
      <c r="CK17" s="387">
        <f>CK14+CK15-(CK16*Assumptions!$C$43)</f>
        <v>0</v>
      </c>
      <c r="CL17" s="670">
        <f>CL14+CL15-(CL16*Assumptions!$C$43)</f>
        <v>0</v>
      </c>
      <c r="CM17" s="670">
        <f>CM14+CM15-(CM16*Assumptions!$C$43)</f>
        <v>0</v>
      </c>
      <c r="CN17" s="670">
        <f>CN14+CN15-(CN16*Assumptions!$C$43)</f>
        <v>0</v>
      </c>
      <c r="CO17" s="670">
        <f>CO14+CO15-(CO16*Assumptions!$C$43)</f>
        <v>0</v>
      </c>
      <c r="CP17" s="670">
        <f>CP14+CP15-(CP16*Assumptions!$C$43)</f>
        <v>0</v>
      </c>
      <c r="CQ17" s="670">
        <f>CQ14+CQ15-(CQ16*Assumptions!$C$43)</f>
        <v>0</v>
      </c>
      <c r="CR17" s="670">
        <f>CR14+CR15-(CR16*Assumptions!$C$43)</f>
        <v>0</v>
      </c>
      <c r="CS17" s="670">
        <f>CS14+CS15-(CS16*Assumptions!$C$43)</f>
        <v>0</v>
      </c>
      <c r="CT17" s="670">
        <f>CT14+CT15-(CT16*Assumptions!$C$43)</f>
        <v>0</v>
      </c>
      <c r="CU17" s="670">
        <f>CU14+CU15-(CU16*Assumptions!$C$43)</f>
        <v>0</v>
      </c>
      <c r="CV17" s="677">
        <f>CV14+CV15-(CV16*Assumptions!$C$43)</f>
        <v>0</v>
      </c>
      <c r="CW17" s="387">
        <f>CW14+CW15-(CW16*Assumptions!$C$43)</f>
        <v>0</v>
      </c>
      <c r="CX17" s="670">
        <f>CX14+CX15-(CX16*Assumptions!$C$43)</f>
        <v>0</v>
      </c>
      <c r="CY17" s="670">
        <f>CY14+CY15-(CY16*Assumptions!$C$43)</f>
        <v>0</v>
      </c>
      <c r="CZ17" s="670">
        <f>CZ14+CZ15-(CZ16*Assumptions!$C$43)</f>
        <v>0</v>
      </c>
      <c r="DA17" s="670">
        <f>DA14+DA15-(DA16*Assumptions!$C$43)</f>
        <v>0</v>
      </c>
      <c r="DB17" s="670">
        <f>DB14+DB15-(DB16*Assumptions!$C$43)</f>
        <v>0</v>
      </c>
      <c r="DC17" s="670">
        <f>DC14+DC15-(DC16*Assumptions!$C$43)</f>
        <v>0</v>
      </c>
      <c r="DD17" s="670">
        <f>DD14+DD15-(DD16*Assumptions!$C$43)</f>
        <v>0</v>
      </c>
      <c r="DE17" s="670">
        <f>DE14+DE15-(DE16*Assumptions!$C$43)</f>
        <v>0</v>
      </c>
      <c r="DF17" s="670">
        <f>DF14+DF15-(DF16*Assumptions!$C$43)</f>
        <v>0</v>
      </c>
      <c r="DG17" s="670">
        <f>DG14+DG15-(DG16*Assumptions!$C$43)</f>
        <v>0</v>
      </c>
      <c r="DH17" s="677">
        <f>DH14+DH15-(DH16*Assumptions!$C$43)</f>
        <v>0</v>
      </c>
      <c r="DI17" s="387">
        <f>DI14+DI15-(DI16*Assumptions!$C$43)</f>
        <v>0</v>
      </c>
      <c r="DJ17" s="670">
        <f>DJ14+DJ15-(DJ16*Assumptions!$C$43)</f>
        <v>0</v>
      </c>
      <c r="DK17" s="670">
        <f>DK14+DK15-(DK16*Assumptions!$C$43)</f>
        <v>0</v>
      </c>
      <c r="DL17" s="670">
        <f>DL14+DL15-(DL16*Assumptions!$C$43)</f>
        <v>0</v>
      </c>
      <c r="DM17" s="670">
        <f>DM14+DM15-(DM16*Assumptions!$C$43)</f>
        <v>0</v>
      </c>
      <c r="DN17" s="670">
        <f>DN14+DN15-(DN16*Assumptions!$C$43)</f>
        <v>0</v>
      </c>
      <c r="DO17" s="670">
        <f>DO14+DO15-(DO16*Assumptions!$C$43)</f>
        <v>0</v>
      </c>
      <c r="DP17" s="670">
        <f>DP14+DP15-(DP16*Assumptions!$C$43)</f>
        <v>0</v>
      </c>
      <c r="DQ17" s="670">
        <f>DQ14+DQ15-(DQ16*Assumptions!$C$43)</f>
        <v>0</v>
      </c>
      <c r="DR17" s="670">
        <f>DR14+DR15-(DR16*Assumptions!$C$43)</f>
        <v>0</v>
      </c>
      <c r="DS17" s="670">
        <f>DS14+DS15-(DS16*Assumptions!$C$43)</f>
        <v>0</v>
      </c>
      <c r="DT17" s="677">
        <f>DT14+DT15-(DT16*Assumptions!$C$43)</f>
        <v>0</v>
      </c>
    </row>
    <row r="18" spans="1:124" ht="18.75" hidden="1" x14ac:dyDescent="0.3">
      <c r="B18" s="159"/>
      <c r="C18" s="127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10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42"/>
      <c r="AC18" s="832"/>
      <c r="AD18" s="832"/>
      <c r="AE18" s="832"/>
      <c r="AF18" s="832"/>
      <c r="AG18" s="832"/>
      <c r="AH18" s="204"/>
      <c r="AI18" s="204"/>
      <c r="AJ18" s="204"/>
      <c r="AK18" s="204"/>
      <c r="AL18" s="204"/>
      <c r="AM18" s="204"/>
      <c r="AN18" s="73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73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73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73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73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73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73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734"/>
    </row>
    <row r="19" spans="1:124" ht="18.75" x14ac:dyDescent="0.3">
      <c r="B19" s="159" t="s">
        <v>394</v>
      </c>
      <c r="C19" s="127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10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42"/>
      <c r="AC19" s="832"/>
      <c r="AD19" s="832"/>
      <c r="AE19" s="832"/>
      <c r="AF19" s="832"/>
      <c r="AG19" s="832"/>
      <c r="AH19" s="204"/>
      <c r="AI19" s="204"/>
      <c r="AJ19" s="204"/>
      <c r="AK19" s="204"/>
      <c r="AL19" s="204"/>
      <c r="AM19" s="204"/>
      <c r="AN19" s="73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73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73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73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73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73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73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734"/>
    </row>
    <row r="20" spans="1:124" ht="15" x14ac:dyDescent="0.25">
      <c r="B20" s="160" t="s">
        <v>79</v>
      </c>
      <c r="C20" s="55"/>
      <c r="D20" s="7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97"/>
      <c r="Q20" s="721"/>
      <c r="R20" s="667"/>
      <c r="S20" s="667"/>
      <c r="T20" s="667"/>
      <c r="U20" s="667"/>
      <c r="V20" s="667"/>
      <c r="W20" s="667"/>
      <c r="X20" s="667"/>
      <c r="Y20" s="667"/>
      <c r="Z20" s="667"/>
      <c r="AA20" s="667"/>
      <c r="AB20" s="695"/>
      <c r="AC20" s="721"/>
      <c r="AD20" s="670">
        <f t="shared" ref="AD20" si="4">AC23</f>
        <v>0</v>
      </c>
      <c r="AE20" s="670">
        <f t="shared" ref="AE20" si="5">AD23</f>
        <v>0</v>
      </c>
      <c r="AF20" s="670">
        <f t="shared" ref="AF20" si="6">AE23</f>
        <v>0</v>
      </c>
      <c r="AG20" s="670">
        <f t="shared" ref="AG20" si="7">AF23</f>
        <v>0</v>
      </c>
      <c r="AH20" s="670">
        <f t="shared" ref="AH20" si="8">AG23</f>
        <v>0</v>
      </c>
      <c r="AI20" s="670">
        <f t="shared" ref="AI20" si="9">AH23</f>
        <v>0</v>
      </c>
      <c r="AJ20" s="670">
        <f t="shared" ref="AJ20" si="10">AI23</f>
        <v>0</v>
      </c>
      <c r="AK20" s="670">
        <f t="shared" ref="AK20" si="11">AJ23</f>
        <v>0</v>
      </c>
      <c r="AL20" s="670">
        <f t="shared" ref="AL20" si="12">AK23</f>
        <v>0</v>
      </c>
      <c r="AM20" s="670">
        <f t="shared" ref="AM20" si="13">AL23</f>
        <v>148.11974066837865</v>
      </c>
      <c r="AN20" s="677">
        <f t="shared" ref="AN20" si="14">AM23</f>
        <v>1485.838946139731</v>
      </c>
      <c r="AO20" s="387">
        <f t="shared" ref="AO20" si="15">AN23</f>
        <v>980.0608004837195</v>
      </c>
      <c r="AP20" s="670">
        <f t="shared" ref="AP20" si="16">AO23</f>
        <v>1969.9847171321308</v>
      </c>
      <c r="AQ20" s="670">
        <f t="shared" ref="AQ20" si="17">AP23</f>
        <v>1247.073956792934</v>
      </c>
      <c r="AR20" s="670">
        <f t="shared" ref="AR20" si="18">AQ23</f>
        <v>1433.2596418329995</v>
      </c>
      <c r="AS20" s="670">
        <f t="shared" ref="AS20" si="19">AR23</f>
        <v>36.207721153077728</v>
      </c>
      <c r="AT20" s="670">
        <f t="shared" ref="AT20" si="20">AS23</f>
        <v>2849.1963945659518</v>
      </c>
      <c r="AU20" s="670">
        <f t="shared" ref="AU20" si="21">AT23</f>
        <v>641.54672075853887</v>
      </c>
      <c r="AV20" s="670">
        <f t="shared" ref="AV20" si="22">AU23</f>
        <v>1509.7500478784641</v>
      </c>
      <c r="AW20" s="670">
        <f t="shared" ref="AW20" si="23">AV23</f>
        <v>505.73166278121789</v>
      </c>
      <c r="AX20" s="670">
        <f t="shared" ref="AX20" si="24">AW23</f>
        <v>579.17595356787933</v>
      </c>
      <c r="AY20" s="670">
        <f t="shared" ref="AY20" si="25">AX23</f>
        <v>727.29569423625799</v>
      </c>
      <c r="AZ20" s="677">
        <f t="shared" ref="AZ20" si="26">AY23</f>
        <v>2065.0148997076103</v>
      </c>
      <c r="BA20" s="387">
        <f t="shared" ref="BA20" si="27">AZ23</f>
        <v>1559.2367540515988</v>
      </c>
      <c r="BB20" s="670">
        <f t="shared" ref="BB20" si="28">BA23</f>
        <v>2549.1606707000101</v>
      </c>
      <c r="BC20" s="670">
        <f t="shared" ref="BC20" si="29">BB23</f>
        <v>1826.2499103608134</v>
      </c>
      <c r="BD20" s="670">
        <f t="shared" ref="BD20" si="30">BC23</f>
        <v>2012.4355954008788</v>
      </c>
      <c r="BE20" s="670">
        <f t="shared" ref="BE20" si="31">BD23</f>
        <v>615.38367472095706</v>
      </c>
      <c r="BF20" s="670">
        <f t="shared" ref="BF20" si="32">BE23</f>
        <v>428.37234813383111</v>
      </c>
      <c r="BG20" s="670">
        <f t="shared" ref="BG20" si="33">BF23</f>
        <v>1220.7226743264182</v>
      </c>
      <c r="BH20" s="670">
        <f t="shared" ref="BH20" si="34">BG23</f>
        <v>2088.9260014463434</v>
      </c>
      <c r="BI20" s="670">
        <f t="shared" ref="BI20" si="35">BH23</f>
        <v>1084.9076163490972</v>
      </c>
      <c r="BJ20" s="670">
        <f t="shared" ref="BJ20" si="36">BI23</f>
        <v>1158.3519071357587</v>
      </c>
      <c r="BK20" s="670">
        <f t="shared" ref="BK20" si="37">BJ23</f>
        <v>1306.4716478041373</v>
      </c>
      <c r="BL20" s="677">
        <f t="shared" ref="BL20" si="38">BK23</f>
        <v>2644.1908532754896</v>
      </c>
      <c r="BM20" s="387">
        <f t="shared" ref="BM20" si="39">BL23</f>
        <v>2138.4127076194782</v>
      </c>
      <c r="BN20" s="670">
        <f t="shared" ref="BN20" si="40">BM23</f>
        <v>128.33662426788942</v>
      </c>
      <c r="BO20" s="670">
        <f t="shared" ref="BO20" si="41">BN23</f>
        <v>2405.4258639286927</v>
      </c>
      <c r="BP20" s="670">
        <f t="shared" ref="BP20" si="42">BO23</f>
        <v>2591.6115489687581</v>
      </c>
      <c r="BQ20" s="670">
        <f t="shared" ref="BQ20" si="43">BP23</f>
        <v>1194.5596282888364</v>
      </c>
      <c r="BR20" s="670">
        <f t="shared" ref="BR20" si="44">BQ23</f>
        <v>1007.5483017017104</v>
      </c>
      <c r="BS20" s="670">
        <f t="shared" ref="BS20" si="45">BR23</f>
        <v>1799.8986278942975</v>
      </c>
      <c r="BT20" s="670">
        <f t="shared" ref="BT20" si="46">BS23</f>
        <v>2668.1019550142228</v>
      </c>
      <c r="BU20" s="670">
        <f t="shared" ref="BU20" si="47">BT23</f>
        <v>1664.0835699169766</v>
      </c>
      <c r="BV20" s="670">
        <f t="shared" ref="BV20" si="48">BU23</f>
        <v>1737.527860703638</v>
      </c>
      <c r="BW20" s="670">
        <f t="shared" ref="BW20" si="49">BV23</f>
        <v>1885.6476013720167</v>
      </c>
      <c r="BX20" s="677">
        <f t="shared" ref="BX20" si="50">BW23</f>
        <v>223.36680684336898</v>
      </c>
      <c r="BY20" s="387">
        <f t="shared" ref="BY20" si="51">BX23</f>
        <v>2717.5886611873575</v>
      </c>
      <c r="BZ20" s="670">
        <f t="shared" ref="BZ20" si="52">BY23</f>
        <v>707.51257783576875</v>
      </c>
      <c r="CA20" s="670">
        <f t="shared" ref="CA20" si="53">BZ23</f>
        <v>2984.601817496572</v>
      </c>
      <c r="CB20" s="670">
        <f t="shared" ref="CB20" si="54">CA23</f>
        <v>170.78750253663748</v>
      </c>
      <c r="CC20" s="670">
        <f t="shared" ref="CC20" si="55">CB23</f>
        <v>1773.7355818567157</v>
      </c>
      <c r="CD20" s="670">
        <f t="shared" ref="CD20" si="56">CC23</f>
        <v>1586.7242552695898</v>
      </c>
      <c r="CE20" s="670">
        <f t="shared" ref="CE20" si="57">CD23</f>
        <v>2379.0745814621769</v>
      </c>
      <c r="CF20" s="670">
        <f t="shared" ref="CF20" si="58">CE23</f>
        <v>247.2779085821021</v>
      </c>
      <c r="CG20" s="670">
        <f t="shared" ref="CG20" si="59">CF23</f>
        <v>2243.2595234848559</v>
      </c>
      <c r="CH20" s="670">
        <f t="shared" ref="CH20" si="60">CG23</f>
        <v>2316.7038142715173</v>
      </c>
      <c r="CI20" s="670">
        <f t="shared" ref="CI20" si="61">CH23</f>
        <v>2464.823554939896</v>
      </c>
      <c r="CJ20" s="677">
        <f t="shared" ref="CJ20" si="62">CI23</f>
        <v>802.54276041124831</v>
      </c>
      <c r="CK20" s="387">
        <f t="shared" ref="CK20" si="63">CJ23</f>
        <v>296.76461475523683</v>
      </c>
      <c r="CL20" s="670">
        <f t="shared" ref="CL20" si="64">CK23</f>
        <v>1286.6885314036481</v>
      </c>
      <c r="CM20" s="670">
        <f t="shared" ref="CM20" si="65">CL23</f>
        <v>563.77777106445137</v>
      </c>
      <c r="CN20" s="670">
        <f t="shared" ref="CN20" si="66">CM23</f>
        <v>749.96345610451681</v>
      </c>
      <c r="CO20" s="670">
        <f t="shared" ref="CO20" si="67">CN23</f>
        <v>2352.9115354245951</v>
      </c>
      <c r="CP20" s="670">
        <f t="shared" ref="CP20" si="68">CO23</f>
        <v>2165.9002088374691</v>
      </c>
      <c r="CQ20" s="670">
        <f t="shared" ref="CQ20" si="69">CP23</f>
        <v>2958.2505350300562</v>
      </c>
      <c r="CR20" s="670">
        <f t="shared" ref="CR20" si="70">CQ23</f>
        <v>826.45386214998143</v>
      </c>
      <c r="CS20" s="670">
        <f t="shared" ref="CS20" si="71">CR23</f>
        <v>2822.4354770527352</v>
      </c>
      <c r="CT20" s="670">
        <f t="shared" ref="CT20" si="72">CS23</f>
        <v>2895.8797678393967</v>
      </c>
      <c r="CU20" s="670">
        <f t="shared" ref="CU20" si="73">CT23</f>
        <v>43.999508507775317</v>
      </c>
      <c r="CV20" s="677">
        <f t="shared" ref="CV20" si="74">CU23</f>
        <v>1381.7187139791276</v>
      </c>
      <c r="CW20" s="387">
        <f t="shared" ref="CW20" si="75">CV23</f>
        <v>875.94056832311617</v>
      </c>
      <c r="CX20" s="670">
        <f t="shared" ref="CX20" si="76">CW23</f>
        <v>1865.8644849715274</v>
      </c>
      <c r="CY20" s="670">
        <f t="shared" ref="CY20" si="77">CX23</f>
        <v>1142.9537246323307</v>
      </c>
      <c r="CZ20" s="670">
        <f t="shared" ref="CZ20" si="78">CY23</f>
        <v>1329.1394096723961</v>
      </c>
      <c r="DA20" s="670">
        <f t="shared" ref="DA20" si="79">CZ23</f>
        <v>2932.0874889924744</v>
      </c>
      <c r="DB20" s="670">
        <f t="shared" ref="DB20" si="80">DA23</f>
        <v>2745.0761624053484</v>
      </c>
      <c r="DC20" s="670">
        <f t="shared" ref="DC20" si="81">DB23</f>
        <v>537.42648859793553</v>
      </c>
      <c r="DD20" s="670">
        <f t="shared" ref="DD20" si="82">DC23</f>
        <v>1405.6298157178608</v>
      </c>
      <c r="DE20" s="670">
        <f t="shared" ref="DE20" si="83">DD23</f>
        <v>401.61143062061456</v>
      </c>
      <c r="DF20" s="670">
        <f t="shared" ref="DF20" si="84">DE23</f>
        <v>475.055721407276</v>
      </c>
      <c r="DG20" s="670">
        <f t="shared" ref="DG20" si="85">DF23</f>
        <v>623.17546207565465</v>
      </c>
      <c r="DH20" s="677">
        <f t="shared" ref="DH20" si="86">DG23</f>
        <v>1960.894667547007</v>
      </c>
      <c r="DI20" s="387">
        <f t="shared" ref="DI20" si="87">DH23</f>
        <v>1455.1165218909955</v>
      </c>
      <c r="DJ20" s="670">
        <f t="shared" ref="DJ20" si="88">DI23</f>
        <v>2445.0404385394068</v>
      </c>
      <c r="DK20" s="670">
        <f t="shared" ref="DK20" si="89">DJ23</f>
        <v>1722.12967820021</v>
      </c>
      <c r="DL20" s="670">
        <f t="shared" ref="DL20" si="90">DK23</f>
        <v>1908.3153632402755</v>
      </c>
      <c r="DM20" s="670">
        <f t="shared" ref="DM20" si="91">DL23</f>
        <v>511.26344256035372</v>
      </c>
      <c r="DN20" s="670">
        <f t="shared" ref="DN20" si="92">DM23</f>
        <v>324.25211597322777</v>
      </c>
      <c r="DO20" s="670">
        <f t="shared" ref="DO20" si="93">DN23</f>
        <v>1116.6024421658149</v>
      </c>
      <c r="DP20" s="670">
        <f t="shared" ref="DP20" si="94">DO23</f>
        <v>1984.8057692857401</v>
      </c>
      <c r="DQ20" s="670">
        <f t="shared" ref="DQ20" si="95">DP23</f>
        <v>980.78738418849389</v>
      </c>
      <c r="DR20" s="670">
        <f t="shared" ref="DR20" si="96">DQ23</f>
        <v>1054.2316749751553</v>
      </c>
      <c r="DS20" s="670">
        <f t="shared" ref="DS20" si="97">DR23</f>
        <v>1202.351415643534</v>
      </c>
      <c r="DT20" s="677">
        <f t="shared" ref="DT20" si="98">DS23</f>
        <v>2540.0706211148863</v>
      </c>
    </row>
    <row r="21" spans="1:124" ht="15" x14ac:dyDescent="0.25">
      <c r="B21" s="160" t="s">
        <v>133</v>
      </c>
      <c r="C21" s="55"/>
      <c r="D21" s="7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97"/>
      <c r="Q21" s="721"/>
      <c r="R21" s="667"/>
      <c r="S21" s="667"/>
      <c r="T21" s="667"/>
      <c r="U21" s="667"/>
      <c r="V21" s="667"/>
      <c r="W21" s="667"/>
      <c r="X21" s="667"/>
      <c r="Y21" s="667"/>
      <c r="Z21" s="667"/>
      <c r="AA21" s="667"/>
      <c r="AB21" s="695"/>
      <c r="AC21" s="721"/>
      <c r="AD21" s="670">
        <f>SUM(AD8+AD9+AD10)*Assumptions!$G28</f>
        <v>0</v>
      </c>
      <c r="AE21" s="670">
        <f>SUM(AE8+AE9+AE10)*Assumptions!$G28</f>
        <v>0</v>
      </c>
      <c r="AF21" s="670">
        <f>SUM(AF8+AF9+AF10)*Assumptions!$G28</f>
        <v>0</v>
      </c>
      <c r="AG21" s="670">
        <f>SUM(AG8+AG9+AG10)*Assumptions!$G28</f>
        <v>0</v>
      </c>
      <c r="AH21" s="670">
        <f>SUM(AH8+AH9+AH10)*Assumptions!$G28</f>
        <v>0</v>
      </c>
      <c r="AI21" s="670">
        <f>SUM(AI8+AI9+AI10)*Assumptions!$G28</f>
        <v>0</v>
      </c>
      <c r="AJ21" s="670">
        <f>SUM(AJ8+AJ9+AJ10)*Assumptions!$G28</f>
        <v>0</v>
      </c>
      <c r="AK21" s="670">
        <f>SUM(AK8+AK9+AK10)*Assumptions!$G28</f>
        <v>0</v>
      </c>
      <c r="AL21" s="670">
        <f>SUM(AL8+AL9+AL10)*Assumptions!$G28</f>
        <v>36148.119740668379</v>
      </c>
      <c r="AM21" s="670">
        <f>SUM(AM8+AM9+AM10)*Assumptions!$G28</f>
        <v>40337.719205471352</v>
      </c>
      <c r="AN21" s="677">
        <f>SUM(AN8+AN9+AN10)*Assumptions!$G28</f>
        <v>35494.221854343989</v>
      </c>
      <c r="AO21" s="387">
        <f>SUM(AO8+AO9+AO10)*Assumptions!$G28</f>
        <v>36989.923916648411</v>
      </c>
      <c r="AP21" s="670">
        <f>SUM(AP8+AP9+AP10)*Assumptions!$G28</f>
        <v>41277.089239660803</v>
      </c>
      <c r="AQ21" s="670">
        <f>SUM(AQ8+AQ9+AQ10)*Assumptions!$G28</f>
        <v>36186.185685040065</v>
      </c>
      <c r="AR21" s="670">
        <f>SUM(AR8+AR9+AR10)*Assumptions!$G28</f>
        <v>37602.948079320078</v>
      </c>
      <c r="AS21" s="670">
        <f>SUM(AS8+AS9+AS10)*Assumptions!$G28</f>
        <v>41812.988673412874</v>
      </c>
      <c r="AT21" s="670">
        <f>SUM(AT8+AT9+AT10)*Assumptions!$G28</f>
        <v>36792.350326192587</v>
      </c>
      <c r="AU21" s="670">
        <f>SUM(AU8+AU9+AU10)*Assumptions!$G28</f>
        <v>36868.203327119925</v>
      </c>
      <c r="AV21" s="670">
        <f>SUM(AV8+AV9+AV10)*Assumptions!$G28</f>
        <v>40995.981614902754</v>
      </c>
      <c r="AW21" s="670">
        <f>SUM(AW8+AW9+AW10)*Assumptions!$G28</f>
        <v>36073.444290786661</v>
      </c>
      <c r="AX21" s="670">
        <f>SUM(AX8+AX9+AX10)*Assumptions!$G28</f>
        <v>36148.119740668379</v>
      </c>
      <c r="AY21" s="670">
        <f>SUM(AY8+AY9+AY10)*Assumptions!$G28</f>
        <v>40337.719205471352</v>
      </c>
      <c r="AZ21" s="677">
        <f>SUM(AZ8+AZ9+AZ10)*Assumptions!$G28</f>
        <v>35494.221854343989</v>
      </c>
      <c r="BA21" s="387">
        <f>SUM(BA8+BA9+BA10)*Assumptions!$G28</f>
        <v>36989.923916648411</v>
      </c>
      <c r="BB21" s="670">
        <f>SUM(BB8+BB9+BB10)*Assumptions!$G28</f>
        <v>41277.089239660803</v>
      </c>
      <c r="BC21" s="670">
        <f>SUM(BC8+BC9+BC10)*Assumptions!$G28</f>
        <v>36186.185685040065</v>
      </c>
      <c r="BD21" s="670">
        <f>SUM(BD8+BD9+BD10)*Assumptions!$G28</f>
        <v>37602.948079320078</v>
      </c>
      <c r="BE21" s="670">
        <f>SUM(BE8+BE9+BE10)*Assumptions!$G28</f>
        <v>41812.988673412874</v>
      </c>
      <c r="BF21" s="670">
        <f>SUM(BF8+BF9+BF10)*Assumptions!$G28</f>
        <v>36792.350326192587</v>
      </c>
      <c r="BG21" s="670">
        <f>SUM(BG8+BG9+BG10)*Assumptions!$G28</f>
        <v>36868.203327119925</v>
      </c>
      <c r="BH21" s="670">
        <f>SUM(BH8+BH9+BH10)*Assumptions!$G28</f>
        <v>40995.981614902754</v>
      </c>
      <c r="BI21" s="670">
        <f>SUM(BI8+BI9+BI10)*Assumptions!$G28</f>
        <v>36073.444290786661</v>
      </c>
      <c r="BJ21" s="670">
        <f>SUM(BJ8+BJ9+BJ10)*Assumptions!$G28</f>
        <v>36148.119740668379</v>
      </c>
      <c r="BK21" s="670">
        <f>SUM(BK8+BK9+BK10)*Assumptions!$G28</f>
        <v>40337.719205471352</v>
      </c>
      <c r="BL21" s="677">
        <f>SUM(BL8+BL9+BL10)*Assumptions!$G28</f>
        <v>35494.221854343989</v>
      </c>
      <c r="BM21" s="387">
        <f>SUM(BM8+BM9+BM10)*Assumptions!$G28</f>
        <v>36989.923916648411</v>
      </c>
      <c r="BN21" s="670">
        <f>SUM(BN8+BN9+BN10)*Assumptions!$G28</f>
        <v>41277.089239660803</v>
      </c>
      <c r="BO21" s="670">
        <f>SUM(BO8+BO9+BO10)*Assumptions!$G28</f>
        <v>36186.185685040065</v>
      </c>
      <c r="BP21" s="670">
        <f>SUM(BP8+BP9+BP10)*Assumptions!$G28</f>
        <v>37602.948079320078</v>
      </c>
      <c r="BQ21" s="670">
        <f>SUM(BQ8+BQ9+BQ10)*Assumptions!$G28</f>
        <v>41812.988673412874</v>
      </c>
      <c r="BR21" s="670">
        <f>SUM(BR8+BR9+BR10)*Assumptions!$G28</f>
        <v>36792.350326192587</v>
      </c>
      <c r="BS21" s="670">
        <f>SUM(BS8+BS9+BS10)*Assumptions!$G28</f>
        <v>36868.203327119925</v>
      </c>
      <c r="BT21" s="670">
        <f>SUM(BT8+BT9+BT10)*Assumptions!$G28</f>
        <v>40995.981614902754</v>
      </c>
      <c r="BU21" s="670">
        <f>SUM(BU8+BU9+BU10)*Assumptions!$G28</f>
        <v>36073.444290786661</v>
      </c>
      <c r="BV21" s="670">
        <f>SUM(BV8+BV9+BV10)*Assumptions!$G28</f>
        <v>36148.119740668379</v>
      </c>
      <c r="BW21" s="670">
        <f>SUM(BW8+BW9+BW10)*Assumptions!$G28</f>
        <v>40337.719205471352</v>
      </c>
      <c r="BX21" s="677">
        <f>SUM(BX8+BX9+BX10)*Assumptions!$G28</f>
        <v>35494.221854343989</v>
      </c>
      <c r="BY21" s="387">
        <f>SUM(BY8+BY9+BY10)*Assumptions!$G28</f>
        <v>36989.923916648411</v>
      </c>
      <c r="BZ21" s="670">
        <f>SUM(BZ8+BZ9+BZ10)*Assumptions!$G28</f>
        <v>41277.089239660803</v>
      </c>
      <c r="CA21" s="670">
        <f>SUM(CA8+CA9+CA10)*Assumptions!$G28</f>
        <v>36186.185685040065</v>
      </c>
      <c r="CB21" s="670">
        <f>SUM(CB8+CB9+CB10)*Assumptions!$G28</f>
        <v>37602.948079320078</v>
      </c>
      <c r="CC21" s="670">
        <f>SUM(CC8+CC9+CC10)*Assumptions!$G28</f>
        <v>41812.988673412874</v>
      </c>
      <c r="CD21" s="670">
        <f>SUM(CD8+CD9+CD10)*Assumptions!$G28</f>
        <v>36792.350326192587</v>
      </c>
      <c r="CE21" s="670">
        <f>SUM(CE8+CE9+CE10)*Assumptions!$G28</f>
        <v>36868.203327119925</v>
      </c>
      <c r="CF21" s="670">
        <f>SUM(CF8+CF9+CF10)*Assumptions!$G28</f>
        <v>40995.981614902754</v>
      </c>
      <c r="CG21" s="670">
        <f>SUM(CG8+CG9+CG10)*Assumptions!$G28</f>
        <v>36073.444290786661</v>
      </c>
      <c r="CH21" s="670">
        <f>SUM(CH8+CH9+CH10)*Assumptions!$G28</f>
        <v>36148.119740668379</v>
      </c>
      <c r="CI21" s="670">
        <f>SUM(CI8+CI9+CI10)*Assumptions!$G28</f>
        <v>40337.719205471352</v>
      </c>
      <c r="CJ21" s="677">
        <f>SUM(CJ8+CJ9+CJ10)*Assumptions!$G28</f>
        <v>35494.221854343989</v>
      </c>
      <c r="CK21" s="387">
        <f>SUM(CK8+CK9+CK10)*Assumptions!$G28</f>
        <v>36989.923916648411</v>
      </c>
      <c r="CL21" s="670">
        <f>SUM(CL8+CL9+CL10)*Assumptions!$G28</f>
        <v>41277.089239660803</v>
      </c>
      <c r="CM21" s="670">
        <f>SUM(CM8+CM9+CM10)*Assumptions!$G28</f>
        <v>36186.185685040065</v>
      </c>
      <c r="CN21" s="670">
        <f>SUM(CN8+CN9+CN10)*Assumptions!$G28</f>
        <v>37602.948079320078</v>
      </c>
      <c r="CO21" s="670">
        <f>SUM(CO8+CO9+CO10)*Assumptions!$G28</f>
        <v>41812.988673412874</v>
      </c>
      <c r="CP21" s="670">
        <f>SUM(CP8+CP9+CP10)*Assumptions!$G28</f>
        <v>36792.350326192587</v>
      </c>
      <c r="CQ21" s="670">
        <f>SUM(CQ8+CQ9+CQ10)*Assumptions!$G28</f>
        <v>36868.203327119925</v>
      </c>
      <c r="CR21" s="670">
        <f>SUM(CR8+CR9+CR10)*Assumptions!$G28</f>
        <v>40995.981614902754</v>
      </c>
      <c r="CS21" s="670">
        <f>SUM(CS8+CS9+CS10)*Assumptions!$G28</f>
        <v>36073.444290786661</v>
      </c>
      <c r="CT21" s="670">
        <f>SUM(CT8+CT9+CT10)*Assumptions!$G28</f>
        <v>36148.119740668379</v>
      </c>
      <c r="CU21" s="670">
        <f>SUM(CU8+CU9+CU10)*Assumptions!$G28</f>
        <v>40337.719205471352</v>
      </c>
      <c r="CV21" s="677">
        <f>SUM(CV8+CV9+CV10)*Assumptions!$G28</f>
        <v>35494.221854343989</v>
      </c>
      <c r="CW21" s="387">
        <f>SUM(CW8+CW9+CW10)*Assumptions!$G28</f>
        <v>36989.923916648411</v>
      </c>
      <c r="CX21" s="670">
        <f>SUM(CX8+CX9+CX10)*Assumptions!$G28</f>
        <v>41277.089239660803</v>
      </c>
      <c r="CY21" s="670">
        <f>SUM(CY8+CY9+CY10)*Assumptions!$G28</f>
        <v>36186.185685040065</v>
      </c>
      <c r="CZ21" s="670">
        <f>SUM(CZ8+CZ9+CZ10)*Assumptions!$G28</f>
        <v>37602.948079320078</v>
      </c>
      <c r="DA21" s="670">
        <f>SUM(DA8+DA9+DA10)*Assumptions!$G28</f>
        <v>41812.988673412874</v>
      </c>
      <c r="DB21" s="670">
        <f>SUM(DB8+DB9+DB10)*Assumptions!$G28</f>
        <v>36792.350326192587</v>
      </c>
      <c r="DC21" s="670">
        <f>SUM(DC8+DC9+DC10)*Assumptions!$G28</f>
        <v>36868.203327119925</v>
      </c>
      <c r="DD21" s="670">
        <f>SUM(DD8+DD9+DD10)*Assumptions!$G28</f>
        <v>40995.981614902754</v>
      </c>
      <c r="DE21" s="670">
        <f>SUM(DE8+DE9+DE10)*Assumptions!$G28</f>
        <v>36073.444290786661</v>
      </c>
      <c r="DF21" s="670">
        <f>SUM(DF8+DF9+DF10)*Assumptions!$G28</f>
        <v>36148.119740668379</v>
      </c>
      <c r="DG21" s="670">
        <f>SUM(DG8+DG9+DG10)*Assumptions!$G28</f>
        <v>40337.719205471352</v>
      </c>
      <c r="DH21" s="677">
        <f>SUM(DH8+DH9+DH10)*Assumptions!$G28</f>
        <v>35494.221854343989</v>
      </c>
      <c r="DI21" s="387">
        <f>SUM(DI8+DI9+DI10)*Assumptions!$G28</f>
        <v>36989.923916648411</v>
      </c>
      <c r="DJ21" s="670">
        <f>SUM(DJ8+DJ9+DJ10)*Assumptions!$G28</f>
        <v>41277.089239660803</v>
      </c>
      <c r="DK21" s="670">
        <f>SUM(DK8+DK9+DK10)*Assumptions!$G28</f>
        <v>36186.185685040065</v>
      </c>
      <c r="DL21" s="670">
        <f>SUM(DL8+DL9+DL10)*Assumptions!$G28</f>
        <v>37602.948079320078</v>
      </c>
      <c r="DM21" s="670">
        <f>SUM(DM8+DM9+DM10)*Assumptions!$G28</f>
        <v>41812.988673412874</v>
      </c>
      <c r="DN21" s="670">
        <f>SUM(DN8+DN9+DN10)*Assumptions!$G28</f>
        <v>36792.350326192587</v>
      </c>
      <c r="DO21" s="670">
        <f>SUM(DO8+DO9+DO10)*Assumptions!$G28</f>
        <v>36868.203327119925</v>
      </c>
      <c r="DP21" s="670">
        <f>SUM(DP8+DP9+DP10)*Assumptions!$G28</f>
        <v>40995.981614902754</v>
      </c>
      <c r="DQ21" s="670">
        <f>SUM(DQ8+DQ9+DQ10)*Assumptions!$G28</f>
        <v>36073.444290786661</v>
      </c>
      <c r="DR21" s="670">
        <f>SUM(DR8+DR9+DR10)*Assumptions!$G28</f>
        <v>36148.119740668379</v>
      </c>
      <c r="DS21" s="670">
        <f>SUM(DS8+DS9+DS10)*Assumptions!$G28</f>
        <v>40337.719205471352</v>
      </c>
      <c r="DT21" s="677">
        <f>SUM(DT8+DT9+DT10)*Assumptions!$G28</f>
        <v>35494.221854343989</v>
      </c>
    </row>
    <row r="22" spans="1:124" ht="15" x14ac:dyDescent="0.25">
      <c r="B22" s="160" t="s">
        <v>730</v>
      </c>
      <c r="C22" s="55"/>
      <c r="D22" s="7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97"/>
      <c r="Q22" s="721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95"/>
      <c r="AC22" s="721"/>
      <c r="AD22" s="670">
        <f>ROUNDDOWN((AD20+AD21)/Assumptions!$C43,0)</f>
        <v>0</v>
      </c>
      <c r="AE22" s="670">
        <f>ROUNDDOWN((AE20+AE21)/Assumptions!$C43,0)</f>
        <v>0</v>
      </c>
      <c r="AF22" s="670">
        <f>ROUNDDOWN((AF20+AF21)/Assumptions!$C43,0)</f>
        <v>0</v>
      </c>
      <c r="AG22" s="670">
        <f>ROUNDDOWN((AG20+AG21)/Assumptions!$C43,0)</f>
        <v>0</v>
      </c>
      <c r="AH22" s="670">
        <f>ROUNDDOWN((AH20+AH21)/Assumptions!$C43,0)</f>
        <v>0</v>
      </c>
      <c r="AI22" s="670">
        <f>ROUNDDOWN((AI20+AI21)/Assumptions!$C43,0)</f>
        <v>0</v>
      </c>
      <c r="AJ22" s="670">
        <f>ROUNDDOWN((AJ20+AJ21)/Assumptions!$C43,0)</f>
        <v>0</v>
      </c>
      <c r="AK22" s="670">
        <f>ROUNDDOWN((AK20+AK21)/Assumptions!$C43,0)</f>
        <v>0</v>
      </c>
      <c r="AL22" s="670">
        <f>ROUNDDOWN((AL20+AL21)/Assumptions!$C43,0)</f>
        <v>12</v>
      </c>
      <c r="AM22" s="670">
        <f>ROUNDDOWN((AM20+AM21)/Assumptions!$C43,0)</f>
        <v>13</v>
      </c>
      <c r="AN22" s="677">
        <f>ROUNDDOWN((AN20+AN21)/Assumptions!$C43,0)</f>
        <v>12</v>
      </c>
      <c r="AO22" s="387">
        <f>ROUNDDOWN((AO20+AO21)/Assumptions!$C43,0)</f>
        <v>12</v>
      </c>
      <c r="AP22" s="670">
        <f>ROUNDDOWN((AP20+AP21)/Assumptions!$C43,0)</f>
        <v>14</v>
      </c>
      <c r="AQ22" s="670">
        <f>ROUNDDOWN((AQ20+AQ21)/Assumptions!$C43,0)</f>
        <v>12</v>
      </c>
      <c r="AR22" s="670">
        <f>ROUNDDOWN((AR20+AR21)/Assumptions!$C43,0)</f>
        <v>13</v>
      </c>
      <c r="AS22" s="670">
        <f>ROUNDDOWN((AS20+AS21)/Assumptions!$C43,0)</f>
        <v>13</v>
      </c>
      <c r="AT22" s="670">
        <f>ROUNDDOWN((AT20+AT21)/Assumptions!$C43,0)</f>
        <v>13</v>
      </c>
      <c r="AU22" s="670">
        <f>ROUNDDOWN((AU20+AU21)/Assumptions!$C43,0)</f>
        <v>12</v>
      </c>
      <c r="AV22" s="670">
        <f>ROUNDDOWN((AV20+AV21)/Assumptions!$C43,0)</f>
        <v>14</v>
      </c>
      <c r="AW22" s="670">
        <f>ROUNDDOWN((AW20+AW21)/Assumptions!$C43,0)</f>
        <v>12</v>
      </c>
      <c r="AX22" s="670">
        <f>ROUNDDOWN((AX20+AX21)/Assumptions!$C43,0)</f>
        <v>12</v>
      </c>
      <c r="AY22" s="670">
        <f>ROUNDDOWN((AY20+AY21)/Assumptions!$C43,0)</f>
        <v>13</v>
      </c>
      <c r="AZ22" s="677">
        <f>ROUNDDOWN((AZ20+AZ21)/Assumptions!$C43,0)</f>
        <v>12</v>
      </c>
      <c r="BA22" s="387">
        <f>ROUNDDOWN((BA20+BA21)/Assumptions!$C43,0)</f>
        <v>12</v>
      </c>
      <c r="BB22" s="670">
        <f>ROUNDDOWN((BB20+BB21)/Assumptions!$C43,0)</f>
        <v>14</v>
      </c>
      <c r="BC22" s="670">
        <f>ROUNDDOWN((BC20+BC21)/Assumptions!$C43,0)</f>
        <v>12</v>
      </c>
      <c r="BD22" s="670">
        <f>ROUNDDOWN((BD20+BD21)/Assumptions!$C43,0)</f>
        <v>13</v>
      </c>
      <c r="BE22" s="670">
        <f>ROUNDDOWN((BE20+BE21)/Assumptions!$C43,0)</f>
        <v>14</v>
      </c>
      <c r="BF22" s="670">
        <f>ROUNDDOWN((BF20+BF21)/Assumptions!$C43,0)</f>
        <v>12</v>
      </c>
      <c r="BG22" s="670">
        <f>ROUNDDOWN((BG20+BG21)/Assumptions!$C43,0)</f>
        <v>12</v>
      </c>
      <c r="BH22" s="670">
        <f>ROUNDDOWN((BH20+BH21)/Assumptions!$C43,0)</f>
        <v>14</v>
      </c>
      <c r="BI22" s="670">
        <f>ROUNDDOWN((BI20+BI21)/Assumptions!$C43,0)</f>
        <v>12</v>
      </c>
      <c r="BJ22" s="670">
        <f>ROUNDDOWN((BJ20+BJ21)/Assumptions!$C43,0)</f>
        <v>12</v>
      </c>
      <c r="BK22" s="670">
        <f>ROUNDDOWN((BK20+BK21)/Assumptions!$C43,0)</f>
        <v>13</v>
      </c>
      <c r="BL22" s="677">
        <f>ROUNDDOWN((BL20+BL21)/Assumptions!$C43,0)</f>
        <v>12</v>
      </c>
      <c r="BM22" s="387">
        <f>ROUNDDOWN((BM20+BM21)/Assumptions!$C43,0)</f>
        <v>13</v>
      </c>
      <c r="BN22" s="670">
        <f>ROUNDDOWN((BN20+BN21)/Assumptions!$C43,0)</f>
        <v>13</v>
      </c>
      <c r="BO22" s="670">
        <f>ROUNDDOWN((BO20+BO21)/Assumptions!$C43,0)</f>
        <v>12</v>
      </c>
      <c r="BP22" s="670">
        <f>ROUNDDOWN((BP20+BP21)/Assumptions!$C43,0)</f>
        <v>13</v>
      </c>
      <c r="BQ22" s="670">
        <f>ROUNDDOWN((BQ20+BQ21)/Assumptions!$C43,0)</f>
        <v>14</v>
      </c>
      <c r="BR22" s="670">
        <f>ROUNDDOWN((BR20+BR21)/Assumptions!$C43,0)</f>
        <v>12</v>
      </c>
      <c r="BS22" s="670">
        <f>ROUNDDOWN((BS20+BS21)/Assumptions!$C43,0)</f>
        <v>12</v>
      </c>
      <c r="BT22" s="670">
        <f>ROUNDDOWN((BT20+BT21)/Assumptions!$C43,0)</f>
        <v>14</v>
      </c>
      <c r="BU22" s="670">
        <f>ROUNDDOWN((BU20+BU21)/Assumptions!$C43,0)</f>
        <v>12</v>
      </c>
      <c r="BV22" s="670">
        <f>ROUNDDOWN((BV20+BV21)/Assumptions!$C43,0)</f>
        <v>12</v>
      </c>
      <c r="BW22" s="670">
        <f>ROUNDDOWN((BW20+BW21)/Assumptions!$C43,0)</f>
        <v>14</v>
      </c>
      <c r="BX22" s="677">
        <f>ROUNDDOWN((BX20+BX21)/Assumptions!$C43,0)</f>
        <v>11</v>
      </c>
      <c r="BY22" s="387">
        <f>ROUNDDOWN((BY20+BY21)/Assumptions!$C43,0)</f>
        <v>13</v>
      </c>
      <c r="BZ22" s="670">
        <f>ROUNDDOWN((BZ20+BZ21)/Assumptions!$C43,0)</f>
        <v>13</v>
      </c>
      <c r="CA22" s="670">
        <f>ROUNDDOWN((CA20+CA21)/Assumptions!$C43,0)</f>
        <v>13</v>
      </c>
      <c r="CB22" s="670">
        <f>ROUNDDOWN((CB20+CB21)/Assumptions!$C43,0)</f>
        <v>12</v>
      </c>
      <c r="CC22" s="670">
        <f>ROUNDDOWN((CC20+CC21)/Assumptions!$C43,0)</f>
        <v>14</v>
      </c>
      <c r="CD22" s="670">
        <f>ROUNDDOWN((CD20+CD21)/Assumptions!$C43,0)</f>
        <v>12</v>
      </c>
      <c r="CE22" s="670">
        <f>ROUNDDOWN((CE20+CE21)/Assumptions!$C43,0)</f>
        <v>13</v>
      </c>
      <c r="CF22" s="670">
        <f>ROUNDDOWN((CF20+CF21)/Assumptions!$C43,0)</f>
        <v>13</v>
      </c>
      <c r="CG22" s="670">
        <f>ROUNDDOWN((CG20+CG21)/Assumptions!$C43,0)</f>
        <v>12</v>
      </c>
      <c r="CH22" s="670">
        <f>ROUNDDOWN((CH20+CH21)/Assumptions!$C43,0)</f>
        <v>12</v>
      </c>
      <c r="CI22" s="670">
        <f>ROUNDDOWN((CI20+CI21)/Assumptions!$C43,0)</f>
        <v>14</v>
      </c>
      <c r="CJ22" s="677">
        <f>ROUNDDOWN((CJ20+CJ21)/Assumptions!$C43,0)</f>
        <v>12</v>
      </c>
      <c r="CK22" s="387">
        <f>ROUNDDOWN((CK20+CK21)/Assumptions!$C43,0)</f>
        <v>12</v>
      </c>
      <c r="CL22" s="670">
        <f>ROUNDDOWN((CL20+CL21)/Assumptions!$C43,0)</f>
        <v>14</v>
      </c>
      <c r="CM22" s="670">
        <f>ROUNDDOWN((CM20+CM21)/Assumptions!$C43,0)</f>
        <v>12</v>
      </c>
      <c r="CN22" s="670">
        <f>ROUNDDOWN((CN20+CN21)/Assumptions!$C43,0)</f>
        <v>12</v>
      </c>
      <c r="CO22" s="670">
        <f>ROUNDDOWN((CO20+CO21)/Assumptions!$C43,0)</f>
        <v>14</v>
      </c>
      <c r="CP22" s="670">
        <f>ROUNDDOWN((CP20+CP21)/Assumptions!$C43,0)</f>
        <v>12</v>
      </c>
      <c r="CQ22" s="670">
        <f>ROUNDDOWN((CQ20+CQ21)/Assumptions!$C43,0)</f>
        <v>13</v>
      </c>
      <c r="CR22" s="670">
        <f>ROUNDDOWN((CR20+CR21)/Assumptions!$C43,0)</f>
        <v>13</v>
      </c>
      <c r="CS22" s="670">
        <f>ROUNDDOWN((CS20+CS21)/Assumptions!$C43,0)</f>
        <v>12</v>
      </c>
      <c r="CT22" s="670">
        <f>ROUNDDOWN((CT20+CT21)/Assumptions!$C43,0)</f>
        <v>13</v>
      </c>
      <c r="CU22" s="670">
        <f>ROUNDDOWN((CU20+CU21)/Assumptions!$C43,0)</f>
        <v>13</v>
      </c>
      <c r="CV22" s="677">
        <f>ROUNDDOWN((CV20+CV21)/Assumptions!$C43,0)</f>
        <v>12</v>
      </c>
      <c r="CW22" s="387">
        <f>ROUNDDOWN((CW20+CW21)/Assumptions!$C43,0)</f>
        <v>12</v>
      </c>
      <c r="CX22" s="670">
        <f>ROUNDDOWN((CX20+CX21)/Assumptions!$C43,0)</f>
        <v>14</v>
      </c>
      <c r="CY22" s="670">
        <f>ROUNDDOWN((CY20+CY21)/Assumptions!$C43,0)</f>
        <v>12</v>
      </c>
      <c r="CZ22" s="670">
        <f>ROUNDDOWN((CZ20+CZ21)/Assumptions!$C43,0)</f>
        <v>12</v>
      </c>
      <c r="DA22" s="670">
        <f>ROUNDDOWN((DA20+DA21)/Assumptions!$C43,0)</f>
        <v>14</v>
      </c>
      <c r="DB22" s="670">
        <f>ROUNDDOWN((DB20+DB21)/Assumptions!$C43,0)</f>
        <v>13</v>
      </c>
      <c r="DC22" s="670">
        <f>ROUNDDOWN((DC20+DC21)/Assumptions!$C43,0)</f>
        <v>12</v>
      </c>
      <c r="DD22" s="670">
        <f>ROUNDDOWN((DD20+DD21)/Assumptions!$C43,0)</f>
        <v>14</v>
      </c>
      <c r="DE22" s="670">
        <f>ROUNDDOWN((DE20+DE21)/Assumptions!$C43,0)</f>
        <v>12</v>
      </c>
      <c r="DF22" s="670">
        <f>ROUNDDOWN((DF20+DF21)/Assumptions!$C43,0)</f>
        <v>12</v>
      </c>
      <c r="DG22" s="670">
        <f>ROUNDDOWN((DG20+DG21)/Assumptions!$C43,0)</f>
        <v>13</v>
      </c>
      <c r="DH22" s="677">
        <f>ROUNDDOWN((DH20+DH21)/Assumptions!$C43,0)</f>
        <v>12</v>
      </c>
      <c r="DI22" s="387">
        <f>ROUNDDOWN((DI20+DI21)/Assumptions!$C43,0)</f>
        <v>12</v>
      </c>
      <c r="DJ22" s="670">
        <f>ROUNDDOWN((DJ20+DJ21)/Assumptions!$C43,0)</f>
        <v>14</v>
      </c>
      <c r="DK22" s="670">
        <f>ROUNDDOWN((DK20+DK21)/Assumptions!$C43,0)</f>
        <v>12</v>
      </c>
      <c r="DL22" s="670">
        <f>ROUNDDOWN((DL20+DL21)/Assumptions!$C43,0)</f>
        <v>13</v>
      </c>
      <c r="DM22" s="670">
        <f>ROUNDDOWN((DM20+DM21)/Assumptions!$C43,0)</f>
        <v>14</v>
      </c>
      <c r="DN22" s="670">
        <f>ROUNDDOWN((DN20+DN21)/Assumptions!$C43,0)</f>
        <v>12</v>
      </c>
      <c r="DO22" s="670">
        <f>ROUNDDOWN((DO20+DO21)/Assumptions!$C43,0)</f>
        <v>12</v>
      </c>
      <c r="DP22" s="670">
        <f>ROUNDDOWN((DP20+DP21)/Assumptions!$C43,0)</f>
        <v>14</v>
      </c>
      <c r="DQ22" s="670">
        <f>ROUNDDOWN((DQ20+DQ21)/Assumptions!$C43,0)</f>
        <v>12</v>
      </c>
      <c r="DR22" s="670">
        <f>ROUNDDOWN((DR20+DR21)/Assumptions!$C43,0)</f>
        <v>12</v>
      </c>
      <c r="DS22" s="670">
        <f>ROUNDDOWN((DS20+DS21)/Assumptions!$C43,0)</f>
        <v>13</v>
      </c>
      <c r="DT22" s="677">
        <f>ROUNDDOWN((DT20+DT21)/Assumptions!$C43,0)</f>
        <v>12</v>
      </c>
    </row>
    <row r="23" spans="1:124" ht="15" x14ac:dyDescent="0.25">
      <c r="B23" s="160" t="s">
        <v>80</v>
      </c>
      <c r="C23" s="55"/>
      <c r="D23" s="7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97"/>
      <c r="Q23" s="721"/>
      <c r="R23" s="667"/>
      <c r="S23" s="667"/>
      <c r="T23" s="667"/>
      <c r="U23" s="667"/>
      <c r="V23" s="667"/>
      <c r="W23" s="667"/>
      <c r="X23" s="667"/>
      <c r="Y23" s="667"/>
      <c r="Z23" s="667"/>
      <c r="AA23" s="667"/>
      <c r="AB23" s="695"/>
      <c r="AC23" s="721"/>
      <c r="AD23" s="670">
        <f>AD20+AD21-(AD22*Assumptions!$C$43)</f>
        <v>0</v>
      </c>
      <c r="AE23" s="670">
        <f>AE20+AE21-(AE22*Assumptions!$C$43)</f>
        <v>0</v>
      </c>
      <c r="AF23" s="670">
        <f>AF20+AF21-(AF22*Assumptions!$C$43)</f>
        <v>0</v>
      </c>
      <c r="AG23" s="670">
        <f>AG20+AG21-(AG22*Assumptions!$C$43)</f>
        <v>0</v>
      </c>
      <c r="AH23" s="670">
        <f>AH20+AH21-(AH22*Assumptions!$C$43)</f>
        <v>0</v>
      </c>
      <c r="AI23" s="670">
        <f>AI20+AI21-(AI22*Assumptions!$C$43)</f>
        <v>0</v>
      </c>
      <c r="AJ23" s="670">
        <f>AJ20+AJ21-(AJ22*Assumptions!$C$43)</f>
        <v>0</v>
      </c>
      <c r="AK23" s="670">
        <f>AK20+AK21-(AK22*Assumptions!$C$43)</f>
        <v>0</v>
      </c>
      <c r="AL23" s="670">
        <f>AL20+AL21-(AL22*Assumptions!$C$43)</f>
        <v>148.11974066837865</v>
      </c>
      <c r="AM23" s="670">
        <f>AM20+AM21-(AM22*Assumptions!$C$43)</f>
        <v>1485.838946139731</v>
      </c>
      <c r="AN23" s="677">
        <f>AN20+AN21-(AN22*Assumptions!$C$43)</f>
        <v>980.0608004837195</v>
      </c>
      <c r="AO23" s="387">
        <f>AO20+AO21-(AO22*Assumptions!$C$43)</f>
        <v>1969.9847171321308</v>
      </c>
      <c r="AP23" s="670">
        <f>AP20+AP21-(AP22*Assumptions!$C$43)</f>
        <v>1247.073956792934</v>
      </c>
      <c r="AQ23" s="670">
        <f>AQ20+AQ21-(AQ22*Assumptions!$C$43)</f>
        <v>1433.2596418329995</v>
      </c>
      <c r="AR23" s="670">
        <f>AR20+AR21-(AR22*Assumptions!$C$43)</f>
        <v>36.207721153077728</v>
      </c>
      <c r="AS23" s="670">
        <f>AS20+AS21-(AS22*Assumptions!$C$43)</f>
        <v>2849.1963945659518</v>
      </c>
      <c r="AT23" s="670">
        <f>AT20+AT21-(AT22*Assumptions!$C$43)</f>
        <v>641.54672075853887</v>
      </c>
      <c r="AU23" s="670">
        <f>AU20+AU21-(AU22*Assumptions!$C$43)</f>
        <v>1509.7500478784641</v>
      </c>
      <c r="AV23" s="670">
        <f>AV20+AV21-(AV22*Assumptions!$C$43)</f>
        <v>505.73166278121789</v>
      </c>
      <c r="AW23" s="670">
        <f>AW20+AW21-(AW22*Assumptions!$C$43)</f>
        <v>579.17595356787933</v>
      </c>
      <c r="AX23" s="670">
        <f>AX20+AX21-(AX22*Assumptions!$C$43)</f>
        <v>727.29569423625799</v>
      </c>
      <c r="AY23" s="670">
        <f>AY20+AY21-(AY22*Assumptions!$C$43)</f>
        <v>2065.0148997076103</v>
      </c>
      <c r="AZ23" s="677">
        <f>AZ20+AZ21-(AZ22*Assumptions!$C$43)</f>
        <v>1559.2367540515988</v>
      </c>
      <c r="BA23" s="387">
        <f>BA20+BA21-(BA22*Assumptions!$C$43)</f>
        <v>2549.1606707000101</v>
      </c>
      <c r="BB23" s="670">
        <f>BB20+BB21-(BB22*Assumptions!$C$43)</f>
        <v>1826.2499103608134</v>
      </c>
      <c r="BC23" s="670">
        <f>BC20+BC21-(BC22*Assumptions!$C$43)</f>
        <v>2012.4355954008788</v>
      </c>
      <c r="BD23" s="670">
        <f>BD20+BD21-(BD22*Assumptions!$C$43)</f>
        <v>615.38367472095706</v>
      </c>
      <c r="BE23" s="670">
        <f>BE20+BE21-(BE22*Assumptions!$C$43)</f>
        <v>428.37234813383111</v>
      </c>
      <c r="BF23" s="670">
        <f>BF20+BF21-(BF22*Assumptions!$C$43)</f>
        <v>1220.7226743264182</v>
      </c>
      <c r="BG23" s="670">
        <f>BG20+BG21-(BG22*Assumptions!$C$43)</f>
        <v>2088.9260014463434</v>
      </c>
      <c r="BH23" s="670">
        <f>BH20+BH21-(BH22*Assumptions!$C$43)</f>
        <v>1084.9076163490972</v>
      </c>
      <c r="BI23" s="670">
        <f>BI20+BI21-(BI22*Assumptions!$C$43)</f>
        <v>1158.3519071357587</v>
      </c>
      <c r="BJ23" s="670">
        <f>BJ20+BJ21-(BJ22*Assumptions!$C$43)</f>
        <v>1306.4716478041373</v>
      </c>
      <c r="BK23" s="670">
        <f>BK20+BK21-(BK22*Assumptions!$C$43)</f>
        <v>2644.1908532754896</v>
      </c>
      <c r="BL23" s="677">
        <f>BL20+BL21-(BL22*Assumptions!$C$43)</f>
        <v>2138.4127076194782</v>
      </c>
      <c r="BM23" s="387">
        <f>BM20+BM21-(BM22*Assumptions!$C$43)</f>
        <v>128.33662426788942</v>
      </c>
      <c r="BN23" s="670">
        <f>BN20+BN21-(BN22*Assumptions!$C$43)</f>
        <v>2405.4258639286927</v>
      </c>
      <c r="BO23" s="670">
        <f>BO20+BO21-(BO22*Assumptions!$C$43)</f>
        <v>2591.6115489687581</v>
      </c>
      <c r="BP23" s="670">
        <f>BP20+BP21-(BP22*Assumptions!$C$43)</f>
        <v>1194.5596282888364</v>
      </c>
      <c r="BQ23" s="670">
        <f>BQ20+BQ21-(BQ22*Assumptions!$C$43)</f>
        <v>1007.5483017017104</v>
      </c>
      <c r="BR23" s="670">
        <f>BR20+BR21-(BR22*Assumptions!$C$43)</f>
        <v>1799.8986278942975</v>
      </c>
      <c r="BS23" s="670">
        <f>BS20+BS21-(BS22*Assumptions!$C$43)</f>
        <v>2668.1019550142228</v>
      </c>
      <c r="BT23" s="670">
        <f>BT20+BT21-(BT22*Assumptions!$C$43)</f>
        <v>1664.0835699169766</v>
      </c>
      <c r="BU23" s="670">
        <f>BU20+BU21-(BU22*Assumptions!$C$43)</f>
        <v>1737.527860703638</v>
      </c>
      <c r="BV23" s="670">
        <f>BV20+BV21-(BV22*Assumptions!$C$43)</f>
        <v>1885.6476013720167</v>
      </c>
      <c r="BW23" s="670">
        <f>BW20+BW21-(BW22*Assumptions!$C$43)</f>
        <v>223.36680684336898</v>
      </c>
      <c r="BX23" s="677">
        <f>BX20+BX21-(BX22*Assumptions!$C$43)</f>
        <v>2717.5886611873575</v>
      </c>
      <c r="BY23" s="387">
        <f>BY20+BY21-(BY22*Assumptions!$C$43)</f>
        <v>707.51257783576875</v>
      </c>
      <c r="BZ23" s="670">
        <f>BZ20+BZ21-(BZ22*Assumptions!$C$43)</f>
        <v>2984.601817496572</v>
      </c>
      <c r="CA23" s="670">
        <f>CA20+CA21-(CA22*Assumptions!$C$43)</f>
        <v>170.78750253663748</v>
      </c>
      <c r="CB23" s="670">
        <f>CB20+CB21-(CB22*Assumptions!$C$43)</f>
        <v>1773.7355818567157</v>
      </c>
      <c r="CC23" s="670">
        <f>CC20+CC21-(CC22*Assumptions!$C$43)</f>
        <v>1586.7242552695898</v>
      </c>
      <c r="CD23" s="670">
        <f>CD20+CD21-(CD22*Assumptions!$C$43)</f>
        <v>2379.0745814621769</v>
      </c>
      <c r="CE23" s="670">
        <f>CE20+CE21-(CE22*Assumptions!$C$43)</f>
        <v>247.2779085821021</v>
      </c>
      <c r="CF23" s="670">
        <f>CF20+CF21-(CF22*Assumptions!$C$43)</f>
        <v>2243.2595234848559</v>
      </c>
      <c r="CG23" s="670">
        <f>CG20+CG21-(CG22*Assumptions!$C$43)</f>
        <v>2316.7038142715173</v>
      </c>
      <c r="CH23" s="670">
        <f>CH20+CH21-(CH22*Assumptions!$C$43)</f>
        <v>2464.823554939896</v>
      </c>
      <c r="CI23" s="670">
        <f>CI20+CI21-(CI22*Assumptions!$C$43)</f>
        <v>802.54276041124831</v>
      </c>
      <c r="CJ23" s="677">
        <f>CJ20+CJ21-(CJ22*Assumptions!$C$43)</f>
        <v>296.76461475523683</v>
      </c>
      <c r="CK23" s="387">
        <f>CK20+CK21-(CK22*Assumptions!$C$43)</f>
        <v>1286.6885314036481</v>
      </c>
      <c r="CL23" s="670">
        <f>CL20+CL21-(CL22*Assumptions!$C$43)</f>
        <v>563.77777106445137</v>
      </c>
      <c r="CM23" s="670">
        <f>CM20+CM21-(CM22*Assumptions!$C$43)</f>
        <v>749.96345610451681</v>
      </c>
      <c r="CN23" s="670">
        <f>CN20+CN21-(CN22*Assumptions!$C$43)</f>
        <v>2352.9115354245951</v>
      </c>
      <c r="CO23" s="670">
        <f>CO20+CO21-(CO22*Assumptions!$C$43)</f>
        <v>2165.9002088374691</v>
      </c>
      <c r="CP23" s="670">
        <f>CP20+CP21-(CP22*Assumptions!$C$43)</f>
        <v>2958.2505350300562</v>
      </c>
      <c r="CQ23" s="670">
        <f>CQ20+CQ21-(CQ22*Assumptions!$C$43)</f>
        <v>826.45386214998143</v>
      </c>
      <c r="CR23" s="670">
        <f>CR20+CR21-(CR22*Assumptions!$C$43)</f>
        <v>2822.4354770527352</v>
      </c>
      <c r="CS23" s="670">
        <f>CS20+CS21-(CS22*Assumptions!$C$43)</f>
        <v>2895.8797678393967</v>
      </c>
      <c r="CT23" s="670">
        <f>CT20+CT21-(CT22*Assumptions!$C$43)</f>
        <v>43.999508507775317</v>
      </c>
      <c r="CU23" s="670">
        <f>CU20+CU21-(CU22*Assumptions!$C$43)</f>
        <v>1381.7187139791276</v>
      </c>
      <c r="CV23" s="677">
        <f>CV20+CV21-(CV22*Assumptions!$C$43)</f>
        <v>875.94056832311617</v>
      </c>
      <c r="CW23" s="387">
        <f>CW20+CW21-(CW22*Assumptions!$C$43)</f>
        <v>1865.8644849715274</v>
      </c>
      <c r="CX23" s="670">
        <f>CX20+CX21-(CX22*Assumptions!$C$43)</f>
        <v>1142.9537246323307</v>
      </c>
      <c r="CY23" s="670">
        <f>CY20+CY21-(CY22*Assumptions!$C$43)</f>
        <v>1329.1394096723961</v>
      </c>
      <c r="CZ23" s="670">
        <f>CZ20+CZ21-(CZ22*Assumptions!$C$43)</f>
        <v>2932.0874889924744</v>
      </c>
      <c r="DA23" s="670">
        <f>DA20+DA21-(DA22*Assumptions!$C$43)</f>
        <v>2745.0761624053484</v>
      </c>
      <c r="DB23" s="670">
        <f>DB20+DB21-(DB22*Assumptions!$C$43)</f>
        <v>537.42648859793553</v>
      </c>
      <c r="DC23" s="670">
        <f>DC20+DC21-(DC22*Assumptions!$C$43)</f>
        <v>1405.6298157178608</v>
      </c>
      <c r="DD23" s="670">
        <f>DD20+DD21-(DD22*Assumptions!$C$43)</f>
        <v>401.61143062061456</v>
      </c>
      <c r="DE23" s="670">
        <f>DE20+DE21-(DE22*Assumptions!$C$43)</f>
        <v>475.055721407276</v>
      </c>
      <c r="DF23" s="670">
        <f>DF20+DF21-(DF22*Assumptions!$C$43)</f>
        <v>623.17546207565465</v>
      </c>
      <c r="DG23" s="670">
        <f>DG20+DG21-(DG22*Assumptions!$C$43)</f>
        <v>1960.894667547007</v>
      </c>
      <c r="DH23" s="677">
        <f>DH20+DH21-(DH22*Assumptions!$C$43)</f>
        <v>1455.1165218909955</v>
      </c>
      <c r="DI23" s="387">
        <f>DI20+DI21-(DI22*Assumptions!$C$43)</f>
        <v>2445.0404385394068</v>
      </c>
      <c r="DJ23" s="670">
        <f>DJ20+DJ21-(DJ22*Assumptions!$C$43)</f>
        <v>1722.12967820021</v>
      </c>
      <c r="DK23" s="670">
        <f>DK20+DK21-(DK22*Assumptions!$C$43)</f>
        <v>1908.3153632402755</v>
      </c>
      <c r="DL23" s="670">
        <f>DL20+DL21-(DL22*Assumptions!$C$43)</f>
        <v>511.26344256035372</v>
      </c>
      <c r="DM23" s="670">
        <f>DM20+DM21-(DM22*Assumptions!$C$43)</f>
        <v>324.25211597322777</v>
      </c>
      <c r="DN23" s="670">
        <f>DN20+DN21-(DN22*Assumptions!$C$43)</f>
        <v>1116.6024421658149</v>
      </c>
      <c r="DO23" s="670">
        <f>DO20+DO21-(DO22*Assumptions!$C$43)</f>
        <v>1984.8057692857401</v>
      </c>
      <c r="DP23" s="670">
        <f>DP20+DP21-(DP22*Assumptions!$C$43)</f>
        <v>980.78738418849389</v>
      </c>
      <c r="DQ23" s="670">
        <f>DQ20+DQ21-(DQ22*Assumptions!$C$43)</f>
        <v>1054.2316749751553</v>
      </c>
      <c r="DR23" s="670">
        <f>DR20+DR21-(DR22*Assumptions!$C$43)</f>
        <v>1202.351415643534</v>
      </c>
      <c r="DS23" s="670">
        <f>DS20+DS21-(DS22*Assumptions!$C$43)</f>
        <v>2540.0706211148863</v>
      </c>
      <c r="DT23" s="677">
        <f>DT20+DT21-(DT22*Assumptions!$C$43)</f>
        <v>2034.2924754588748</v>
      </c>
    </row>
    <row r="24" spans="1:124" x14ac:dyDescent="0.2">
      <c r="A24" s="508"/>
      <c r="B24" s="873"/>
      <c r="C24" s="508"/>
      <c r="D24" s="702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5"/>
      <c r="Q24" s="871"/>
      <c r="R24" s="871"/>
      <c r="S24" s="871"/>
      <c r="T24" s="871"/>
      <c r="U24" s="871"/>
      <c r="V24" s="871"/>
      <c r="W24" s="871"/>
      <c r="X24" s="871"/>
      <c r="Y24" s="871"/>
      <c r="Z24" s="871"/>
      <c r="AA24" s="871"/>
      <c r="AB24" s="872"/>
      <c r="AC24" s="871"/>
      <c r="AD24" s="871"/>
      <c r="AE24" s="871"/>
      <c r="AF24" s="871"/>
      <c r="AG24" s="871"/>
      <c r="AH24" s="871"/>
      <c r="AI24" s="871"/>
      <c r="AJ24" s="871"/>
      <c r="AK24" s="871"/>
      <c r="AL24" s="871"/>
      <c r="AM24" s="871"/>
      <c r="AN24" s="872"/>
      <c r="AO24" s="871"/>
      <c r="AP24" s="871"/>
      <c r="AQ24" s="871"/>
      <c r="AR24" s="871"/>
      <c r="AS24" s="871"/>
      <c r="AT24" s="871"/>
      <c r="AU24" s="871"/>
      <c r="AV24" s="871"/>
      <c r="AW24" s="871"/>
      <c r="AX24" s="871"/>
      <c r="AY24" s="871"/>
      <c r="AZ24" s="872"/>
      <c r="BA24" s="871"/>
      <c r="BB24" s="871"/>
      <c r="BC24" s="871"/>
      <c r="BD24" s="871"/>
      <c r="BE24" s="871"/>
      <c r="BF24" s="871"/>
      <c r="BG24" s="871"/>
      <c r="BH24" s="871"/>
      <c r="BI24" s="871"/>
      <c r="BJ24" s="871"/>
      <c r="BK24" s="871"/>
      <c r="BL24" s="872"/>
      <c r="BM24" s="871"/>
      <c r="BN24" s="871"/>
      <c r="BO24" s="871"/>
      <c r="BP24" s="871"/>
      <c r="BQ24" s="871"/>
      <c r="BR24" s="871"/>
      <c r="BS24" s="871"/>
      <c r="BT24" s="871"/>
      <c r="BU24" s="871"/>
      <c r="BV24" s="871"/>
      <c r="BW24" s="871"/>
      <c r="BX24" s="872"/>
      <c r="BY24" s="871"/>
      <c r="BZ24" s="871"/>
      <c r="CA24" s="871"/>
      <c r="CB24" s="871"/>
      <c r="CC24" s="871"/>
      <c r="CD24" s="871"/>
      <c r="CE24" s="871"/>
      <c r="CF24" s="871"/>
      <c r="CG24" s="871"/>
      <c r="CH24" s="871"/>
      <c r="CI24" s="871"/>
      <c r="CJ24" s="872"/>
      <c r="CK24" s="871"/>
      <c r="CL24" s="871"/>
      <c r="CM24" s="871"/>
      <c r="CN24" s="871"/>
      <c r="CO24" s="871"/>
      <c r="CP24" s="871"/>
      <c r="CQ24" s="871"/>
      <c r="CR24" s="871"/>
      <c r="CS24" s="871"/>
      <c r="CT24" s="871"/>
      <c r="CU24" s="871"/>
      <c r="CV24" s="872"/>
      <c r="CW24" s="871"/>
      <c r="CX24" s="871"/>
      <c r="CY24" s="871"/>
      <c r="CZ24" s="871"/>
      <c r="DA24" s="871"/>
      <c r="DB24" s="871"/>
      <c r="DC24" s="871"/>
      <c r="DD24" s="871"/>
      <c r="DE24" s="871"/>
      <c r="DF24" s="871"/>
      <c r="DG24" s="871"/>
      <c r="DH24" s="872"/>
      <c r="DI24" s="871"/>
      <c r="DJ24" s="871"/>
      <c r="DK24" s="871"/>
      <c r="DL24" s="871"/>
      <c r="DM24" s="871"/>
      <c r="DN24" s="871"/>
      <c r="DO24" s="871"/>
      <c r="DP24" s="871"/>
      <c r="DQ24" s="871"/>
      <c r="DR24" s="871"/>
      <c r="DS24" s="871"/>
      <c r="DT24" s="872"/>
    </row>
    <row r="25" spans="1:124" ht="18.75" hidden="1" x14ac:dyDescent="0.3">
      <c r="B25" s="159" t="s">
        <v>395</v>
      </c>
      <c r="C25" s="127"/>
      <c r="E25" s="708"/>
      <c r="F25" s="708"/>
      <c r="G25" s="708"/>
      <c r="H25" s="708"/>
      <c r="I25" s="708"/>
      <c r="J25" s="708"/>
      <c r="K25" s="708"/>
      <c r="L25" s="708"/>
      <c r="M25" s="708"/>
      <c r="N25" s="708"/>
      <c r="O25" s="708"/>
      <c r="P25" s="71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507"/>
      <c r="AC25" s="3"/>
      <c r="AD25" s="3"/>
      <c r="AE25" s="3"/>
      <c r="AF25" s="3"/>
      <c r="AG25" s="3"/>
      <c r="AH25" s="204"/>
      <c r="AI25" s="204"/>
      <c r="AJ25" s="204"/>
      <c r="AK25" s="204"/>
      <c r="AL25" s="204"/>
      <c r="AM25" s="204"/>
      <c r="AN25" s="73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73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73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73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73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73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73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734"/>
    </row>
    <row r="26" spans="1:124" ht="15" hidden="1" x14ac:dyDescent="0.25">
      <c r="B26" s="160" t="s">
        <v>79</v>
      </c>
      <c r="C26" s="55"/>
      <c r="D26" s="7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97"/>
      <c r="Q26" s="721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108"/>
      <c r="AC26" s="107"/>
      <c r="AD26" s="106"/>
      <c r="AE26" s="106"/>
      <c r="AF26" s="106"/>
      <c r="AG26" s="106"/>
      <c r="AH26" s="670">
        <v>0</v>
      </c>
      <c r="AI26" s="670">
        <f>AH29</f>
        <v>0</v>
      </c>
      <c r="AJ26" s="670">
        <f t="shared" ref="AJ26:CU26" si="99">AI29</f>
        <v>0</v>
      </c>
      <c r="AK26" s="670">
        <f t="shared" si="99"/>
        <v>0</v>
      </c>
      <c r="AL26" s="670">
        <f t="shared" si="99"/>
        <v>0</v>
      </c>
      <c r="AM26" s="670">
        <f t="shared" si="99"/>
        <v>0</v>
      </c>
      <c r="AN26" s="677">
        <f t="shared" si="99"/>
        <v>0</v>
      </c>
      <c r="AO26" s="387">
        <f t="shared" si="99"/>
        <v>0</v>
      </c>
      <c r="AP26" s="670">
        <f t="shared" si="99"/>
        <v>0</v>
      </c>
      <c r="AQ26" s="670">
        <f t="shared" si="99"/>
        <v>0</v>
      </c>
      <c r="AR26" s="670">
        <f t="shared" si="99"/>
        <v>0</v>
      </c>
      <c r="AS26" s="670">
        <f t="shared" si="99"/>
        <v>0</v>
      </c>
      <c r="AT26" s="670">
        <f t="shared" si="99"/>
        <v>0</v>
      </c>
      <c r="AU26" s="670">
        <f t="shared" si="99"/>
        <v>0</v>
      </c>
      <c r="AV26" s="670">
        <f t="shared" si="99"/>
        <v>0</v>
      </c>
      <c r="AW26" s="670">
        <f t="shared" si="99"/>
        <v>0</v>
      </c>
      <c r="AX26" s="670">
        <f t="shared" si="99"/>
        <v>0</v>
      </c>
      <c r="AY26" s="670">
        <f t="shared" si="99"/>
        <v>0</v>
      </c>
      <c r="AZ26" s="677">
        <f t="shared" si="99"/>
        <v>0</v>
      </c>
      <c r="BA26" s="387">
        <f t="shared" si="99"/>
        <v>0</v>
      </c>
      <c r="BB26" s="670">
        <f t="shared" si="99"/>
        <v>0</v>
      </c>
      <c r="BC26" s="670">
        <f t="shared" si="99"/>
        <v>0</v>
      </c>
      <c r="BD26" s="670">
        <f t="shared" si="99"/>
        <v>0</v>
      </c>
      <c r="BE26" s="670">
        <f t="shared" si="99"/>
        <v>0</v>
      </c>
      <c r="BF26" s="670">
        <f t="shared" si="99"/>
        <v>0</v>
      </c>
      <c r="BG26" s="670">
        <f t="shared" si="99"/>
        <v>0</v>
      </c>
      <c r="BH26" s="670">
        <f t="shared" si="99"/>
        <v>0</v>
      </c>
      <c r="BI26" s="670">
        <f t="shared" si="99"/>
        <v>0</v>
      </c>
      <c r="BJ26" s="670">
        <f t="shared" si="99"/>
        <v>0</v>
      </c>
      <c r="BK26" s="670">
        <f t="shared" si="99"/>
        <v>0</v>
      </c>
      <c r="BL26" s="677">
        <f t="shared" si="99"/>
        <v>0</v>
      </c>
      <c r="BM26" s="387">
        <f t="shared" si="99"/>
        <v>0</v>
      </c>
      <c r="BN26" s="670">
        <f t="shared" si="99"/>
        <v>0</v>
      </c>
      <c r="BO26" s="670">
        <f t="shared" si="99"/>
        <v>0</v>
      </c>
      <c r="BP26" s="670">
        <f t="shared" si="99"/>
        <v>0</v>
      </c>
      <c r="BQ26" s="670">
        <f t="shared" si="99"/>
        <v>0</v>
      </c>
      <c r="BR26" s="670">
        <f t="shared" si="99"/>
        <v>0</v>
      </c>
      <c r="BS26" s="670">
        <f t="shared" si="99"/>
        <v>0</v>
      </c>
      <c r="BT26" s="670">
        <f t="shared" si="99"/>
        <v>0</v>
      </c>
      <c r="BU26" s="670">
        <f t="shared" si="99"/>
        <v>0</v>
      </c>
      <c r="BV26" s="670">
        <f t="shared" si="99"/>
        <v>0</v>
      </c>
      <c r="BW26" s="670">
        <f t="shared" si="99"/>
        <v>0</v>
      </c>
      <c r="BX26" s="677">
        <f t="shared" si="99"/>
        <v>0</v>
      </c>
      <c r="BY26" s="387">
        <f t="shared" si="99"/>
        <v>0</v>
      </c>
      <c r="BZ26" s="670">
        <f t="shared" si="99"/>
        <v>0</v>
      </c>
      <c r="CA26" s="670">
        <f t="shared" si="99"/>
        <v>0</v>
      </c>
      <c r="CB26" s="670">
        <f t="shared" si="99"/>
        <v>0</v>
      </c>
      <c r="CC26" s="670">
        <f t="shared" si="99"/>
        <v>0</v>
      </c>
      <c r="CD26" s="670">
        <f t="shared" si="99"/>
        <v>0</v>
      </c>
      <c r="CE26" s="670">
        <f t="shared" si="99"/>
        <v>0</v>
      </c>
      <c r="CF26" s="670">
        <f t="shared" si="99"/>
        <v>0</v>
      </c>
      <c r="CG26" s="670">
        <f t="shared" si="99"/>
        <v>0</v>
      </c>
      <c r="CH26" s="670">
        <f t="shared" si="99"/>
        <v>0</v>
      </c>
      <c r="CI26" s="670">
        <f t="shared" si="99"/>
        <v>0</v>
      </c>
      <c r="CJ26" s="677">
        <f t="shared" si="99"/>
        <v>0</v>
      </c>
      <c r="CK26" s="387">
        <f t="shared" si="99"/>
        <v>0</v>
      </c>
      <c r="CL26" s="670">
        <f t="shared" si="99"/>
        <v>0</v>
      </c>
      <c r="CM26" s="670">
        <f t="shared" si="99"/>
        <v>0</v>
      </c>
      <c r="CN26" s="670">
        <f t="shared" si="99"/>
        <v>0</v>
      </c>
      <c r="CO26" s="670">
        <f t="shared" si="99"/>
        <v>0</v>
      </c>
      <c r="CP26" s="670">
        <f t="shared" si="99"/>
        <v>0</v>
      </c>
      <c r="CQ26" s="670">
        <f t="shared" si="99"/>
        <v>0</v>
      </c>
      <c r="CR26" s="670">
        <f t="shared" si="99"/>
        <v>0</v>
      </c>
      <c r="CS26" s="670">
        <f t="shared" si="99"/>
        <v>0</v>
      </c>
      <c r="CT26" s="670">
        <f t="shared" si="99"/>
        <v>0</v>
      </c>
      <c r="CU26" s="670">
        <f t="shared" si="99"/>
        <v>0</v>
      </c>
      <c r="CV26" s="677">
        <f t="shared" ref="CV26:DT26" si="100">CU29</f>
        <v>0</v>
      </c>
      <c r="CW26" s="387">
        <f t="shared" si="100"/>
        <v>0</v>
      </c>
      <c r="CX26" s="670">
        <f t="shared" si="100"/>
        <v>0</v>
      </c>
      <c r="CY26" s="670">
        <f t="shared" si="100"/>
        <v>0</v>
      </c>
      <c r="CZ26" s="670">
        <f t="shared" si="100"/>
        <v>0</v>
      </c>
      <c r="DA26" s="670">
        <f t="shared" si="100"/>
        <v>0</v>
      </c>
      <c r="DB26" s="670">
        <f t="shared" si="100"/>
        <v>0</v>
      </c>
      <c r="DC26" s="670">
        <f t="shared" si="100"/>
        <v>0</v>
      </c>
      <c r="DD26" s="670">
        <f t="shared" si="100"/>
        <v>0</v>
      </c>
      <c r="DE26" s="670">
        <f t="shared" si="100"/>
        <v>0</v>
      </c>
      <c r="DF26" s="670">
        <f t="shared" si="100"/>
        <v>0</v>
      </c>
      <c r="DG26" s="670">
        <f t="shared" si="100"/>
        <v>0</v>
      </c>
      <c r="DH26" s="677">
        <f t="shared" si="100"/>
        <v>0</v>
      </c>
      <c r="DI26" s="387">
        <f t="shared" si="100"/>
        <v>0</v>
      </c>
      <c r="DJ26" s="670">
        <f t="shared" si="100"/>
        <v>0</v>
      </c>
      <c r="DK26" s="670">
        <f t="shared" si="100"/>
        <v>0</v>
      </c>
      <c r="DL26" s="670">
        <f t="shared" si="100"/>
        <v>0</v>
      </c>
      <c r="DM26" s="670">
        <f t="shared" si="100"/>
        <v>0</v>
      </c>
      <c r="DN26" s="670">
        <f t="shared" si="100"/>
        <v>0</v>
      </c>
      <c r="DO26" s="670">
        <f t="shared" si="100"/>
        <v>0</v>
      </c>
      <c r="DP26" s="670">
        <f t="shared" si="100"/>
        <v>0</v>
      </c>
      <c r="DQ26" s="670">
        <f t="shared" si="100"/>
        <v>0</v>
      </c>
      <c r="DR26" s="670">
        <f t="shared" si="100"/>
        <v>0</v>
      </c>
      <c r="DS26" s="670">
        <f t="shared" si="100"/>
        <v>0</v>
      </c>
      <c r="DT26" s="677">
        <f t="shared" si="100"/>
        <v>0</v>
      </c>
    </row>
    <row r="27" spans="1:124" ht="15" hidden="1" x14ac:dyDescent="0.25">
      <c r="B27" s="160" t="s">
        <v>133</v>
      </c>
      <c r="C27" s="55"/>
      <c r="D27" s="7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97"/>
      <c r="Q27" s="38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108"/>
      <c r="AC27" s="387"/>
      <c r="AD27" s="106"/>
      <c r="AE27" s="106"/>
      <c r="AF27" s="106"/>
      <c r="AG27" s="106"/>
      <c r="AH27" s="670">
        <f>SUM(AH8+AH9+AH10)*Assumptions!$G29</f>
        <v>0</v>
      </c>
      <c r="AI27" s="670">
        <f>SUM(AI8+AI9+AI10)*Assumptions!$G29</f>
        <v>0</v>
      </c>
      <c r="AJ27" s="670">
        <f>SUM(AJ8+AJ9+AJ10)*Assumptions!$G29</f>
        <v>0</v>
      </c>
      <c r="AK27" s="670">
        <f>SUM(AK8+AK9+AK10)*Assumptions!$G29</f>
        <v>0</v>
      </c>
      <c r="AL27" s="670">
        <f>SUM(AL8+AL9+AL10)*Assumptions!$G29</f>
        <v>0</v>
      </c>
      <c r="AM27" s="670">
        <f>SUM(AM8+AM9+AM10)*Assumptions!$G29</f>
        <v>0</v>
      </c>
      <c r="AN27" s="677">
        <f>SUM(AN8+AN9+AN10)*Assumptions!$G29</f>
        <v>0</v>
      </c>
      <c r="AO27" s="387">
        <f>SUM(AO8+AO9+AO10)*Assumptions!$G29</f>
        <v>0</v>
      </c>
      <c r="AP27" s="670">
        <f>SUM(AP8+AP9+AP10)*Assumptions!$G29</f>
        <v>0</v>
      </c>
      <c r="AQ27" s="670">
        <f>SUM(AQ8+AQ9+AQ10)*Assumptions!$G29</f>
        <v>0</v>
      </c>
      <c r="AR27" s="670">
        <f>SUM(AR8+AR9+AR10)*Assumptions!$G29</f>
        <v>0</v>
      </c>
      <c r="AS27" s="670">
        <f>SUM(AS8+AS9+AS10)*Assumptions!$G29</f>
        <v>0</v>
      </c>
      <c r="AT27" s="670">
        <f>SUM(AT8+AT9+AT10)*Assumptions!$G29</f>
        <v>0</v>
      </c>
      <c r="AU27" s="670">
        <f>SUM(AU8+AU9+AU10)*Assumptions!$G29</f>
        <v>0</v>
      </c>
      <c r="AV27" s="670">
        <f>SUM(AV8+AV9+AV10)*Assumptions!$G29</f>
        <v>0</v>
      </c>
      <c r="AW27" s="670">
        <f>SUM(AW8+AW9+AW10)*Assumptions!$G29</f>
        <v>0</v>
      </c>
      <c r="AX27" s="670">
        <f>SUM(AX8+AX9+AX10)*Assumptions!$G29</f>
        <v>0</v>
      </c>
      <c r="AY27" s="670">
        <f>SUM(AY8+AY9+AY10)*Assumptions!$G29</f>
        <v>0</v>
      </c>
      <c r="AZ27" s="677">
        <f>SUM(AZ8+AZ9+AZ10)*Assumptions!$G29</f>
        <v>0</v>
      </c>
      <c r="BA27" s="387">
        <f>SUM(BA8+BA9+BA10)*Assumptions!$G29</f>
        <v>0</v>
      </c>
      <c r="BB27" s="670">
        <f>SUM(BB8+BB9+BB10)*Assumptions!$G29</f>
        <v>0</v>
      </c>
      <c r="BC27" s="670">
        <f>SUM(BC8+BC9+BC10)*Assumptions!$G29</f>
        <v>0</v>
      </c>
      <c r="BD27" s="670">
        <f>SUM(BD8+BD9+BD10)*Assumptions!$G29</f>
        <v>0</v>
      </c>
      <c r="BE27" s="670">
        <f>SUM(BE8+BE9+BE10)*Assumptions!$G29</f>
        <v>0</v>
      </c>
      <c r="BF27" s="670">
        <f>SUM(BF8+BF9+BF10)*Assumptions!$G29</f>
        <v>0</v>
      </c>
      <c r="BG27" s="670">
        <f>SUM(BG8+BG9+BG10)*Assumptions!$G29</f>
        <v>0</v>
      </c>
      <c r="BH27" s="670">
        <f>SUM(BH8+BH9+BH10)*Assumptions!$G29</f>
        <v>0</v>
      </c>
      <c r="BI27" s="670">
        <f>SUM(BI8+BI9+BI10)*Assumptions!$G29</f>
        <v>0</v>
      </c>
      <c r="BJ27" s="670">
        <f>SUM(BJ8+BJ9+BJ10)*Assumptions!$G29</f>
        <v>0</v>
      </c>
      <c r="BK27" s="670">
        <f>SUM(BK8+BK9+BK10)*Assumptions!$G29</f>
        <v>0</v>
      </c>
      <c r="BL27" s="677">
        <f>SUM(BL8+BL9+BL10)*Assumptions!$G29</f>
        <v>0</v>
      </c>
      <c r="BM27" s="387">
        <f>SUM(BM8+BM9+BM10)*Assumptions!$G29</f>
        <v>0</v>
      </c>
      <c r="BN27" s="670">
        <f>SUM(BN8+BN9+BN10)*Assumptions!$G29</f>
        <v>0</v>
      </c>
      <c r="BO27" s="670">
        <f>SUM(BO8+BO9+BO10)*Assumptions!$G29</f>
        <v>0</v>
      </c>
      <c r="BP27" s="670">
        <f>SUM(BP8+BP9+BP10)*Assumptions!$G29</f>
        <v>0</v>
      </c>
      <c r="BQ27" s="670">
        <f>SUM(BQ8+BQ9+BQ10)*Assumptions!$G29</f>
        <v>0</v>
      </c>
      <c r="BR27" s="670">
        <f>SUM(BR8+BR9+BR10)*Assumptions!$G29</f>
        <v>0</v>
      </c>
      <c r="BS27" s="670">
        <f>SUM(BS8+BS9+BS10)*Assumptions!$G29</f>
        <v>0</v>
      </c>
      <c r="BT27" s="670">
        <f>SUM(BT8+BT9+BT10)*Assumptions!$G29</f>
        <v>0</v>
      </c>
      <c r="BU27" s="670">
        <f>SUM(BU8+BU9+BU10)*Assumptions!$G29</f>
        <v>0</v>
      </c>
      <c r="BV27" s="670">
        <f>SUM(BV8+BV9+BV10)*Assumptions!$G29</f>
        <v>0</v>
      </c>
      <c r="BW27" s="670">
        <f>SUM(BW8+BW9+BW10)*Assumptions!$G29</f>
        <v>0</v>
      </c>
      <c r="BX27" s="677">
        <f>SUM(BX8+BX9+BX10)*Assumptions!$G29</f>
        <v>0</v>
      </c>
      <c r="BY27" s="387">
        <f>SUM(BY8+BY9+BY10)*Assumptions!$G29</f>
        <v>0</v>
      </c>
      <c r="BZ27" s="670">
        <f>SUM(BZ8+BZ9+BZ10)*Assumptions!$G29</f>
        <v>0</v>
      </c>
      <c r="CA27" s="670">
        <f>SUM(CA8+CA9+CA10)*Assumptions!$G29</f>
        <v>0</v>
      </c>
      <c r="CB27" s="670">
        <f>SUM(CB8+CB9+CB10)*Assumptions!$G29</f>
        <v>0</v>
      </c>
      <c r="CC27" s="670">
        <f>SUM(CC8+CC9+CC10)*Assumptions!$G29</f>
        <v>0</v>
      </c>
      <c r="CD27" s="670">
        <f>SUM(CD8+CD9+CD10)*Assumptions!$G29</f>
        <v>0</v>
      </c>
      <c r="CE27" s="670">
        <f>SUM(CE8+CE9+CE10)*Assumptions!$G29</f>
        <v>0</v>
      </c>
      <c r="CF27" s="670">
        <f>SUM(CF8+CF9+CF10)*Assumptions!$G29</f>
        <v>0</v>
      </c>
      <c r="CG27" s="670">
        <f>SUM(CG8+CG9+CG10)*Assumptions!$G29</f>
        <v>0</v>
      </c>
      <c r="CH27" s="670">
        <f>SUM(CH8+CH9+CH10)*Assumptions!$G29</f>
        <v>0</v>
      </c>
      <c r="CI27" s="670">
        <f>SUM(CI8+CI9+CI10)*Assumptions!$G29</f>
        <v>0</v>
      </c>
      <c r="CJ27" s="677">
        <f>SUM(CJ8+CJ9+CJ10)*Assumptions!$G29</f>
        <v>0</v>
      </c>
      <c r="CK27" s="387">
        <f>SUM(CK8+CK9+CK10)*Assumptions!$G29</f>
        <v>0</v>
      </c>
      <c r="CL27" s="670">
        <f>SUM(CL8+CL9+CL10)*Assumptions!$G29</f>
        <v>0</v>
      </c>
      <c r="CM27" s="670">
        <f>SUM(CM8+CM9+CM10)*Assumptions!$G29</f>
        <v>0</v>
      </c>
      <c r="CN27" s="670">
        <f>SUM(CN8+CN9+CN10)*Assumptions!$G29</f>
        <v>0</v>
      </c>
      <c r="CO27" s="670">
        <f>SUM(CO8+CO9+CO10)*Assumptions!$G29</f>
        <v>0</v>
      </c>
      <c r="CP27" s="670">
        <f>SUM(CP8+CP9+CP10)*Assumptions!$G29</f>
        <v>0</v>
      </c>
      <c r="CQ27" s="670">
        <f>SUM(CQ8+CQ9+CQ10)*Assumptions!$G29</f>
        <v>0</v>
      </c>
      <c r="CR27" s="670">
        <f>SUM(CR8+CR9+CR10)*Assumptions!$G29</f>
        <v>0</v>
      </c>
      <c r="CS27" s="670">
        <f>SUM(CS8+CS9+CS10)*Assumptions!$G29</f>
        <v>0</v>
      </c>
      <c r="CT27" s="670">
        <f>SUM(CT8+CT9+CT10)*Assumptions!$G29</f>
        <v>0</v>
      </c>
      <c r="CU27" s="670">
        <f>SUM(CU8+CU9+CU10)*Assumptions!$G29</f>
        <v>0</v>
      </c>
      <c r="CV27" s="677">
        <f>SUM(CV8+CV9+CV10)*Assumptions!$G29</f>
        <v>0</v>
      </c>
      <c r="CW27" s="387">
        <f>SUM(CW8+CW9+CW10)*Assumptions!$G29</f>
        <v>0</v>
      </c>
      <c r="CX27" s="670">
        <f>SUM(CX8+CX9+CX10)*Assumptions!$G29</f>
        <v>0</v>
      </c>
      <c r="CY27" s="670">
        <f>SUM(CY8+CY9+CY10)*Assumptions!$G29</f>
        <v>0</v>
      </c>
      <c r="CZ27" s="670">
        <f>SUM(CZ8+CZ9+CZ10)*Assumptions!$G29</f>
        <v>0</v>
      </c>
      <c r="DA27" s="670">
        <f>SUM(DA8+DA9+DA10)*Assumptions!$G29</f>
        <v>0</v>
      </c>
      <c r="DB27" s="670">
        <f>SUM(DB8+DB9+DB10)*Assumptions!$G29</f>
        <v>0</v>
      </c>
      <c r="DC27" s="670">
        <f>SUM(DC8+DC9+DC10)*Assumptions!$G29</f>
        <v>0</v>
      </c>
      <c r="DD27" s="670">
        <f>SUM(DD8+DD9+DD10)*Assumptions!$G29</f>
        <v>0</v>
      </c>
      <c r="DE27" s="670">
        <f>SUM(DE8+DE9+DE10)*Assumptions!$G29</f>
        <v>0</v>
      </c>
      <c r="DF27" s="670">
        <f>SUM(DF8+DF9+DF10)*Assumptions!$G29</f>
        <v>0</v>
      </c>
      <c r="DG27" s="670">
        <f>SUM(DG8+DG9+DG10)*Assumptions!$G29</f>
        <v>0</v>
      </c>
      <c r="DH27" s="677">
        <f>SUM(DH8+DH9+DH10)*Assumptions!$G29</f>
        <v>0</v>
      </c>
      <c r="DI27" s="387">
        <f>SUM(DI8+DI9+DI10)*Assumptions!$G29</f>
        <v>0</v>
      </c>
      <c r="DJ27" s="670">
        <f>SUM(DJ8+DJ9+DJ10)*Assumptions!$G29</f>
        <v>0</v>
      </c>
      <c r="DK27" s="670">
        <f>SUM(DK8+DK9+DK10)*Assumptions!$G29</f>
        <v>0</v>
      </c>
      <c r="DL27" s="670">
        <f>SUM(DL8+DL9+DL10)*Assumptions!$G29</f>
        <v>0</v>
      </c>
      <c r="DM27" s="670">
        <f>SUM(DM8+DM9+DM10)*Assumptions!$G29</f>
        <v>0</v>
      </c>
      <c r="DN27" s="670">
        <f>SUM(DN8+DN9+DN10)*Assumptions!$G29</f>
        <v>0</v>
      </c>
      <c r="DO27" s="670">
        <f>SUM(DO8+DO9+DO10)*Assumptions!$G29</f>
        <v>0</v>
      </c>
      <c r="DP27" s="670">
        <f>SUM(DP8+DP9+DP10)*Assumptions!$G29</f>
        <v>0</v>
      </c>
      <c r="DQ27" s="670">
        <f>SUM(DQ8+DQ9+DQ10)*Assumptions!$G29</f>
        <v>0</v>
      </c>
      <c r="DR27" s="670">
        <f>SUM(DR8+DR9+DR10)*Assumptions!$G29</f>
        <v>0</v>
      </c>
      <c r="DS27" s="670">
        <f>SUM(DS8+DS9+DS10)*Assumptions!$G29</f>
        <v>0</v>
      </c>
      <c r="DT27" s="677">
        <f>SUM(DT8+DT9+DT10)*Assumptions!$G29</f>
        <v>0</v>
      </c>
    </row>
    <row r="28" spans="1:124" ht="15" hidden="1" x14ac:dyDescent="0.25">
      <c r="B28" s="160" t="s">
        <v>160</v>
      </c>
      <c r="C28" s="55"/>
      <c r="D28" s="7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97"/>
      <c r="Q28" s="107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108"/>
      <c r="AC28" s="107"/>
      <c r="AD28" s="106"/>
      <c r="AE28" s="106"/>
      <c r="AF28" s="106"/>
      <c r="AG28" s="106"/>
      <c r="AH28" s="670">
        <f>ROUNDDOWN((AH26+AH27)/Assumptions!$C44,0)</f>
        <v>0</v>
      </c>
      <c r="AI28" s="670">
        <f>ROUNDDOWN((AI26+AI27)/Assumptions!$C44,0)</f>
        <v>0</v>
      </c>
      <c r="AJ28" s="670">
        <f>ROUNDDOWN((AJ26+AJ27)/Assumptions!$C44,0)</f>
        <v>0</v>
      </c>
      <c r="AK28" s="670">
        <f>ROUNDDOWN((AK26+AK27)/Assumptions!$C44,0)</f>
        <v>0</v>
      </c>
      <c r="AL28" s="670">
        <f>ROUNDDOWN((AL26+AL27)/Assumptions!$C44,0)</f>
        <v>0</v>
      </c>
      <c r="AM28" s="670">
        <f>ROUNDDOWN((AM26+AM27)/Assumptions!$C44,0)</f>
        <v>0</v>
      </c>
      <c r="AN28" s="677">
        <f>ROUNDDOWN((AN26+AN27)/Assumptions!$C44,0)</f>
        <v>0</v>
      </c>
      <c r="AO28" s="387">
        <f>ROUNDDOWN((AO26+AO27)/Assumptions!$C44,0)</f>
        <v>0</v>
      </c>
      <c r="AP28" s="670">
        <f>ROUNDDOWN((AP26+AP27)/Assumptions!$C44,0)</f>
        <v>0</v>
      </c>
      <c r="AQ28" s="670">
        <f>ROUNDDOWN((AQ26+AQ27)/Assumptions!$C44,0)</f>
        <v>0</v>
      </c>
      <c r="AR28" s="670">
        <f>ROUNDDOWN((AR26+AR27)/Assumptions!$C44,0)</f>
        <v>0</v>
      </c>
      <c r="AS28" s="670">
        <f>ROUNDDOWN((AS26+AS27)/Assumptions!$C44,0)</f>
        <v>0</v>
      </c>
      <c r="AT28" s="670">
        <f>ROUNDDOWN((AT26+AT27)/Assumptions!$C44,0)</f>
        <v>0</v>
      </c>
      <c r="AU28" s="670">
        <f>ROUNDDOWN((AU26+AU27)/Assumptions!$C44,0)</f>
        <v>0</v>
      </c>
      <c r="AV28" s="670">
        <f>ROUNDDOWN((AV26+AV27)/Assumptions!$C44,0)</f>
        <v>0</v>
      </c>
      <c r="AW28" s="670">
        <f>ROUNDDOWN((AW26+AW27)/Assumptions!$C44,0)</f>
        <v>0</v>
      </c>
      <c r="AX28" s="670">
        <f>ROUNDDOWN((AX26+AX27)/Assumptions!$C44,0)</f>
        <v>0</v>
      </c>
      <c r="AY28" s="670">
        <f>ROUNDDOWN((AY26+AY27)/Assumptions!$C44,0)</f>
        <v>0</v>
      </c>
      <c r="AZ28" s="677">
        <f>ROUNDDOWN((AZ26+AZ27)/Assumptions!$C44,0)</f>
        <v>0</v>
      </c>
      <c r="BA28" s="387">
        <f>ROUNDDOWN((BA26+BA27)/Assumptions!$C44,0)</f>
        <v>0</v>
      </c>
      <c r="BB28" s="670">
        <f>ROUNDDOWN((BB26+BB27)/Assumptions!$C44,0)</f>
        <v>0</v>
      </c>
      <c r="BC28" s="670">
        <f>ROUNDDOWN((BC26+BC27)/Assumptions!$C44,0)</f>
        <v>0</v>
      </c>
      <c r="BD28" s="670">
        <f>ROUNDDOWN((BD26+BD27)/Assumptions!$C44,0)</f>
        <v>0</v>
      </c>
      <c r="BE28" s="670">
        <f>ROUNDDOWN((BE26+BE27)/Assumptions!$C44,0)</f>
        <v>0</v>
      </c>
      <c r="BF28" s="670">
        <f>ROUNDDOWN((BF26+BF27)/Assumptions!$C44,0)</f>
        <v>0</v>
      </c>
      <c r="BG28" s="670">
        <f>ROUNDDOWN((BG26+BG27)/Assumptions!$C44,0)</f>
        <v>0</v>
      </c>
      <c r="BH28" s="670">
        <f>ROUNDDOWN((BH26+BH27)/Assumptions!$C44,0)</f>
        <v>0</v>
      </c>
      <c r="BI28" s="670">
        <f>ROUNDDOWN((BI26+BI27)/Assumptions!$C44,0)</f>
        <v>0</v>
      </c>
      <c r="BJ28" s="670">
        <f>ROUNDDOWN((BJ26+BJ27)/Assumptions!$C44,0)</f>
        <v>0</v>
      </c>
      <c r="BK28" s="670">
        <f>ROUNDDOWN((BK26+BK27)/Assumptions!$C44,0)</f>
        <v>0</v>
      </c>
      <c r="BL28" s="677">
        <f>ROUNDDOWN((BL26+BL27)/Assumptions!$C44,0)</f>
        <v>0</v>
      </c>
      <c r="BM28" s="387">
        <f>ROUNDDOWN((BM26+BM27)/Assumptions!$C44,0)</f>
        <v>0</v>
      </c>
      <c r="BN28" s="670">
        <f>ROUNDDOWN((BN26+BN27)/Assumptions!$C44,0)</f>
        <v>0</v>
      </c>
      <c r="BO28" s="670">
        <f>ROUNDDOWN((BO26+BO27)/Assumptions!$C44,0)</f>
        <v>0</v>
      </c>
      <c r="BP28" s="670">
        <f>ROUNDDOWN((BP26+BP27)/Assumptions!$C44,0)</f>
        <v>0</v>
      </c>
      <c r="BQ28" s="670">
        <f>ROUNDDOWN((BQ26+BQ27)/Assumptions!$C44,0)</f>
        <v>0</v>
      </c>
      <c r="BR28" s="670">
        <f>ROUNDDOWN((BR26+BR27)/Assumptions!$C44,0)</f>
        <v>0</v>
      </c>
      <c r="BS28" s="670">
        <f>ROUNDDOWN((BS26+BS27)/Assumptions!$C44,0)</f>
        <v>0</v>
      </c>
      <c r="BT28" s="670">
        <f>ROUNDDOWN((BT26+BT27)/Assumptions!$C44,0)</f>
        <v>0</v>
      </c>
      <c r="BU28" s="670">
        <f>ROUNDDOWN((BU26+BU27)/Assumptions!$C44,0)</f>
        <v>0</v>
      </c>
      <c r="BV28" s="670">
        <f>ROUNDDOWN((BV26+BV27)/Assumptions!$C44,0)</f>
        <v>0</v>
      </c>
      <c r="BW28" s="670">
        <f>ROUNDDOWN((BW26+BW27)/Assumptions!$C44,0)</f>
        <v>0</v>
      </c>
      <c r="BX28" s="677">
        <f>ROUNDDOWN((BX26+BX27)/Assumptions!$C44,0)</f>
        <v>0</v>
      </c>
      <c r="BY28" s="387">
        <f>ROUNDDOWN((BY26+BY27)/Assumptions!$C44,0)</f>
        <v>0</v>
      </c>
      <c r="BZ28" s="670">
        <f>ROUNDDOWN((BZ26+BZ27)/Assumptions!$C44,0)</f>
        <v>0</v>
      </c>
      <c r="CA28" s="670">
        <f>ROUNDDOWN((CA26+CA27)/Assumptions!$C44,0)</f>
        <v>0</v>
      </c>
      <c r="CB28" s="670">
        <f>ROUNDDOWN((CB26+CB27)/Assumptions!$C44,0)</f>
        <v>0</v>
      </c>
      <c r="CC28" s="670">
        <f>ROUNDDOWN((CC26+CC27)/Assumptions!$C44,0)</f>
        <v>0</v>
      </c>
      <c r="CD28" s="670">
        <f>ROUNDDOWN((CD26+CD27)/Assumptions!$C44,0)</f>
        <v>0</v>
      </c>
      <c r="CE28" s="670">
        <f>ROUNDDOWN((CE26+CE27)/Assumptions!$C44,0)</f>
        <v>0</v>
      </c>
      <c r="CF28" s="670">
        <f>ROUNDDOWN((CF26+CF27)/Assumptions!$C44,0)</f>
        <v>0</v>
      </c>
      <c r="CG28" s="670">
        <f>ROUNDDOWN((CG26+CG27)/Assumptions!$C44,0)</f>
        <v>0</v>
      </c>
      <c r="CH28" s="670">
        <f>ROUNDDOWN((CH26+CH27)/Assumptions!$C44,0)</f>
        <v>0</v>
      </c>
      <c r="CI28" s="670">
        <f>ROUNDDOWN((CI26+CI27)/Assumptions!$C44,0)</f>
        <v>0</v>
      </c>
      <c r="CJ28" s="677">
        <f>ROUNDDOWN((CJ26+CJ27)/Assumptions!$C44,0)</f>
        <v>0</v>
      </c>
      <c r="CK28" s="387">
        <f>ROUNDDOWN((CK26+CK27)/Assumptions!$C44,0)</f>
        <v>0</v>
      </c>
      <c r="CL28" s="670">
        <f>ROUNDDOWN((CL26+CL27)/Assumptions!$C44,0)</f>
        <v>0</v>
      </c>
      <c r="CM28" s="670">
        <f>ROUNDDOWN((CM26+CM27)/Assumptions!$C44,0)</f>
        <v>0</v>
      </c>
      <c r="CN28" s="670">
        <f>ROUNDDOWN((CN26+CN27)/Assumptions!$C44,0)</f>
        <v>0</v>
      </c>
      <c r="CO28" s="670">
        <f>ROUNDDOWN((CO26+CO27)/Assumptions!$C44,0)</f>
        <v>0</v>
      </c>
      <c r="CP28" s="670">
        <f>ROUNDDOWN((CP26+CP27)/Assumptions!$C44,0)</f>
        <v>0</v>
      </c>
      <c r="CQ28" s="670">
        <f>ROUNDDOWN((CQ26+CQ27)/Assumptions!$C44,0)</f>
        <v>0</v>
      </c>
      <c r="CR28" s="670">
        <f>ROUNDDOWN((CR26+CR27)/Assumptions!$C44,0)</f>
        <v>0</v>
      </c>
      <c r="CS28" s="670">
        <f>ROUNDDOWN((CS26+CS27)/Assumptions!$C44,0)</f>
        <v>0</v>
      </c>
      <c r="CT28" s="670">
        <f>ROUNDDOWN((CT26+CT27)/Assumptions!$C44,0)</f>
        <v>0</v>
      </c>
      <c r="CU28" s="670">
        <f>ROUNDDOWN((CU26+CU27)/Assumptions!$C44,0)</f>
        <v>0</v>
      </c>
      <c r="CV28" s="677">
        <f>ROUNDDOWN((CV26+CV27)/Assumptions!$C44,0)</f>
        <v>0</v>
      </c>
      <c r="CW28" s="387">
        <f>ROUNDDOWN((CW26+CW27)/Assumptions!$C44,0)</f>
        <v>0</v>
      </c>
      <c r="CX28" s="670">
        <f>ROUNDDOWN((CX26+CX27)/Assumptions!$C44,0)</f>
        <v>0</v>
      </c>
      <c r="CY28" s="670">
        <f>ROUNDDOWN((CY26+CY27)/Assumptions!$C44,0)</f>
        <v>0</v>
      </c>
      <c r="CZ28" s="670">
        <f>ROUNDDOWN((CZ26+CZ27)/Assumptions!$C44,0)</f>
        <v>0</v>
      </c>
      <c r="DA28" s="670">
        <f>ROUNDDOWN((DA26+DA27)/Assumptions!$C44,0)</f>
        <v>0</v>
      </c>
      <c r="DB28" s="670">
        <f>ROUNDDOWN((DB26+DB27)/Assumptions!$C44,0)</f>
        <v>0</v>
      </c>
      <c r="DC28" s="670">
        <f>ROUNDDOWN((DC26+DC27)/Assumptions!$C44,0)</f>
        <v>0</v>
      </c>
      <c r="DD28" s="670">
        <f>ROUNDDOWN((DD26+DD27)/Assumptions!$C44,0)</f>
        <v>0</v>
      </c>
      <c r="DE28" s="670">
        <f>ROUNDDOWN((DE26+DE27)/Assumptions!$C44,0)</f>
        <v>0</v>
      </c>
      <c r="DF28" s="670">
        <f>ROUNDDOWN((DF26+DF27)/Assumptions!$C44,0)</f>
        <v>0</v>
      </c>
      <c r="DG28" s="670">
        <f>ROUNDDOWN((DG26+DG27)/Assumptions!$C44,0)</f>
        <v>0</v>
      </c>
      <c r="DH28" s="677">
        <f>ROUNDDOWN((DH26+DH27)/Assumptions!$C44,0)</f>
        <v>0</v>
      </c>
      <c r="DI28" s="387">
        <f>ROUNDDOWN((DI26+DI27)/Assumptions!$C44,0)</f>
        <v>0</v>
      </c>
      <c r="DJ28" s="670">
        <f>ROUNDDOWN((DJ26+DJ27)/Assumptions!$C44,0)</f>
        <v>0</v>
      </c>
      <c r="DK28" s="670">
        <f>ROUNDDOWN((DK26+DK27)/Assumptions!$C44,0)</f>
        <v>0</v>
      </c>
      <c r="DL28" s="670">
        <f>ROUNDDOWN((DL26+DL27)/Assumptions!$C44,0)</f>
        <v>0</v>
      </c>
      <c r="DM28" s="670">
        <f>ROUNDDOWN((DM26+DM27)/Assumptions!$C44,0)</f>
        <v>0</v>
      </c>
      <c r="DN28" s="670">
        <f>ROUNDDOWN((DN26+DN27)/Assumptions!$C44,0)</f>
        <v>0</v>
      </c>
      <c r="DO28" s="670">
        <f>ROUNDDOWN((DO26+DO27)/Assumptions!$C44,0)</f>
        <v>0</v>
      </c>
      <c r="DP28" s="670">
        <f>ROUNDDOWN((DP26+DP27)/Assumptions!$C44,0)</f>
        <v>0</v>
      </c>
      <c r="DQ28" s="670">
        <f>ROUNDDOWN((DQ26+DQ27)/Assumptions!$C44,0)</f>
        <v>0</v>
      </c>
      <c r="DR28" s="670">
        <f>ROUNDDOWN((DR26+DR27)/Assumptions!$C44,0)</f>
        <v>0</v>
      </c>
      <c r="DS28" s="670">
        <f>ROUNDDOWN((DS26+DS27)/Assumptions!$C44,0)</f>
        <v>0</v>
      </c>
      <c r="DT28" s="677">
        <f>ROUNDDOWN((DT26+DT27)/Assumptions!$C44,0)</f>
        <v>0</v>
      </c>
    </row>
    <row r="29" spans="1:124" ht="15" hidden="1" x14ac:dyDescent="0.25">
      <c r="B29" s="160" t="s">
        <v>80</v>
      </c>
      <c r="C29" s="55"/>
      <c r="D29" s="7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97"/>
      <c r="Q29" s="107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108"/>
      <c r="AC29" s="107"/>
      <c r="AD29" s="106"/>
      <c r="AE29" s="106"/>
      <c r="AF29" s="106"/>
      <c r="AG29" s="106"/>
      <c r="AH29" s="670">
        <f>(AH27+AH26)-(AH28*Assumptions!$C44)</f>
        <v>0</v>
      </c>
      <c r="AI29" s="670">
        <f>(AI27+AI26)-(AI28*Assumptions!$C44)</f>
        <v>0</v>
      </c>
      <c r="AJ29" s="670">
        <f>(AJ27+AJ26)-(AJ28*Assumptions!$C44)</f>
        <v>0</v>
      </c>
      <c r="AK29" s="670">
        <f>(AK27+AK26)-(AK28*Assumptions!$C44)</f>
        <v>0</v>
      </c>
      <c r="AL29" s="670">
        <f>(AL27+AL26)-(AL28*Assumptions!$C44)</f>
        <v>0</v>
      </c>
      <c r="AM29" s="670">
        <f>(AM27+AM26)-(AM28*Assumptions!$C44)</f>
        <v>0</v>
      </c>
      <c r="AN29" s="677">
        <f>(AN27+AN26)-(AN28*Assumptions!$C44)</f>
        <v>0</v>
      </c>
      <c r="AO29" s="387">
        <f>(AO27+AO26)-(AO28*Assumptions!$C44)</f>
        <v>0</v>
      </c>
      <c r="AP29" s="670">
        <f>(AP27+AP26)-(AP28*Assumptions!$C44)</f>
        <v>0</v>
      </c>
      <c r="AQ29" s="670">
        <f>(AQ27+AQ26)-(AQ28*Assumptions!$C44)</f>
        <v>0</v>
      </c>
      <c r="AR29" s="670">
        <f>(AR27+AR26)-(AR28*Assumptions!$C44)</f>
        <v>0</v>
      </c>
      <c r="AS29" s="670">
        <f>(AS27+AS26)-(AS28*Assumptions!$C44)</f>
        <v>0</v>
      </c>
      <c r="AT29" s="670">
        <f>(AT27+AT26)-(AT28*Assumptions!$C44)</f>
        <v>0</v>
      </c>
      <c r="AU29" s="670">
        <f>(AU27+AU26)-(AU28*Assumptions!$C44)</f>
        <v>0</v>
      </c>
      <c r="AV29" s="670">
        <f>(AV27+AV26)-(AV28*Assumptions!$C44)</f>
        <v>0</v>
      </c>
      <c r="AW29" s="670">
        <f>(AW27+AW26)-(AW28*Assumptions!$C44)</f>
        <v>0</v>
      </c>
      <c r="AX29" s="670">
        <f>(AX27+AX26)-(AX28*Assumptions!$C44)</f>
        <v>0</v>
      </c>
      <c r="AY29" s="670">
        <f>(AY27+AY26)-(AY28*Assumptions!$C44)</f>
        <v>0</v>
      </c>
      <c r="AZ29" s="677">
        <f>(AZ27+AZ26)-(AZ28*Assumptions!$C44)</f>
        <v>0</v>
      </c>
      <c r="BA29" s="387">
        <f>(BA27+BA26)-(BA28*Assumptions!$C44)</f>
        <v>0</v>
      </c>
      <c r="BB29" s="670">
        <f>(BB27+BB26)-(BB28*Assumptions!$C44)</f>
        <v>0</v>
      </c>
      <c r="BC29" s="670">
        <f>(BC27+BC26)-(BC28*Assumptions!$C44)</f>
        <v>0</v>
      </c>
      <c r="BD29" s="670">
        <f>(BD27+BD26)-(BD28*Assumptions!$C44)</f>
        <v>0</v>
      </c>
      <c r="BE29" s="670">
        <f>(BE27+BE26)-(BE28*Assumptions!$C44)</f>
        <v>0</v>
      </c>
      <c r="BF29" s="670">
        <f>(BF27+BF26)-(BF28*Assumptions!$C44)</f>
        <v>0</v>
      </c>
      <c r="BG29" s="670">
        <f>(BG27+BG26)-(BG28*Assumptions!$C44)</f>
        <v>0</v>
      </c>
      <c r="BH29" s="670">
        <f>(BH27+BH26)-(BH28*Assumptions!$C44)</f>
        <v>0</v>
      </c>
      <c r="BI29" s="670">
        <f>(BI27+BI26)-(BI28*Assumptions!$C44)</f>
        <v>0</v>
      </c>
      <c r="BJ29" s="670">
        <f>(BJ27+BJ26)-(BJ28*Assumptions!$C44)</f>
        <v>0</v>
      </c>
      <c r="BK29" s="670">
        <f>(BK27+BK26)-(BK28*Assumptions!$C44)</f>
        <v>0</v>
      </c>
      <c r="BL29" s="677">
        <f>(BL27+BL26)-(BL28*Assumptions!$C44)</f>
        <v>0</v>
      </c>
      <c r="BM29" s="387">
        <f>(BM27+BM26)-(BM28*Assumptions!$C44)</f>
        <v>0</v>
      </c>
      <c r="BN29" s="670">
        <f>(BN27+BN26)-(BN28*Assumptions!$C44)</f>
        <v>0</v>
      </c>
      <c r="BO29" s="670">
        <f>(BO27+BO26)-(BO28*Assumptions!$C44)</f>
        <v>0</v>
      </c>
      <c r="BP29" s="670">
        <f>(BP27+BP26)-(BP28*Assumptions!$C44)</f>
        <v>0</v>
      </c>
      <c r="BQ29" s="670">
        <f>(BQ27+BQ26)-(BQ28*Assumptions!$C44)</f>
        <v>0</v>
      </c>
      <c r="BR29" s="670">
        <f>(BR27+BR26)-(BR28*Assumptions!$C44)</f>
        <v>0</v>
      </c>
      <c r="BS29" s="670">
        <f>(BS27+BS26)-(BS28*Assumptions!$C44)</f>
        <v>0</v>
      </c>
      <c r="BT29" s="670">
        <f>(BT27+BT26)-(BT28*Assumptions!$C44)</f>
        <v>0</v>
      </c>
      <c r="BU29" s="670">
        <f>(BU27+BU26)-(BU28*Assumptions!$C44)</f>
        <v>0</v>
      </c>
      <c r="BV29" s="670">
        <f>(BV27+BV26)-(BV28*Assumptions!$C44)</f>
        <v>0</v>
      </c>
      <c r="BW29" s="670">
        <f>(BW27+BW26)-(BW28*Assumptions!$C44)</f>
        <v>0</v>
      </c>
      <c r="BX29" s="677">
        <f>(BX27+BX26)-(BX28*Assumptions!$C44)</f>
        <v>0</v>
      </c>
      <c r="BY29" s="387">
        <f>(BY27+BY26)-(BY28*Assumptions!$C44)</f>
        <v>0</v>
      </c>
      <c r="BZ29" s="670">
        <f>(BZ27+BZ26)-(BZ28*Assumptions!$C44)</f>
        <v>0</v>
      </c>
      <c r="CA29" s="670">
        <f>(CA27+CA26)-(CA28*Assumptions!$C44)</f>
        <v>0</v>
      </c>
      <c r="CB29" s="670">
        <f>(CB27+CB26)-(CB28*Assumptions!$C44)</f>
        <v>0</v>
      </c>
      <c r="CC29" s="670">
        <f>(CC27+CC26)-(CC28*Assumptions!$C44)</f>
        <v>0</v>
      </c>
      <c r="CD29" s="670">
        <f>(CD27+CD26)-(CD28*Assumptions!$C44)</f>
        <v>0</v>
      </c>
      <c r="CE29" s="670">
        <f>(CE27+CE26)-(CE28*Assumptions!$C44)</f>
        <v>0</v>
      </c>
      <c r="CF29" s="670">
        <f>(CF27+CF26)-(CF28*Assumptions!$C44)</f>
        <v>0</v>
      </c>
      <c r="CG29" s="670">
        <f>(CG27+CG26)-(CG28*Assumptions!$C44)</f>
        <v>0</v>
      </c>
      <c r="CH29" s="670">
        <f>(CH27+CH26)-(CH28*Assumptions!$C44)</f>
        <v>0</v>
      </c>
      <c r="CI29" s="670">
        <f>(CI27+CI26)-(CI28*Assumptions!$C44)</f>
        <v>0</v>
      </c>
      <c r="CJ29" s="677">
        <f>(CJ27+CJ26)-(CJ28*Assumptions!$C44)</f>
        <v>0</v>
      </c>
      <c r="CK29" s="387">
        <f>(CK27+CK26)-(CK28*Assumptions!$C44)</f>
        <v>0</v>
      </c>
      <c r="CL29" s="670">
        <f>(CL27+CL26)-(CL28*Assumptions!$C44)</f>
        <v>0</v>
      </c>
      <c r="CM29" s="670">
        <f>(CM27+CM26)-(CM28*Assumptions!$C44)</f>
        <v>0</v>
      </c>
      <c r="CN29" s="670">
        <f>(CN27+CN26)-(CN28*Assumptions!$C44)</f>
        <v>0</v>
      </c>
      <c r="CO29" s="670">
        <f>(CO27+CO26)-(CO28*Assumptions!$C44)</f>
        <v>0</v>
      </c>
      <c r="CP29" s="670">
        <f>(CP27+CP26)-(CP28*Assumptions!$C44)</f>
        <v>0</v>
      </c>
      <c r="CQ29" s="670">
        <f>(CQ27+CQ26)-(CQ28*Assumptions!$C44)</f>
        <v>0</v>
      </c>
      <c r="CR29" s="670">
        <f>(CR27+CR26)-(CR28*Assumptions!$C44)</f>
        <v>0</v>
      </c>
      <c r="CS29" s="670">
        <f>(CS27+CS26)-(CS28*Assumptions!$C44)</f>
        <v>0</v>
      </c>
      <c r="CT29" s="670">
        <f>(CT27+CT26)-(CT28*Assumptions!$C44)</f>
        <v>0</v>
      </c>
      <c r="CU29" s="670">
        <f>(CU27+CU26)-(CU28*Assumptions!$C44)</f>
        <v>0</v>
      </c>
      <c r="CV29" s="677">
        <f>(CV27+CV26)-(CV28*Assumptions!$C44)</f>
        <v>0</v>
      </c>
      <c r="CW29" s="387">
        <f>(CW27+CW26)-(CW28*Assumptions!$C44)</f>
        <v>0</v>
      </c>
      <c r="CX29" s="670">
        <f>(CX27+CX26)-(CX28*Assumptions!$C44)</f>
        <v>0</v>
      </c>
      <c r="CY29" s="670">
        <f>(CY27+CY26)-(CY28*Assumptions!$C44)</f>
        <v>0</v>
      </c>
      <c r="CZ29" s="670">
        <f>(CZ27+CZ26)-(CZ28*Assumptions!$C44)</f>
        <v>0</v>
      </c>
      <c r="DA29" s="670">
        <f>(DA27+DA26)-(DA28*Assumptions!$C44)</f>
        <v>0</v>
      </c>
      <c r="DB29" s="670">
        <f>(DB27+DB26)-(DB28*Assumptions!$C44)</f>
        <v>0</v>
      </c>
      <c r="DC29" s="670">
        <f>(DC27+DC26)-(DC28*Assumptions!$C44)</f>
        <v>0</v>
      </c>
      <c r="DD29" s="670">
        <f>(DD27+DD26)-(DD28*Assumptions!$C44)</f>
        <v>0</v>
      </c>
      <c r="DE29" s="670">
        <f>(DE27+DE26)-(DE28*Assumptions!$C44)</f>
        <v>0</v>
      </c>
      <c r="DF29" s="670">
        <f>(DF27+DF26)-(DF28*Assumptions!$C44)</f>
        <v>0</v>
      </c>
      <c r="DG29" s="670">
        <f>(DG27+DG26)-(DG28*Assumptions!$C44)</f>
        <v>0</v>
      </c>
      <c r="DH29" s="677">
        <f>(DH27+DH26)-(DH28*Assumptions!$C44)</f>
        <v>0</v>
      </c>
      <c r="DI29" s="387">
        <f>(DI27+DI26)-(DI28*Assumptions!$C44)</f>
        <v>0</v>
      </c>
      <c r="DJ29" s="670">
        <f>(DJ27+DJ26)-(DJ28*Assumptions!$C44)</f>
        <v>0</v>
      </c>
      <c r="DK29" s="670">
        <f>(DK27+DK26)-(DK28*Assumptions!$C44)</f>
        <v>0</v>
      </c>
      <c r="DL29" s="670">
        <f>(DL27+DL26)-(DL28*Assumptions!$C44)</f>
        <v>0</v>
      </c>
      <c r="DM29" s="670">
        <f>(DM27+DM26)-(DM28*Assumptions!$C44)</f>
        <v>0</v>
      </c>
      <c r="DN29" s="670">
        <f>(DN27+DN26)-(DN28*Assumptions!$C44)</f>
        <v>0</v>
      </c>
      <c r="DO29" s="670">
        <f>(DO27+DO26)-(DO28*Assumptions!$C44)</f>
        <v>0</v>
      </c>
      <c r="DP29" s="670">
        <f>(DP27+DP26)-(DP28*Assumptions!$C44)</f>
        <v>0</v>
      </c>
      <c r="DQ29" s="670">
        <f>(DQ27+DQ26)-(DQ28*Assumptions!$C44)</f>
        <v>0</v>
      </c>
      <c r="DR29" s="670">
        <f>(DR27+DR26)-(DR28*Assumptions!$C44)</f>
        <v>0</v>
      </c>
      <c r="DS29" s="670">
        <f>(DS27+DS26)-(DS28*Assumptions!$C44)</f>
        <v>0</v>
      </c>
      <c r="DT29" s="677">
        <f>(DT27+DT26)-(DT28*Assumptions!$C44)</f>
        <v>0</v>
      </c>
    </row>
    <row r="30" spans="1:124" s="3" customFormat="1" hidden="1" x14ac:dyDescent="0.2">
      <c r="A30" s="508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9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9"/>
      <c r="AC30" s="508"/>
      <c r="AD30" s="508"/>
      <c r="AE30" s="508"/>
      <c r="AF30" s="508"/>
      <c r="AG30" s="508"/>
      <c r="AH30" s="735"/>
      <c r="AI30" s="735"/>
      <c r="AJ30" s="735"/>
      <c r="AK30" s="735"/>
      <c r="AL30" s="735"/>
      <c r="AM30" s="735"/>
      <c r="AN30" s="736"/>
      <c r="AO30" s="735"/>
      <c r="AP30" s="735"/>
      <c r="AQ30" s="735"/>
      <c r="AR30" s="735"/>
      <c r="AS30" s="735"/>
      <c r="AT30" s="735"/>
      <c r="AU30" s="735"/>
      <c r="AV30" s="735"/>
      <c r="AW30" s="735"/>
      <c r="AX30" s="735"/>
      <c r="AY30" s="735"/>
      <c r="AZ30" s="736"/>
      <c r="BA30" s="735"/>
      <c r="BB30" s="735"/>
      <c r="BC30" s="735"/>
      <c r="BD30" s="735"/>
      <c r="BE30" s="735"/>
      <c r="BF30" s="735"/>
      <c r="BG30" s="735"/>
      <c r="BH30" s="735"/>
      <c r="BI30" s="735"/>
      <c r="BJ30" s="735"/>
      <c r="BK30" s="735"/>
      <c r="BL30" s="736"/>
      <c r="BM30" s="735"/>
      <c r="BN30" s="735"/>
      <c r="BO30" s="735"/>
      <c r="BP30" s="735"/>
      <c r="BQ30" s="735"/>
      <c r="BR30" s="735"/>
      <c r="BS30" s="735"/>
      <c r="BT30" s="735"/>
      <c r="BU30" s="735"/>
      <c r="BV30" s="735"/>
      <c r="BW30" s="735"/>
      <c r="BX30" s="736"/>
      <c r="BY30" s="735"/>
      <c r="BZ30" s="735"/>
      <c r="CA30" s="735"/>
      <c r="CB30" s="735"/>
      <c r="CC30" s="735"/>
      <c r="CD30" s="735"/>
      <c r="CE30" s="735"/>
      <c r="CF30" s="735"/>
      <c r="CG30" s="735"/>
      <c r="CH30" s="735"/>
      <c r="CI30" s="735"/>
      <c r="CJ30" s="736"/>
      <c r="CK30" s="735"/>
      <c r="CL30" s="735"/>
      <c r="CM30" s="735"/>
      <c r="CN30" s="735"/>
      <c r="CO30" s="735"/>
      <c r="CP30" s="735"/>
      <c r="CQ30" s="735"/>
      <c r="CR30" s="735"/>
      <c r="CS30" s="735"/>
      <c r="CT30" s="735"/>
      <c r="CU30" s="735"/>
      <c r="CV30" s="736"/>
      <c r="CW30" s="735"/>
      <c r="CX30" s="735"/>
      <c r="CY30" s="735"/>
      <c r="CZ30" s="735"/>
      <c r="DA30" s="735"/>
      <c r="DB30" s="735"/>
      <c r="DC30" s="735"/>
      <c r="DD30" s="735"/>
      <c r="DE30" s="735"/>
      <c r="DF30" s="735"/>
      <c r="DG30" s="735"/>
      <c r="DH30" s="736"/>
      <c r="DI30" s="735"/>
      <c r="DJ30" s="735"/>
      <c r="DK30" s="735"/>
      <c r="DL30" s="735"/>
      <c r="DM30" s="735"/>
      <c r="DN30" s="735"/>
      <c r="DO30" s="735"/>
      <c r="DP30" s="735"/>
      <c r="DQ30" s="735"/>
      <c r="DR30" s="735"/>
      <c r="DS30" s="735"/>
      <c r="DT30" s="736"/>
    </row>
    <row r="31" spans="1:124" s="3" customFormat="1" x14ac:dyDescent="0.2">
      <c r="A31" s="16"/>
      <c r="B31" s="16"/>
      <c r="C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</row>
    <row r="32" spans="1:124" s="3" customFormat="1" x14ac:dyDescent="0.2">
      <c r="A32" s="16"/>
      <c r="B32" s="16"/>
      <c r="C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</row>
    <row r="33" spans="1:124" s="3" customFormat="1" x14ac:dyDescent="0.2">
      <c r="A33" s="16"/>
      <c r="B33" s="16"/>
      <c r="C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</row>
    <row r="34" spans="1:124" s="3" customFormat="1" x14ac:dyDescent="0.2">
      <c r="A34" s="16"/>
      <c r="B34" s="16"/>
      <c r="C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</row>
    <row r="35" spans="1:124" s="3" customFormat="1" x14ac:dyDescent="0.2">
      <c r="A35" s="16"/>
      <c r="B35" s="16"/>
      <c r="C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</row>
    <row r="36" spans="1:124" s="3" customFormat="1" x14ac:dyDescent="0.2">
      <c r="A36" s="16"/>
      <c r="B36" s="16"/>
      <c r="C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</row>
    <row r="37" spans="1:124" s="3" customFormat="1" x14ac:dyDescent="0.2">
      <c r="A37" s="16"/>
      <c r="B37" s="16"/>
      <c r="C37" s="16"/>
      <c r="E37" s="16"/>
      <c r="F37" s="16"/>
      <c r="G37" s="16"/>
      <c r="H37" s="7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70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0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70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70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70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70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70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70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70"/>
      <c r="DM37" s="16"/>
      <c r="DN37" s="16"/>
      <c r="DO37" s="16"/>
      <c r="DP37" s="16"/>
      <c r="DQ37" s="16"/>
      <c r="DR37" s="16"/>
      <c r="DS37" s="16"/>
      <c r="DT37" s="16"/>
    </row>
    <row r="38" spans="1:124" s="3" customFormat="1" x14ac:dyDescent="0.2">
      <c r="A38" s="16"/>
      <c r="B38" s="70"/>
      <c r="C38" s="16"/>
      <c r="E38" s="16"/>
      <c r="F38" s="16"/>
      <c r="G38" s="7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70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70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70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70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70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70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70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70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70"/>
      <c r="DL38" s="16"/>
      <c r="DM38" s="16"/>
      <c r="DN38" s="16"/>
      <c r="DO38" s="16"/>
      <c r="DP38" s="16"/>
      <c r="DQ38" s="16"/>
      <c r="DR38" s="16"/>
      <c r="DS38" s="16"/>
      <c r="DT38" s="16"/>
    </row>
    <row r="39" spans="1:124" s="3" customFormat="1" x14ac:dyDescent="0.2">
      <c r="A39" s="16"/>
      <c r="B39" s="70"/>
      <c r="C39" s="16"/>
      <c r="E39" s="128"/>
      <c r="F39" s="16"/>
      <c r="G39" s="7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70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70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70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70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70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70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70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70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70"/>
      <c r="DL39" s="16"/>
      <c r="DM39" s="16"/>
      <c r="DN39" s="16"/>
      <c r="DO39" s="16"/>
      <c r="DP39" s="16"/>
      <c r="DQ39" s="16"/>
      <c r="DR39" s="16"/>
      <c r="DS39" s="16"/>
      <c r="DT39" s="16"/>
    </row>
    <row r="40" spans="1:124" s="3" customFormat="1" x14ac:dyDescent="0.2">
      <c r="A40" s="16"/>
      <c r="B40" s="70"/>
      <c r="C40" s="16"/>
      <c r="E40" s="128"/>
      <c r="F40" s="16"/>
      <c r="G40" s="7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70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70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70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70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70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70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70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70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70"/>
      <c r="DL40" s="16"/>
      <c r="DM40" s="16"/>
      <c r="DN40" s="16"/>
      <c r="DO40" s="16"/>
      <c r="DP40" s="16"/>
      <c r="DQ40" s="16"/>
      <c r="DR40" s="16"/>
      <c r="DS40" s="16"/>
      <c r="DT40" s="16"/>
    </row>
    <row r="41" spans="1:124" s="3" customFormat="1" x14ac:dyDescent="0.2">
      <c r="A41" s="16"/>
      <c r="B41" s="70"/>
      <c r="C41" s="16"/>
      <c r="E41" s="128"/>
      <c r="F41" s="16"/>
      <c r="G41" s="7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70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70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70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70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70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70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70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70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70"/>
      <c r="DL41" s="16"/>
      <c r="DM41" s="16"/>
      <c r="DN41" s="16"/>
      <c r="DO41" s="16"/>
      <c r="DP41" s="16"/>
      <c r="DQ41" s="16"/>
      <c r="DR41" s="16"/>
      <c r="DS41" s="16"/>
      <c r="DT41" s="16"/>
    </row>
    <row r="42" spans="1:124" s="3" customFormat="1" x14ac:dyDescent="0.2">
      <c r="A42" s="16"/>
      <c r="B42" s="70"/>
      <c r="C42" s="16"/>
      <c r="E42" s="16"/>
      <c r="F42" s="16"/>
      <c r="G42" s="70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70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70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70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70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70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70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70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70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70"/>
      <c r="DL42" s="16"/>
      <c r="DM42" s="16"/>
      <c r="DN42" s="16"/>
      <c r="DO42" s="16"/>
      <c r="DP42" s="16"/>
      <c r="DQ42" s="16"/>
      <c r="DR42" s="16"/>
      <c r="DS42" s="16"/>
      <c r="DT42" s="16"/>
    </row>
    <row r="43" spans="1:124" s="3" customFormat="1" x14ac:dyDescent="0.2">
      <c r="A43" s="16"/>
      <c r="B43" s="70"/>
      <c r="C43" s="16"/>
      <c r="E43" s="16"/>
      <c r="F43" s="16"/>
      <c r="G43" s="7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70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70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70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70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70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70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70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70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70"/>
      <c r="DL43" s="16"/>
      <c r="DM43" s="16"/>
      <c r="DN43" s="16"/>
      <c r="DO43" s="16"/>
      <c r="DP43" s="16"/>
      <c r="DQ43" s="16"/>
      <c r="DR43" s="16"/>
      <c r="DS43" s="16"/>
      <c r="DT43" s="16"/>
    </row>
    <row r="44" spans="1:124" s="3" customFormat="1" x14ac:dyDescent="0.2">
      <c r="A44" s="16"/>
      <c r="B44" s="70"/>
      <c r="C44" s="16"/>
      <c r="E44" s="16"/>
      <c r="F44" s="16"/>
      <c r="G44" s="70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70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70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70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70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70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70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70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70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70"/>
      <c r="DL44" s="16"/>
      <c r="DM44" s="16"/>
      <c r="DN44" s="16"/>
      <c r="DO44" s="16"/>
      <c r="DP44" s="16"/>
      <c r="DQ44" s="16"/>
      <c r="DR44" s="16"/>
      <c r="DS44" s="16"/>
      <c r="DT44" s="16"/>
    </row>
    <row r="45" spans="1:124" s="3" customFormat="1" x14ac:dyDescent="0.2">
      <c r="A45" s="16"/>
      <c r="B45" s="70"/>
      <c r="C45" s="16"/>
      <c r="E45" s="16"/>
      <c r="F45" s="16"/>
      <c r="G45" s="70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70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70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70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70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70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70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70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70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70"/>
      <c r="DL45" s="16"/>
      <c r="DM45" s="16"/>
      <c r="DN45" s="16"/>
      <c r="DO45" s="16"/>
      <c r="DP45" s="16"/>
      <c r="DQ45" s="16"/>
      <c r="DR45" s="16"/>
      <c r="DS45" s="16"/>
      <c r="DT45" s="16"/>
    </row>
    <row r="46" spans="1:124" s="3" customFormat="1" x14ac:dyDescent="0.2">
      <c r="A46" s="16"/>
      <c r="B46" s="70"/>
      <c r="C46" s="16"/>
      <c r="E46" s="16"/>
      <c r="F46" s="16"/>
      <c r="G46" s="70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70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70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70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70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70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70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70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70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70"/>
      <c r="DL46" s="16"/>
      <c r="DM46" s="16"/>
      <c r="DN46" s="16"/>
      <c r="DO46" s="16"/>
      <c r="DP46" s="16"/>
      <c r="DQ46" s="16"/>
      <c r="DR46" s="16"/>
      <c r="DS46" s="16"/>
      <c r="DT46" s="16"/>
    </row>
    <row r="47" spans="1:124" s="3" customFormat="1" x14ac:dyDescent="0.2">
      <c r="A47" s="16"/>
      <c r="B47" s="70"/>
      <c r="C47" s="16"/>
      <c r="E47" s="16"/>
      <c r="F47" s="16"/>
      <c r="G47" s="70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70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70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70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70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70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70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70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70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70"/>
      <c r="DL47" s="16"/>
      <c r="DM47" s="16"/>
      <c r="DN47" s="16"/>
      <c r="DO47" s="16"/>
      <c r="DP47" s="16"/>
      <c r="DQ47" s="16"/>
      <c r="DR47" s="16"/>
      <c r="DS47" s="16"/>
      <c r="DT47" s="16"/>
    </row>
    <row r="48" spans="1:124" s="3" customFormat="1" x14ac:dyDescent="0.2">
      <c r="A48" s="16"/>
      <c r="B48" s="70"/>
      <c r="C48" s="16"/>
      <c r="E48" s="16"/>
      <c r="F48" s="16"/>
      <c r="G48" s="70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70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70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70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70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70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70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70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70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70"/>
      <c r="DL48" s="16"/>
      <c r="DM48" s="16"/>
      <c r="DN48" s="16"/>
      <c r="DO48" s="16"/>
      <c r="DP48" s="16"/>
      <c r="DQ48" s="16"/>
      <c r="DR48" s="16"/>
      <c r="DS48" s="16"/>
      <c r="DT48" s="16"/>
    </row>
    <row r="49" spans="1:124" s="3" customFormat="1" x14ac:dyDescent="0.2">
      <c r="A49" s="16"/>
      <c r="B49" s="70"/>
      <c r="C49" s="16"/>
      <c r="E49" s="16"/>
      <c r="F49" s="16"/>
      <c r="G49" s="7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70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70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70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70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70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70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70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70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70"/>
      <c r="DL49" s="16"/>
      <c r="DM49" s="16"/>
      <c r="DN49" s="16"/>
      <c r="DO49" s="16"/>
      <c r="DP49" s="16"/>
      <c r="DQ49" s="16"/>
      <c r="DR49" s="16"/>
      <c r="DS49" s="16"/>
      <c r="DT49" s="16"/>
    </row>
    <row r="50" spans="1:124" s="3" customFormat="1" x14ac:dyDescent="0.2">
      <c r="A50" s="16"/>
      <c r="B50" s="70"/>
      <c r="C50" s="16"/>
      <c r="E50" s="16"/>
      <c r="F50" s="16"/>
      <c r="G50" s="7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7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70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70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70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70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70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70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70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70"/>
      <c r="DL50" s="16"/>
      <c r="DM50" s="16"/>
      <c r="DN50" s="16"/>
      <c r="DO50" s="16"/>
      <c r="DP50" s="16"/>
      <c r="DQ50" s="16"/>
      <c r="DR50" s="16"/>
      <c r="DS50" s="16"/>
      <c r="DT50" s="16"/>
    </row>
    <row r="51" spans="1:124" s="3" customFormat="1" x14ac:dyDescent="0.2">
      <c r="A51" s="16"/>
      <c r="B51" s="16"/>
      <c r="C51" s="16"/>
      <c r="E51" s="16"/>
      <c r="F51" s="16"/>
      <c r="G51" s="7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70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70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70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70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70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70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70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70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70"/>
      <c r="DL51" s="16"/>
      <c r="DM51" s="16"/>
      <c r="DN51" s="16"/>
      <c r="DO51" s="16"/>
      <c r="DP51" s="16"/>
      <c r="DQ51" s="16"/>
      <c r="DR51" s="16"/>
      <c r="DS51" s="16"/>
      <c r="DT51" s="16"/>
    </row>
    <row r="52" spans="1:124" s="16" customFormat="1" x14ac:dyDescent="0.2">
      <c r="D52" s="3"/>
    </row>
  </sheetData>
  <mergeCells count="12">
    <mergeCell ref="B11:C11"/>
    <mergeCell ref="E2:P2"/>
    <mergeCell ref="AC2:AN2"/>
    <mergeCell ref="AO2:AZ2"/>
    <mergeCell ref="BA2:BL2"/>
    <mergeCell ref="A1:C3"/>
    <mergeCell ref="Q2:AB2"/>
    <mergeCell ref="BM2:BX2"/>
    <mergeCell ref="BY2:CJ2"/>
    <mergeCell ref="CK2:CV2"/>
    <mergeCell ref="CW2:DH2"/>
    <mergeCell ref="DI2:DT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H30"/>
  <sheetViews>
    <sheetView topLeftCell="A7" zoomScale="87" zoomScaleNormal="87" workbookViewId="0">
      <selection activeCell="B12" sqref="B12"/>
    </sheetView>
  </sheetViews>
  <sheetFormatPr defaultRowHeight="12.75" x14ac:dyDescent="0.2"/>
  <cols>
    <col min="1" max="1" width="11" style="45" customWidth="1"/>
    <col min="2" max="2" width="47.7109375" style="45" customWidth="1"/>
    <col min="3" max="3" width="24.7109375" style="45" customWidth="1"/>
    <col min="4" max="4" width="13.42578125" style="45" customWidth="1"/>
    <col min="5" max="6" width="16.42578125" style="45" bestFit="1" customWidth="1"/>
    <col min="7" max="7" width="4.28515625" style="45" customWidth="1"/>
    <col min="8" max="8" width="17.42578125" style="45" bestFit="1" customWidth="1"/>
    <col min="9" max="44" width="16.42578125" style="45" bestFit="1" customWidth="1"/>
    <col min="45" max="45" width="17.85546875" style="45" bestFit="1" customWidth="1"/>
    <col min="46" max="47" width="16.42578125" style="45" bestFit="1" customWidth="1"/>
    <col min="48" max="48" width="17.85546875" style="45" bestFit="1" customWidth="1"/>
    <col min="49" max="66" width="16.42578125" style="45" bestFit="1" customWidth="1"/>
    <col min="67" max="244" width="9.140625" style="45"/>
    <col min="245" max="245" width="19.85546875" style="45" bestFit="1" customWidth="1"/>
    <col min="246" max="248" width="0" style="45" hidden="1" customWidth="1"/>
    <col min="249" max="261" width="13.42578125" style="45" customWidth="1"/>
    <col min="262" max="262" width="2.7109375" style="45" customWidth="1"/>
    <col min="263" max="275" width="13.42578125" style="45" customWidth="1"/>
    <col min="276" max="276" width="2.7109375" style="45" customWidth="1"/>
    <col min="277" max="289" width="13.42578125" style="45" customWidth="1"/>
    <col min="290" max="290" width="2.7109375" style="45" customWidth="1"/>
    <col min="291" max="303" width="13.42578125" style="45" customWidth="1"/>
    <col min="304" max="304" width="2.7109375" style="45" customWidth="1"/>
    <col min="305" max="317" width="13.42578125" style="45" customWidth="1"/>
    <col min="318" max="318" width="2.7109375" style="45" customWidth="1"/>
    <col min="319" max="500" width="9.140625" style="45"/>
    <col min="501" max="501" width="19.85546875" style="45" bestFit="1" customWidth="1"/>
    <col min="502" max="504" width="0" style="45" hidden="1" customWidth="1"/>
    <col min="505" max="517" width="13.42578125" style="45" customWidth="1"/>
    <col min="518" max="518" width="2.7109375" style="45" customWidth="1"/>
    <col min="519" max="531" width="13.42578125" style="45" customWidth="1"/>
    <col min="532" max="532" width="2.7109375" style="45" customWidth="1"/>
    <col min="533" max="545" width="13.42578125" style="45" customWidth="1"/>
    <col min="546" max="546" width="2.7109375" style="45" customWidth="1"/>
    <col min="547" max="559" width="13.42578125" style="45" customWidth="1"/>
    <col min="560" max="560" width="2.7109375" style="45" customWidth="1"/>
    <col min="561" max="573" width="13.42578125" style="45" customWidth="1"/>
    <col min="574" max="574" width="2.7109375" style="45" customWidth="1"/>
    <col min="575" max="756" width="9.140625" style="45"/>
    <col min="757" max="757" width="19.85546875" style="45" bestFit="1" customWidth="1"/>
    <col min="758" max="760" width="0" style="45" hidden="1" customWidth="1"/>
    <col min="761" max="773" width="13.42578125" style="45" customWidth="1"/>
    <col min="774" max="774" width="2.7109375" style="45" customWidth="1"/>
    <col min="775" max="787" width="13.42578125" style="45" customWidth="1"/>
    <col min="788" max="788" width="2.7109375" style="45" customWidth="1"/>
    <col min="789" max="801" width="13.42578125" style="45" customWidth="1"/>
    <col min="802" max="802" width="2.7109375" style="45" customWidth="1"/>
    <col min="803" max="815" width="13.42578125" style="45" customWidth="1"/>
    <col min="816" max="816" width="2.7109375" style="45" customWidth="1"/>
    <col min="817" max="829" width="13.42578125" style="45" customWidth="1"/>
    <col min="830" max="830" width="2.7109375" style="45" customWidth="1"/>
    <col min="831" max="1012" width="9.140625" style="45"/>
    <col min="1013" max="1013" width="19.85546875" style="45" bestFit="1" customWidth="1"/>
    <col min="1014" max="1016" width="0" style="45" hidden="1" customWidth="1"/>
    <col min="1017" max="1029" width="13.42578125" style="45" customWidth="1"/>
    <col min="1030" max="1030" width="2.7109375" style="45" customWidth="1"/>
    <col min="1031" max="1043" width="13.42578125" style="45" customWidth="1"/>
    <col min="1044" max="1044" width="2.7109375" style="45" customWidth="1"/>
    <col min="1045" max="1057" width="13.42578125" style="45" customWidth="1"/>
    <col min="1058" max="1058" width="2.7109375" style="45" customWidth="1"/>
    <col min="1059" max="1071" width="13.42578125" style="45" customWidth="1"/>
    <col min="1072" max="1072" width="2.7109375" style="45" customWidth="1"/>
    <col min="1073" max="1085" width="13.42578125" style="45" customWidth="1"/>
    <col min="1086" max="1086" width="2.7109375" style="45" customWidth="1"/>
    <col min="1087" max="1268" width="9.140625" style="45"/>
    <col min="1269" max="1269" width="19.85546875" style="45" bestFit="1" customWidth="1"/>
    <col min="1270" max="1272" width="0" style="45" hidden="1" customWidth="1"/>
    <col min="1273" max="1285" width="13.42578125" style="45" customWidth="1"/>
    <col min="1286" max="1286" width="2.7109375" style="45" customWidth="1"/>
    <col min="1287" max="1299" width="13.42578125" style="45" customWidth="1"/>
    <col min="1300" max="1300" width="2.7109375" style="45" customWidth="1"/>
    <col min="1301" max="1313" width="13.42578125" style="45" customWidth="1"/>
    <col min="1314" max="1314" width="2.7109375" style="45" customWidth="1"/>
    <col min="1315" max="1327" width="13.42578125" style="45" customWidth="1"/>
    <col min="1328" max="1328" width="2.7109375" style="45" customWidth="1"/>
    <col min="1329" max="1341" width="13.42578125" style="45" customWidth="1"/>
    <col min="1342" max="1342" width="2.7109375" style="45" customWidth="1"/>
    <col min="1343" max="1524" width="9.140625" style="45"/>
    <col min="1525" max="1525" width="19.85546875" style="45" bestFit="1" customWidth="1"/>
    <col min="1526" max="1528" width="0" style="45" hidden="1" customWidth="1"/>
    <col min="1529" max="1541" width="13.42578125" style="45" customWidth="1"/>
    <col min="1542" max="1542" width="2.7109375" style="45" customWidth="1"/>
    <col min="1543" max="1555" width="13.42578125" style="45" customWidth="1"/>
    <col min="1556" max="1556" width="2.7109375" style="45" customWidth="1"/>
    <col min="1557" max="1569" width="13.42578125" style="45" customWidth="1"/>
    <col min="1570" max="1570" width="2.7109375" style="45" customWidth="1"/>
    <col min="1571" max="1583" width="13.42578125" style="45" customWidth="1"/>
    <col min="1584" max="1584" width="2.7109375" style="45" customWidth="1"/>
    <col min="1585" max="1597" width="13.42578125" style="45" customWidth="1"/>
    <col min="1598" max="1598" width="2.7109375" style="45" customWidth="1"/>
    <col min="1599" max="1780" width="9.140625" style="45"/>
    <col min="1781" max="1781" width="19.85546875" style="45" bestFit="1" customWidth="1"/>
    <col min="1782" max="1784" width="0" style="45" hidden="1" customWidth="1"/>
    <col min="1785" max="1797" width="13.42578125" style="45" customWidth="1"/>
    <col min="1798" max="1798" width="2.7109375" style="45" customWidth="1"/>
    <col min="1799" max="1811" width="13.42578125" style="45" customWidth="1"/>
    <col min="1812" max="1812" width="2.7109375" style="45" customWidth="1"/>
    <col min="1813" max="1825" width="13.42578125" style="45" customWidth="1"/>
    <col min="1826" max="1826" width="2.7109375" style="45" customWidth="1"/>
    <col min="1827" max="1839" width="13.42578125" style="45" customWidth="1"/>
    <col min="1840" max="1840" width="2.7109375" style="45" customWidth="1"/>
    <col min="1841" max="1853" width="13.42578125" style="45" customWidth="1"/>
    <col min="1854" max="1854" width="2.7109375" style="45" customWidth="1"/>
    <col min="1855" max="2036" width="9.140625" style="45"/>
    <col min="2037" max="2037" width="19.85546875" style="45" bestFit="1" customWidth="1"/>
    <col min="2038" max="2040" width="0" style="45" hidden="1" customWidth="1"/>
    <col min="2041" max="2053" width="13.42578125" style="45" customWidth="1"/>
    <col min="2054" max="2054" width="2.7109375" style="45" customWidth="1"/>
    <col min="2055" max="2067" width="13.42578125" style="45" customWidth="1"/>
    <col min="2068" max="2068" width="2.7109375" style="45" customWidth="1"/>
    <col min="2069" max="2081" width="13.42578125" style="45" customWidth="1"/>
    <col min="2082" max="2082" width="2.7109375" style="45" customWidth="1"/>
    <col min="2083" max="2095" width="13.42578125" style="45" customWidth="1"/>
    <col min="2096" max="2096" width="2.7109375" style="45" customWidth="1"/>
    <col min="2097" max="2109" width="13.42578125" style="45" customWidth="1"/>
    <col min="2110" max="2110" width="2.7109375" style="45" customWidth="1"/>
    <col min="2111" max="2292" width="9.140625" style="45"/>
    <col min="2293" max="2293" width="19.85546875" style="45" bestFit="1" customWidth="1"/>
    <col min="2294" max="2296" width="0" style="45" hidden="1" customWidth="1"/>
    <col min="2297" max="2309" width="13.42578125" style="45" customWidth="1"/>
    <col min="2310" max="2310" width="2.7109375" style="45" customWidth="1"/>
    <col min="2311" max="2323" width="13.42578125" style="45" customWidth="1"/>
    <col min="2324" max="2324" width="2.7109375" style="45" customWidth="1"/>
    <col min="2325" max="2337" width="13.42578125" style="45" customWidth="1"/>
    <col min="2338" max="2338" width="2.7109375" style="45" customWidth="1"/>
    <col min="2339" max="2351" width="13.42578125" style="45" customWidth="1"/>
    <col min="2352" max="2352" width="2.7109375" style="45" customWidth="1"/>
    <col min="2353" max="2365" width="13.42578125" style="45" customWidth="1"/>
    <col min="2366" max="2366" width="2.7109375" style="45" customWidth="1"/>
    <col min="2367" max="2548" width="9.140625" style="45"/>
    <col min="2549" max="2549" width="19.85546875" style="45" bestFit="1" customWidth="1"/>
    <col min="2550" max="2552" width="0" style="45" hidden="1" customWidth="1"/>
    <col min="2553" max="2565" width="13.42578125" style="45" customWidth="1"/>
    <col min="2566" max="2566" width="2.7109375" style="45" customWidth="1"/>
    <col min="2567" max="2579" width="13.42578125" style="45" customWidth="1"/>
    <col min="2580" max="2580" width="2.7109375" style="45" customWidth="1"/>
    <col min="2581" max="2593" width="13.42578125" style="45" customWidth="1"/>
    <col min="2594" max="2594" width="2.7109375" style="45" customWidth="1"/>
    <col min="2595" max="2607" width="13.42578125" style="45" customWidth="1"/>
    <col min="2608" max="2608" width="2.7109375" style="45" customWidth="1"/>
    <col min="2609" max="2621" width="13.42578125" style="45" customWidth="1"/>
    <col min="2622" max="2622" width="2.7109375" style="45" customWidth="1"/>
    <col min="2623" max="2804" width="9.140625" style="45"/>
    <col min="2805" max="2805" width="19.85546875" style="45" bestFit="1" customWidth="1"/>
    <col min="2806" max="2808" width="0" style="45" hidden="1" customWidth="1"/>
    <col min="2809" max="2821" width="13.42578125" style="45" customWidth="1"/>
    <col min="2822" max="2822" width="2.7109375" style="45" customWidth="1"/>
    <col min="2823" max="2835" width="13.42578125" style="45" customWidth="1"/>
    <col min="2836" max="2836" width="2.7109375" style="45" customWidth="1"/>
    <col min="2837" max="2849" width="13.42578125" style="45" customWidth="1"/>
    <col min="2850" max="2850" width="2.7109375" style="45" customWidth="1"/>
    <col min="2851" max="2863" width="13.42578125" style="45" customWidth="1"/>
    <col min="2864" max="2864" width="2.7109375" style="45" customWidth="1"/>
    <col min="2865" max="2877" width="13.42578125" style="45" customWidth="1"/>
    <col min="2878" max="2878" width="2.7109375" style="45" customWidth="1"/>
    <col min="2879" max="3060" width="9.140625" style="45"/>
    <col min="3061" max="3061" width="19.85546875" style="45" bestFit="1" customWidth="1"/>
    <col min="3062" max="3064" width="0" style="45" hidden="1" customWidth="1"/>
    <col min="3065" max="3077" width="13.42578125" style="45" customWidth="1"/>
    <col min="3078" max="3078" width="2.7109375" style="45" customWidth="1"/>
    <col min="3079" max="3091" width="13.42578125" style="45" customWidth="1"/>
    <col min="3092" max="3092" width="2.7109375" style="45" customWidth="1"/>
    <col min="3093" max="3105" width="13.42578125" style="45" customWidth="1"/>
    <col min="3106" max="3106" width="2.7109375" style="45" customWidth="1"/>
    <col min="3107" max="3119" width="13.42578125" style="45" customWidth="1"/>
    <col min="3120" max="3120" width="2.7109375" style="45" customWidth="1"/>
    <col min="3121" max="3133" width="13.42578125" style="45" customWidth="1"/>
    <col min="3134" max="3134" width="2.7109375" style="45" customWidth="1"/>
    <col min="3135" max="3316" width="9.140625" style="45"/>
    <col min="3317" max="3317" width="19.85546875" style="45" bestFit="1" customWidth="1"/>
    <col min="3318" max="3320" width="0" style="45" hidden="1" customWidth="1"/>
    <col min="3321" max="3333" width="13.42578125" style="45" customWidth="1"/>
    <col min="3334" max="3334" width="2.7109375" style="45" customWidth="1"/>
    <col min="3335" max="3347" width="13.42578125" style="45" customWidth="1"/>
    <col min="3348" max="3348" width="2.7109375" style="45" customWidth="1"/>
    <col min="3349" max="3361" width="13.42578125" style="45" customWidth="1"/>
    <col min="3362" max="3362" width="2.7109375" style="45" customWidth="1"/>
    <col min="3363" max="3375" width="13.42578125" style="45" customWidth="1"/>
    <col min="3376" max="3376" width="2.7109375" style="45" customWidth="1"/>
    <col min="3377" max="3389" width="13.42578125" style="45" customWidth="1"/>
    <col min="3390" max="3390" width="2.7109375" style="45" customWidth="1"/>
    <col min="3391" max="3572" width="9.140625" style="45"/>
    <col min="3573" max="3573" width="19.85546875" style="45" bestFit="1" customWidth="1"/>
    <col min="3574" max="3576" width="0" style="45" hidden="1" customWidth="1"/>
    <col min="3577" max="3589" width="13.42578125" style="45" customWidth="1"/>
    <col min="3590" max="3590" width="2.7109375" style="45" customWidth="1"/>
    <col min="3591" max="3603" width="13.42578125" style="45" customWidth="1"/>
    <col min="3604" max="3604" width="2.7109375" style="45" customWidth="1"/>
    <col min="3605" max="3617" width="13.42578125" style="45" customWidth="1"/>
    <col min="3618" max="3618" width="2.7109375" style="45" customWidth="1"/>
    <col min="3619" max="3631" width="13.42578125" style="45" customWidth="1"/>
    <col min="3632" max="3632" width="2.7109375" style="45" customWidth="1"/>
    <col min="3633" max="3645" width="13.42578125" style="45" customWidth="1"/>
    <col min="3646" max="3646" width="2.7109375" style="45" customWidth="1"/>
    <col min="3647" max="3828" width="9.140625" style="45"/>
    <col min="3829" max="3829" width="19.85546875" style="45" bestFit="1" customWidth="1"/>
    <col min="3830" max="3832" width="0" style="45" hidden="1" customWidth="1"/>
    <col min="3833" max="3845" width="13.42578125" style="45" customWidth="1"/>
    <col min="3846" max="3846" width="2.7109375" style="45" customWidth="1"/>
    <col min="3847" max="3859" width="13.42578125" style="45" customWidth="1"/>
    <col min="3860" max="3860" width="2.7109375" style="45" customWidth="1"/>
    <col min="3861" max="3873" width="13.42578125" style="45" customWidth="1"/>
    <col min="3874" max="3874" width="2.7109375" style="45" customWidth="1"/>
    <col min="3875" max="3887" width="13.42578125" style="45" customWidth="1"/>
    <col min="3888" max="3888" width="2.7109375" style="45" customWidth="1"/>
    <col min="3889" max="3901" width="13.42578125" style="45" customWidth="1"/>
    <col min="3902" max="3902" width="2.7109375" style="45" customWidth="1"/>
    <col min="3903" max="4084" width="9.140625" style="45"/>
    <col min="4085" max="4085" width="19.85546875" style="45" bestFit="1" customWidth="1"/>
    <col min="4086" max="4088" width="0" style="45" hidden="1" customWidth="1"/>
    <col min="4089" max="4101" width="13.42578125" style="45" customWidth="1"/>
    <col min="4102" max="4102" width="2.7109375" style="45" customWidth="1"/>
    <col min="4103" max="4115" width="13.42578125" style="45" customWidth="1"/>
    <col min="4116" max="4116" width="2.7109375" style="45" customWidth="1"/>
    <col min="4117" max="4129" width="13.42578125" style="45" customWidth="1"/>
    <col min="4130" max="4130" width="2.7109375" style="45" customWidth="1"/>
    <col min="4131" max="4143" width="13.42578125" style="45" customWidth="1"/>
    <col min="4144" max="4144" width="2.7109375" style="45" customWidth="1"/>
    <col min="4145" max="4157" width="13.42578125" style="45" customWidth="1"/>
    <col min="4158" max="4158" width="2.7109375" style="45" customWidth="1"/>
    <col min="4159" max="4340" width="9.140625" style="45"/>
    <col min="4341" max="4341" width="19.85546875" style="45" bestFit="1" customWidth="1"/>
    <col min="4342" max="4344" width="0" style="45" hidden="1" customWidth="1"/>
    <col min="4345" max="4357" width="13.42578125" style="45" customWidth="1"/>
    <col min="4358" max="4358" width="2.7109375" style="45" customWidth="1"/>
    <col min="4359" max="4371" width="13.42578125" style="45" customWidth="1"/>
    <col min="4372" max="4372" width="2.7109375" style="45" customWidth="1"/>
    <col min="4373" max="4385" width="13.42578125" style="45" customWidth="1"/>
    <col min="4386" max="4386" width="2.7109375" style="45" customWidth="1"/>
    <col min="4387" max="4399" width="13.42578125" style="45" customWidth="1"/>
    <col min="4400" max="4400" width="2.7109375" style="45" customWidth="1"/>
    <col min="4401" max="4413" width="13.42578125" style="45" customWidth="1"/>
    <col min="4414" max="4414" width="2.7109375" style="45" customWidth="1"/>
    <col min="4415" max="4596" width="9.140625" style="45"/>
    <col min="4597" max="4597" width="19.85546875" style="45" bestFit="1" customWidth="1"/>
    <col min="4598" max="4600" width="0" style="45" hidden="1" customWidth="1"/>
    <col min="4601" max="4613" width="13.42578125" style="45" customWidth="1"/>
    <col min="4614" max="4614" width="2.7109375" style="45" customWidth="1"/>
    <col min="4615" max="4627" width="13.42578125" style="45" customWidth="1"/>
    <col min="4628" max="4628" width="2.7109375" style="45" customWidth="1"/>
    <col min="4629" max="4641" width="13.42578125" style="45" customWidth="1"/>
    <col min="4642" max="4642" width="2.7109375" style="45" customWidth="1"/>
    <col min="4643" max="4655" width="13.42578125" style="45" customWidth="1"/>
    <col min="4656" max="4656" width="2.7109375" style="45" customWidth="1"/>
    <col min="4657" max="4669" width="13.42578125" style="45" customWidth="1"/>
    <col min="4670" max="4670" width="2.7109375" style="45" customWidth="1"/>
    <col min="4671" max="4852" width="9.140625" style="45"/>
    <col min="4853" max="4853" width="19.85546875" style="45" bestFit="1" customWidth="1"/>
    <col min="4854" max="4856" width="0" style="45" hidden="1" customWidth="1"/>
    <col min="4857" max="4869" width="13.42578125" style="45" customWidth="1"/>
    <col min="4870" max="4870" width="2.7109375" style="45" customWidth="1"/>
    <col min="4871" max="4883" width="13.42578125" style="45" customWidth="1"/>
    <col min="4884" max="4884" width="2.7109375" style="45" customWidth="1"/>
    <col min="4885" max="4897" width="13.42578125" style="45" customWidth="1"/>
    <col min="4898" max="4898" width="2.7109375" style="45" customWidth="1"/>
    <col min="4899" max="4911" width="13.42578125" style="45" customWidth="1"/>
    <col min="4912" max="4912" width="2.7109375" style="45" customWidth="1"/>
    <col min="4913" max="4925" width="13.42578125" style="45" customWidth="1"/>
    <col min="4926" max="4926" width="2.7109375" style="45" customWidth="1"/>
    <col min="4927" max="5108" width="9.140625" style="45"/>
    <col min="5109" max="5109" width="19.85546875" style="45" bestFit="1" customWidth="1"/>
    <col min="5110" max="5112" width="0" style="45" hidden="1" customWidth="1"/>
    <col min="5113" max="5125" width="13.42578125" style="45" customWidth="1"/>
    <col min="5126" max="5126" width="2.7109375" style="45" customWidth="1"/>
    <col min="5127" max="5139" width="13.42578125" style="45" customWidth="1"/>
    <col min="5140" max="5140" width="2.7109375" style="45" customWidth="1"/>
    <col min="5141" max="5153" width="13.42578125" style="45" customWidth="1"/>
    <col min="5154" max="5154" width="2.7109375" style="45" customWidth="1"/>
    <col min="5155" max="5167" width="13.42578125" style="45" customWidth="1"/>
    <col min="5168" max="5168" width="2.7109375" style="45" customWidth="1"/>
    <col min="5169" max="5181" width="13.42578125" style="45" customWidth="1"/>
    <col min="5182" max="5182" width="2.7109375" style="45" customWidth="1"/>
    <col min="5183" max="5364" width="9.140625" style="45"/>
    <col min="5365" max="5365" width="19.85546875" style="45" bestFit="1" customWidth="1"/>
    <col min="5366" max="5368" width="0" style="45" hidden="1" customWidth="1"/>
    <col min="5369" max="5381" width="13.42578125" style="45" customWidth="1"/>
    <col min="5382" max="5382" width="2.7109375" style="45" customWidth="1"/>
    <col min="5383" max="5395" width="13.42578125" style="45" customWidth="1"/>
    <col min="5396" max="5396" width="2.7109375" style="45" customWidth="1"/>
    <col min="5397" max="5409" width="13.42578125" style="45" customWidth="1"/>
    <col min="5410" max="5410" width="2.7109375" style="45" customWidth="1"/>
    <col min="5411" max="5423" width="13.42578125" style="45" customWidth="1"/>
    <col min="5424" max="5424" width="2.7109375" style="45" customWidth="1"/>
    <col min="5425" max="5437" width="13.42578125" style="45" customWidth="1"/>
    <col min="5438" max="5438" width="2.7109375" style="45" customWidth="1"/>
    <col min="5439" max="5620" width="9.140625" style="45"/>
    <col min="5621" max="5621" width="19.85546875" style="45" bestFit="1" customWidth="1"/>
    <col min="5622" max="5624" width="0" style="45" hidden="1" customWidth="1"/>
    <col min="5625" max="5637" width="13.42578125" style="45" customWidth="1"/>
    <col min="5638" max="5638" width="2.7109375" style="45" customWidth="1"/>
    <col min="5639" max="5651" width="13.42578125" style="45" customWidth="1"/>
    <col min="5652" max="5652" width="2.7109375" style="45" customWidth="1"/>
    <col min="5653" max="5665" width="13.42578125" style="45" customWidth="1"/>
    <col min="5666" max="5666" width="2.7109375" style="45" customWidth="1"/>
    <col min="5667" max="5679" width="13.42578125" style="45" customWidth="1"/>
    <col min="5680" max="5680" width="2.7109375" style="45" customWidth="1"/>
    <col min="5681" max="5693" width="13.42578125" style="45" customWidth="1"/>
    <col min="5694" max="5694" width="2.7109375" style="45" customWidth="1"/>
    <col min="5695" max="5876" width="9.140625" style="45"/>
    <col min="5877" max="5877" width="19.85546875" style="45" bestFit="1" customWidth="1"/>
    <col min="5878" max="5880" width="0" style="45" hidden="1" customWidth="1"/>
    <col min="5881" max="5893" width="13.42578125" style="45" customWidth="1"/>
    <col min="5894" max="5894" width="2.7109375" style="45" customWidth="1"/>
    <col min="5895" max="5907" width="13.42578125" style="45" customWidth="1"/>
    <col min="5908" max="5908" width="2.7109375" style="45" customWidth="1"/>
    <col min="5909" max="5921" width="13.42578125" style="45" customWidth="1"/>
    <col min="5922" max="5922" width="2.7109375" style="45" customWidth="1"/>
    <col min="5923" max="5935" width="13.42578125" style="45" customWidth="1"/>
    <col min="5936" max="5936" width="2.7109375" style="45" customWidth="1"/>
    <col min="5937" max="5949" width="13.42578125" style="45" customWidth="1"/>
    <col min="5950" max="5950" width="2.7109375" style="45" customWidth="1"/>
    <col min="5951" max="6132" width="9.140625" style="45"/>
    <col min="6133" max="6133" width="19.85546875" style="45" bestFit="1" customWidth="1"/>
    <col min="6134" max="6136" width="0" style="45" hidden="1" customWidth="1"/>
    <col min="6137" max="6149" width="13.42578125" style="45" customWidth="1"/>
    <col min="6150" max="6150" width="2.7109375" style="45" customWidth="1"/>
    <col min="6151" max="6163" width="13.42578125" style="45" customWidth="1"/>
    <col min="6164" max="6164" width="2.7109375" style="45" customWidth="1"/>
    <col min="6165" max="6177" width="13.42578125" style="45" customWidth="1"/>
    <col min="6178" max="6178" width="2.7109375" style="45" customWidth="1"/>
    <col min="6179" max="6191" width="13.42578125" style="45" customWidth="1"/>
    <col min="6192" max="6192" width="2.7109375" style="45" customWidth="1"/>
    <col min="6193" max="6205" width="13.42578125" style="45" customWidth="1"/>
    <col min="6206" max="6206" width="2.7109375" style="45" customWidth="1"/>
    <col min="6207" max="6388" width="9.140625" style="45"/>
    <col min="6389" max="6389" width="19.85546875" style="45" bestFit="1" customWidth="1"/>
    <col min="6390" max="6392" width="0" style="45" hidden="1" customWidth="1"/>
    <col min="6393" max="6405" width="13.42578125" style="45" customWidth="1"/>
    <col min="6406" max="6406" width="2.7109375" style="45" customWidth="1"/>
    <col min="6407" max="6419" width="13.42578125" style="45" customWidth="1"/>
    <col min="6420" max="6420" width="2.7109375" style="45" customWidth="1"/>
    <col min="6421" max="6433" width="13.42578125" style="45" customWidth="1"/>
    <col min="6434" max="6434" width="2.7109375" style="45" customWidth="1"/>
    <col min="6435" max="6447" width="13.42578125" style="45" customWidth="1"/>
    <col min="6448" max="6448" width="2.7109375" style="45" customWidth="1"/>
    <col min="6449" max="6461" width="13.42578125" style="45" customWidth="1"/>
    <col min="6462" max="6462" width="2.7109375" style="45" customWidth="1"/>
    <col min="6463" max="6644" width="9.140625" style="45"/>
    <col min="6645" max="6645" width="19.85546875" style="45" bestFit="1" customWidth="1"/>
    <col min="6646" max="6648" width="0" style="45" hidden="1" customWidth="1"/>
    <col min="6649" max="6661" width="13.42578125" style="45" customWidth="1"/>
    <col min="6662" max="6662" width="2.7109375" style="45" customWidth="1"/>
    <col min="6663" max="6675" width="13.42578125" style="45" customWidth="1"/>
    <col min="6676" max="6676" width="2.7109375" style="45" customWidth="1"/>
    <col min="6677" max="6689" width="13.42578125" style="45" customWidth="1"/>
    <col min="6690" max="6690" width="2.7109375" style="45" customWidth="1"/>
    <col min="6691" max="6703" width="13.42578125" style="45" customWidth="1"/>
    <col min="6704" max="6704" width="2.7109375" style="45" customWidth="1"/>
    <col min="6705" max="6717" width="13.42578125" style="45" customWidth="1"/>
    <col min="6718" max="6718" width="2.7109375" style="45" customWidth="1"/>
    <col min="6719" max="6900" width="9.140625" style="45"/>
    <col min="6901" max="6901" width="19.85546875" style="45" bestFit="1" customWidth="1"/>
    <col min="6902" max="6904" width="0" style="45" hidden="1" customWidth="1"/>
    <col min="6905" max="6917" width="13.42578125" style="45" customWidth="1"/>
    <col min="6918" max="6918" width="2.7109375" style="45" customWidth="1"/>
    <col min="6919" max="6931" width="13.42578125" style="45" customWidth="1"/>
    <col min="6932" max="6932" width="2.7109375" style="45" customWidth="1"/>
    <col min="6933" max="6945" width="13.42578125" style="45" customWidth="1"/>
    <col min="6946" max="6946" width="2.7109375" style="45" customWidth="1"/>
    <col min="6947" max="6959" width="13.42578125" style="45" customWidth="1"/>
    <col min="6960" max="6960" width="2.7109375" style="45" customWidth="1"/>
    <col min="6961" max="6973" width="13.42578125" style="45" customWidth="1"/>
    <col min="6974" max="6974" width="2.7109375" style="45" customWidth="1"/>
    <col min="6975" max="7156" width="9.140625" style="45"/>
    <col min="7157" max="7157" width="19.85546875" style="45" bestFit="1" customWidth="1"/>
    <col min="7158" max="7160" width="0" style="45" hidden="1" customWidth="1"/>
    <col min="7161" max="7173" width="13.42578125" style="45" customWidth="1"/>
    <col min="7174" max="7174" width="2.7109375" style="45" customWidth="1"/>
    <col min="7175" max="7187" width="13.42578125" style="45" customWidth="1"/>
    <col min="7188" max="7188" width="2.7109375" style="45" customWidth="1"/>
    <col min="7189" max="7201" width="13.42578125" style="45" customWidth="1"/>
    <col min="7202" max="7202" width="2.7109375" style="45" customWidth="1"/>
    <col min="7203" max="7215" width="13.42578125" style="45" customWidth="1"/>
    <col min="7216" max="7216" width="2.7109375" style="45" customWidth="1"/>
    <col min="7217" max="7229" width="13.42578125" style="45" customWidth="1"/>
    <col min="7230" max="7230" width="2.7109375" style="45" customWidth="1"/>
    <col min="7231" max="7412" width="9.140625" style="45"/>
    <col min="7413" max="7413" width="19.85546875" style="45" bestFit="1" customWidth="1"/>
    <col min="7414" max="7416" width="0" style="45" hidden="1" customWidth="1"/>
    <col min="7417" max="7429" width="13.42578125" style="45" customWidth="1"/>
    <col min="7430" max="7430" width="2.7109375" style="45" customWidth="1"/>
    <col min="7431" max="7443" width="13.42578125" style="45" customWidth="1"/>
    <col min="7444" max="7444" width="2.7109375" style="45" customWidth="1"/>
    <col min="7445" max="7457" width="13.42578125" style="45" customWidth="1"/>
    <col min="7458" max="7458" width="2.7109375" style="45" customWidth="1"/>
    <col min="7459" max="7471" width="13.42578125" style="45" customWidth="1"/>
    <col min="7472" max="7472" width="2.7109375" style="45" customWidth="1"/>
    <col min="7473" max="7485" width="13.42578125" style="45" customWidth="1"/>
    <col min="7486" max="7486" width="2.7109375" style="45" customWidth="1"/>
    <col min="7487" max="7668" width="9.140625" style="45"/>
    <col min="7669" max="7669" width="19.85546875" style="45" bestFit="1" customWidth="1"/>
    <col min="7670" max="7672" width="0" style="45" hidden="1" customWidth="1"/>
    <col min="7673" max="7685" width="13.42578125" style="45" customWidth="1"/>
    <col min="7686" max="7686" width="2.7109375" style="45" customWidth="1"/>
    <col min="7687" max="7699" width="13.42578125" style="45" customWidth="1"/>
    <col min="7700" max="7700" width="2.7109375" style="45" customWidth="1"/>
    <col min="7701" max="7713" width="13.42578125" style="45" customWidth="1"/>
    <col min="7714" max="7714" width="2.7109375" style="45" customWidth="1"/>
    <col min="7715" max="7727" width="13.42578125" style="45" customWidth="1"/>
    <col min="7728" max="7728" width="2.7109375" style="45" customWidth="1"/>
    <col min="7729" max="7741" width="13.42578125" style="45" customWidth="1"/>
    <col min="7742" max="7742" width="2.7109375" style="45" customWidth="1"/>
    <col min="7743" max="7924" width="9.140625" style="45"/>
    <col min="7925" max="7925" width="19.85546875" style="45" bestFit="1" customWidth="1"/>
    <col min="7926" max="7928" width="0" style="45" hidden="1" customWidth="1"/>
    <col min="7929" max="7941" width="13.42578125" style="45" customWidth="1"/>
    <col min="7942" max="7942" width="2.7109375" style="45" customWidth="1"/>
    <col min="7943" max="7955" width="13.42578125" style="45" customWidth="1"/>
    <col min="7956" max="7956" width="2.7109375" style="45" customWidth="1"/>
    <col min="7957" max="7969" width="13.42578125" style="45" customWidth="1"/>
    <col min="7970" max="7970" width="2.7109375" style="45" customWidth="1"/>
    <col min="7971" max="7983" width="13.42578125" style="45" customWidth="1"/>
    <col min="7984" max="7984" width="2.7109375" style="45" customWidth="1"/>
    <col min="7985" max="7997" width="13.42578125" style="45" customWidth="1"/>
    <col min="7998" max="7998" width="2.7109375" style="45" customWidth="1"/>
    <col min="7999" max="8180" width="9.140625" style="45"/>
    <col min="8181" max="8181" width="19.85546875" style="45" bestFit="1" customWidth="1"/>
    <col min="8182" max="8184" width="0" style="45" hidden="1" customWidth="1"/>
    <col min="8185" max="8197" width="13.42578125" style="45" customWidth="1"/>
    <col min="8198" max="8198" width="2.7109375" style="45" customWidth="1"/>
    <col min="8199" max="8211" width="13.42578125" style="45" customWidth="1"/>
    <col min="8212" max="8212" width="2.7109375" style="45" customWidth="1"/>
    <col min="8213" max="8225" width="13.42578125" style="45" customWidth="1"/>
    <col min="8226" max="8226" width="2.7109375" style="45" customWidth="1"/>
    <col min="8227" max="8239" width="13.42578125" style="45" customWidth="1"/>
    <col min="8240" max="8240" width="2.7109375" style="45" customWidth="1"/>
    <col min="8241" max="8253" width="13.42578125" style="45" customWidth="1"/>
    <col min="8254" max="8254" width="2.7109375" style="45" customWidth="1"/>
    <col min="8255" max="8436" width="9.140625" style="45"/>
    <col min="8437" max="8437" width="19.85546875" style="45" bestFit="1" customWidth="1"/>
    <col min="8438" max="8440" width="0" style="45" hidden="1" customWidth="1"/>
    <col min="8441" max="8453" width="13.42578125" style="45" customWidth="1"/>
    <col min="8454" max="8454" width="2.7109375" style="45" customWidth="1"/>
    <col min="8455" max="8467" width="13.42578125" style="45" customWidth="1"/>
    <col min="8468" max="8468" width="2.7109375" style="45" customWidth="1"/>
    <col min="8469" max="8481" width="13.42578125" style="45" customWidth="1"/>
    <col min="8482" max="8482" width="2.7109375" style="45" customWidth="1"/>
    <col min="8483" max="8495" width="13.42578125" style="45" customWidth="1"/>
    <col min="8496" max="8496" width="2.7109375" style="45" customWidth="1"/>
    <col min="8497" max="8509" width="13.42578125" style="45" customWidth="1"/>
    <col min="8510" max="8510" width="2.7109375" style="45" customWidth="1"/>
    <col min="8511" max="8692" width="9.140625" style="45"/>
    <col min="8693" max="8693" width="19.85546875" style="45" bestFit="1" customWidth="1"/>
    <col min="8694" max="8696" width="0" style="45" hidden="1" customWidth="1"/>
    <col min="8697" max="8709" width="13.42578125" style="45" customWidth="1"/>
    <col min="8710" max="8710" width="2.7109375" style="45" customWidth="1"/>
    <col min="8711" max="8723" width="13.42578125" style="45" customWidth="1"/>
    <col min="8724" max="8724" width="2.7109375" style="45" customWidth="1"/>
    <col min="8725" max="8737" width="13.42578125" style="45" customWidth="1"/>
    <col min="8738" max="8738" width="2.7109375" style="45" customWidth="1"/>
    <col min="8739" max="8751" width="13.42578125" style="45" customWidth="1"/>
    <col min="8752" max="8752" width="2.7109375" style="45" customWidth="1"/>
    <col min="8753" max="8765" width="13.42578125" style="45" customWidth="1"/>
    <col min="8766" max="8766" width="2.7109375" style="45" customWidth="1"/>
    <col min="8767" max="8948" width="9.140625" style="45"/>
    <col min="8949" max="8949" width="19.85546875" style="45" bestFit="1" customWidth="1"/>
    <col min="8950" max="8952" width="0" style="45" hidden="1" customWidth="1"/>
    <col min="8953" max="8965" width="13.42578125" style="45" customWidth="1"/>
    <col min="8966" max="8966" width="2.7109375" style="45" customWidth="1"/>
    <col min="8967" max="8979" width="13.42578125" style="45" customWidth="1"/>
    <col min="8980" max="8980" width="2.7109375" style="45" customWidth="1"/>
    <col min="8981" max="8993" width="13.42578125" style="45" customWidth="1"/>
    <col min="8994" max="8994" width="2.7109375" style="45" customWidth="1"/>
    <col min="8995" max="9007" width="13.42578125" style="45" customWidth="1"/>
    <col min="9008" max="9008" width="2.7109375" style="45" customWidth="1"/>
    <col min="9009" max="9021" width="13.42578125" style="45" customWidth="1"/>
    <col min="9022" max="9022" width="2.7109375" style="45" customWidth="1"/>
    <col min="9023" max="9204" width="9.140625" style="45"/>
    <col min="9205" max="9205" width="19.85546875" style="45" bestFit="1" customWidth="1"/>
    <col min="9206" max="9208" width="0" style="45" hidden="1" customWidth="1"/>
    <col min="9209" max="9221" width="13.42578125" style="45" customWidth="1"/>
    <col min="9222" max="9222" width="2.7109375" style="45" customWidth="1"/>
    <col min="9223" max="9235" width="13.42578125" style="45" customWidth="1"/>
    <col min="9236" max="9236" width="2.7109375" style="45" customWidth="1"/>
    <col min="9237" max="9249" width="13.42578125" style="45" customWidth="1"/>
    <col min="9250" max="9250" width="2.7109375" style="45" customWidth="1"/>
    <col min="9251" max="9263" width="13.42578125" style="45" customWidth="1"/>
    <col min="9264" max="9264" width="2.7109375" style="45" customWidth="1"/>
    <col min="9265" max="9277" width="13.42578125" style="45" customWidth="1"/>
    <col min="9278" max="9278" width="2.7109375" style="45" customWidth="1"/>
    <col min="9279" max="9460" width="9.140625" style="45"/>
    <col min="9461" max="9461" width="19.85546875" style="45" bestFit="1" customWidth="1"/>
    <col min="9462" max="9464" width="0" style="45" hidden="1" customWidth="1"/>
    <col min="9465" max="9477" width="13.42578125" style="45" customWidth="1"/>
    <col min="9478" max="9478" width="2.7109375" style="45" customWidth="1"/>
    <col min="9479" max="9491" width="13.42578125" style="45" customWidth="1"/>
    <col min="9492" max="9492" width="2.7109375" style="45" customWidth="1"/>
    <col min="9493" max="9505" width="13.42578125" style="45" customWidth="1"/>
    <col min="9506" max="9506" width="2.7109375" style="45" customWidth="1"/>
    <col min="9507" max="9519" width="13.42578125" style="45" customWidth="1"/>
    <col min="9520" max="9520" width="2.7109375" style="45" customWidth="1"/>
    <col min="9521" max="9533" width="13.42578125" style="45" customWidth="1"/>
    <col min="9534" max="9534" width="2.7109375" style="45" customWidth="1"/>
    <col min="9535" max="9716" width="9.140625" style="45"/>
    <col min="9717" max="9717" width="19.85546875" style="45" bestFit="1" customWidth="1"/>
    <col min="9718" max="9720" width="0" style="45" hidden="1" customWidth="1"/>
    <col min="9721" max="9733" width="13.42578125" style="45" customWidth="1"/>
    <col min="9734" max="9734" width="2.7109375" style="45" customWidth="1"/>
    <col min="9735" max="9747" width="13.42578125" style="45" customWidth="1"/>
    <col min="9748" max="9748" width="2.7109375" style="45" customWidth="1"/>
    <col min="9749" max="9761" width="13.42578125" style="45" customWidth="1"/>
    <col min="9762" max="9762" width="2.7109375" style="45" customWidth="1"/>
    <col min="9763" max="9775" width="13.42578125" style="45" customWidth="1"/>
    <col min="9776" max="9776" width="2.7109375" style="45" customWidth="1"/>
    <col min="9777" max="9789" width="13.42578125" style="45" customWidth="1"/>
    <col min="9790" max="9790" width="2.7109375" style="45" customWidth="1"/>
    <col min="9791" max="9972" width="9.140625" style="45"/>
    <col min="9973" max="9973" width="19.85546875" style="45" bestFit="1" customWidth="1"/>
    <col min="9974" max="9976" width="0" style="45" hidden="1" customWidth="1"/>
    <col min="9977" max="9989" width="13.42578125" style="45" customWidth="1"/>
    <col min="9990" max="9990" width="2.7109375" style="45" customWidth="1"/>
    <col min="9991" max="10003" width="13.42578125" style="45" customWidth="1"/>
    <col min="10004" max="10004" width="2.7109375" style="45" customWidth="1"/>
    <col min="10005" max="10017" width="13.42578125" style="45" customWidth="1"/>
    <col min="10018" max="10018" width="2.7109375" style="45" customWidth="1"/>
    <col min="10019" max="10031" width="13.42578125" style="45" customWidth="1"/>
    <col min="10032" max="10032" width="2.7109375" style="45" customWidth="1"/>
    <col min="10033" max="10045" width="13.42578125" style="45" customWidth="1"/>
    <col min="10046" max="10046" width="2.7109375" style="45" customWidth="1"/>
    <col min="10047" max="10228" width="9.140625" style="45"/>
    <col min="10229" max="10229" width="19.85546875" style="45" bestFit="1" customWidth="1"/>
    <col min="10230" max="10232" width="0" style="45" hidden="1" customWidth="1"/>
    <col min="10233" max="10245" width="13.42578125" style="45" customWidth="1"/>
    <col min="10246" max="10246" width="2.7109375" style="45" customWidth="1"/>
    <col min="10247" max="10259" width="13.42578125" style="45" customWidth="1"/>
    <col min="10260" max="10260" width="2.7109375" style="45" customWidth="1"/>
    <col min="10261" max="10273" width="13.42578125" style="45" customWidth="1"/>
    <col min="10274" max="10274" width="2.7109375" style="45" customWidth="1"/>
    <col min="10275" max="10287" width="13.42578125" style="45" customWidth="1"/>
    <col min="10288" max="10288" width="2.7109375" style="45" customWidth="1"/>
    <col min="10289" max="10301" width="13.42578125" style="45" customWidth="1"/>
    <col min="10302" max="10302" width="2.7109375" style="45" customWidth="1"/>
    <col min="10303" max="10484" width="9.140625" style="45"/>
    <col min="10485" max="10485" width="19.85546875" style="45" bestFit="1" customWidth="1"/>
    <col min="10486" max="10488" width="0" style="45" hidden="1" customWidth="1"/>
    <col min="10489" max="10501" width="13.42578125" style="45" customWidth="1"/>
    <col min="10502" max="10502" width="2.7109375" style="45" customWidth="1"/>
    <col min="10503" max="10515" width="13.42578125" style="45" customWidth="1"/>
    <col min="10516" max="10516" width="2.7109375" style="45" customWidth="1"/>
    <col min="10517" max="10529" width="13.42578125" style="45" customWidth="1"/>
    <col min="10530" max="10530" width="2.7109375" style="45" customWidth="1"/>
    <col min="10531" max="10543" width="13.42578125" style="45" customWidth="1"/>
    <col min="10544" max="10544" width="2.7109375" style="45" customWidth="1"/>
    <col min="10545" max="10557" width="13.42578125" style="45" customWidth="1"/>
    <col min="10558" max="10558" width="2.7109375" style="45" customWidth="1"/>
    <col min="10559" max="10740" width="9.140625" style="45"/>
    <col min="10741" max="10741" width="19.85546875" style="45" bestFit="1" customWidth="1"/>
    <col min="10742" max="10744" width="0" style="45" hidden="1" customWidth="1"/>
    <col min="10745" max="10757" width="13.42578125" style="45" customWidth="1"/>
    <col min="10758" max="10758" width="2.7109375" style="45" customWidth="1"/>
    <col min="10759" max="10771" width="13.42578125" style="45" customWidth="1"/>
    <col min="10772" max="10772" width="2.7109375" style="45" customWidth="1"/>
    <col min="10773" max="10785" width="13.42578125" style="45" customWidth="1"/>
    <col min="10786" max="10786" width="2.7109375" style="45" customWidth="1"/>
    <col min="10787" max="10799" width="13.42578125" style="45" customWidth="1"/>
    <col min="10800" max="10800" width="2.7109375" style="45" customWidth="1"/>
    <col min="10801" max="10813" width="13.42578125" style="45" customWidth="1"/>
    <col min="10814" max="10814" width="2.7109375" style="45" customWidth="1"/>
    <col min="10815" max="10996" width="9.140625" style="45"/>
    <col min="10997" max="10997" width="19.85546875" style="45" bestFit="1" customWidth="1"/>
    <col min="10998" max="11000" width="0" style="45" hidden="1" customWidth="1"/>
    <col min="11001" max="11013" width="13.42578125" style="45" customWidth="1"/>
    <col min="11014" max="11014" width="2.7109375" style="45" customWidth="1"/>
    <col min="11015" max="11027" width="13.42578125" style="45" customWidth="1"/>
    <col min="11028" max="11028" width="2.7109375" style="45" customWidth="1"/>
    <col min="11029" max="11041" width="13.42578125" style="45" customWidth="1"/>
    <col min="11042" max="11042" width="2.7109375" style="45" customWidth="1"/>
    <col min="11043" max="11055" width="13.42578125" style="45" customWidth="1"/>
    <col min="11056" max="11056" width="2.7109375" style="45" customWidth="1"/>
    <col min="11057" max="11069" width="13.42578125" style="45" customWidth="1"/>
    <col min="11070" max="11070" width="2.7109375" style="45" customWidth="1"/>
    <col min="11071" max="11252" width="9.140625" style="45"/>
    <col min="11253" max="11253" width="19.85546875" style="45" bestFit="1" customWidth="1"/>
    <col min="11254" max="11256" width="0" style="45" hidden="1" customWidth="1"/>
    <col min="11257" max="11269" width="13.42578125" style="45" customWidth="1"/>
    <col min="11270" max="11270" width="2.7109375" style="45" customWidth="1"/>
    <col min="11271" max="11283" width="13.42578125" style="45" customWidth="1"/>
    <col min="11284" max="11284" width="2.7109375" style="45" customWidth="1"/>
    <col min="11285" max="11297" width="13.42578125" style="45" customWidth="1"/>
    <col min="11298" max="11298" width="2.7109375" style="45" customWidth="1"/>
    <col min="11299" max="11311" width="13.42578125" style="45" customWidth="1"/>
    <col min="11312" max="11312" width="2.7109375" style="45" customWidth="1"/>
    <col min="11313" max="11325" width="13.42578125" style="45" customWidth="1"/>
    <col min="11326" max="11326" width="2.7109375" style="45" customWidth="1"/>
    <col min="11327" max="11508" width="9.140625" style="45"/>
    <col min="11509" max="11509" width="19.85546875" style="45" bestFit="1" customWidth="1"/>
    <col min="11510" max="11512" width="0" style="45" hidden="1" customWidth="1"/>
    <col min="11513" max="11525" width="13.42578125" style="45" customWidth="1"/>
    <col min="11526" max="11526" width="2.7109375" style="45" customWidth="1"/>
    <col min="11527" max="11539" width="13.42578125" style="45" customWidth="1"/>
    <col min="11540" max="11540" width="2.7109375" style="45" customWidth="1"/>
    <col min="11541" max="11553" width="13.42578125" style="45" customWidth="1"/>
    <col min="11554" max="11554" width="2.7109375" style="45" customWidth="1"/>
    <col min="11555" max="11567" width="13.42578125" style="45" customWidth="1"/>
    <col min="11568" max="11568" width="2.7109375" style="45" customWidth="1"/>
    <col min="11569" max="11581" width="13.42578125" style="45" customWidth="1"/>
    <col min="11582" max="11582" width="2.7109375" style="45" customWidth="1"/>
    <col min="11583" max="11764" width="9.140625" style="45"/>
    <col min="11765" max="11765" width="19.85546875" style="45" bestFit="1" customWidth="1"/>
    <col min="11766" max="11768" width="0" style="45" hidden="1" customWidth="1"/>
    <col min="11769" max="11781" width="13.42578125" style="45" customWidth="1"/>
    <col min="11782" max="11782" width="2.7109375" style="45" customWidth="1"/>
    <col min="11783" max="11795" width="13.42578125" style="45" customWidth="1"/>
    <col min="11796" max="11796" width="2.7109375" style="45" customWidth="1"/>
    <col min="11797" max="11809" width="13.42578125" style="45" customWidth="1"/>
    <col min="11810" max="11810" width="2.7109375" style="45" customWidth="1"/>
    <col min="11811" max="11823" width="13.42578125" style="45" customWidth="1"/>
    <col min="11824" max="11824" width="2.7109375" style="45" customWidth="1"/>
    <col min="11825" max="11837" width="13.42578125" style="45" customWidth="1"/>
    <col min="11838" max="11838" width="2.7109375" style="45" customWidth="1"/>
    <col min="11839" max="12020" width="9.140625" style="45"/>
    <col min="12021" max="12021" width="19.85546875" style="45" bestFit="1" customWidth="1"/>
    <col min="12022" max="12024" width="0" style="45" hidden="1" customWidth="1"/>
    <col min="12025" max="12037" width="13.42578125" style="45" customWidth="1"/>
    <col min="12038" max="12038" width="2.7109375" style="45" customWidth="1"/>
    <col min="12039" max="12051" width="13.42578125" style="45" customWidth="1"/>
    <col min="12052" max="12052" width="2.7109375" style="45" customWidth="1"/>
    <col min="12053" max="12065" width="13.42578125" style="45" customWidth="1"/>
    <col min="12066" max="12066" width="2.7109375" style="45" customWidth="1"/>
    <col min="12067" max="12079" width="13.42578125" style="45" customWidth="1"/>
    <col min="12080" max="12080" width="2.7109375" style="45" customWidth="1"/>
    <col min="12081" max="12093" width="13.42578125" style="45" customWidth="1"/>
    <col min="12094" max="12094" width="2.7109375" style="45" customWidth="1"/>
    <col min="12095" max="12276" width="9.140625" style="45"/>
    <col min="12277" max="12277" width="19.85546875" style="45" bestFit="1" customWidth="1"/>
    <col min="12278" max="12280" width="0" style="45" hidden="1" customWidth="1"/>
    <col min="12281" max="12293" width="13.42578125" style="45" customWidth="1"/>
    <col min="12294" max="12294" width="2.7109375" style="45" customWidth="1"/>
    <col min="12295" max="12307" width="13.42578125" style="45" customWidth="1"/>
    <col min="12308" max="12308" width="2.7109375" style="45" customWidth="1"/>
    <col min="12309" max="12321" width="13.42578125" style="45" customWidth="1"/>
    <col min="12322" max="12322" width="2.7109375" style="45" customWidth="1"/>
    <col min="12323" max="12335" width="13.42578125" style="45" customWidth="1"/>
    <col min="12336" max="12336" width="2.7109375" style="45" customWidth="1"/>
    <col min="12337" max="12349" width="13.42578125" style="45" customWidth="1"/>
    <col min="12350" max="12350" width="2.7109375" style="45" customWidth="1"/>
    <col min="12351" max="12532" width="9.140625" style="45"/>
    <col min="12533" max="12533" width="19.85546875" style="45" bestFit="1" customWidth="1"/>
    <col min="12534" max="12536" width="0" style="45" hidden="1" customWidth="1"/>
    <col min="12537" max="12549" width="13.42578125" style="45" customWidth="1"/>
    <col min="12550" max="12550" width="2.7109375" style="45" customWidth="1"/>
    <col min="12551" max="12563" width="13.42578125" style="45" customWidth="1"/>
    <col min="12564" max="12564" width="2.7109375" style="45" customWidth="1"/>
    <col min="12565" max="12577" width="13.42578125" style="45" customWidth="1"/>
    <col min="12578" max="12578" width="2.7109375" style="45" customWidth="1"/>
    <col min="12579" max="12591" width="13.42578125" style="45" customWidth="1"/>
    <col min="12592" max="12592" width="2.7109375" style="45" customWidth="1"/>
    <col min="12593" max="12605" width="13.42578125" style="45" customWidth="1"/>
    <col min="12606" max="12606" width="2.7109375" style="45" customWidth="1"/>
    <col min="12607" max="12788" width="9.140625" style="45"/>
    <col min="12789" max="12789" width="19.85546875" style="45" bestFit="1" customWidth="1"/>
    <col min="12790" max="12792" width="0" style="45" hidden="1" customWidth="1"/>
    <col min="12793" max="12805" width="13.42578125" style="45" customWidth="1"/>
    <col min="12806" max="12806" width="2.7109375" style="45" customWidth="1"/>
    <col min="12807" max="12819" width="13.42578125" style="45" customWidth="1"/>
    <col min="12820" max="12820" width="2.7109375" style="45" customWidth="1"/>
    <col min="12821" max="12833" width="13.42578125" style="45" customWidth="1"/>
    <col min="12834" max="12834" width="2.7109375" style="45" customWidth="1"/>
    <col min="12835" max="12847" width="13.42578125" style="45" customWidth="1"/>
    <col min="12848" max="12848" width="2.7109375" style="45" customWidth="1"/>
    <col min="12849" max="12861" width="13.42578125" style="45" customWidth="1"/>
    <col min="12862" max="12862" width="2.7109375" style="45" customWidth="1"/>
    <col min="12863" max="13044" width="9.140625" style="45"/>
    <col min="13045" max="13045" width="19.85546875" style="45" bestFit="1" customWidth="1"/>
    <col min="13046" max="13048" width="0" style="45" hidden="1" customWidth="1"/>
    <col min="13049" max="13061" width="13.42578125" style="45" customWidth="1"/>
    <col min="13062" max="13062" width="2.7109375" style="45" customWidth="1"/>
    <col min="13063" max="13075" width="13.42578125" style="45" customWidth="1"/>
    <col min="13076" max="13076" width="2.7109375" style="45" customWidth="1"/>
    <col min="13077" max="13089" width="13.42578125" style="45" customWidth="1"/>
    <col min="13090" max="13090" width="2.7109375" style="45" customWidth="1"/>
    <col min="13091" max="13103" width="13.42578125" style="45" customWidth="1"/>
    <col min="13104" max="13104" width="2.7109375" style="45" customWidth="1"/>
    <col min="13105" max="13117" width="13.42578125" style="45" customWidth="1"/>
    <col min="13118" max="13118" width="2.7109375" style="45" customWidth="1"/>
    <col min="13119" max="13300" width="9.140625" style="45"/>
    <col min="13301" max="13301" width="19.85546875" style="45" bestFit="1" customWidth="1"/>
    <col min="13302" max="13304" width="0" style="45" hidden="1" customWidth="1"/>
    <col min="13305" max="13317" width="13.42578125" style="45" customWidth="1"/>
    <col min="13318" max="13318" width="2.7109375" style="45" customWidth="1"/>
    <col min="13319" max="13331" width="13.42578125" style="45" customWidth="1"/>
    <col min="13332" max="13332" width="2.7109375" style="45" customWidth="1"/>
    <col min="13333" max="13345" width="13.42578125" style="45" customWidth="1"/>
    <col min="13346" max="13346" width="2.7109375" style="45" customWidth="1"/>
    <col min="13347" max="13359" width="13.42578125" style="45" customWidth="1"/>
    <col min="13360" max="13360" width="2.7109375" style="45" customWidth="1"/>
    <col min="13361" max="13373" width="13.42578125" style="45" customWidth="1"/>
    <col min="13374" max="13374" width="2.7109375" style="45" customWidth="1"/>
    <col min="13375" max="13556" width="9.140625" style="45"/>
    <col min="13557" max="13557" width="19.85546875" style="45" bestFit="1" customWidth="1"/>
    <col min="13558" max="13560" width="0" style="45" hidden="1" customWidth="1"/>
    <col min="13561" max="13573" width="13.42578125" style="45" customWidth="1"/>
    <col min="13574" max="13574" width="2.7109375" style="45" customWidth="1"/>
    <col min="13575" max="13587" width="13.42578125" style="45" customWidth="1"/>
    <col min="13588" max="13588" width="2.7109375" style="45" customWidth="1"/>
    <col min="13589" max="13601" width="13.42578125" style="45" customWidth="1"/>
    <col min="13602" max="13602" width="2.7109375" style="45" customWidth="1"/>
    <col min="13603" max="13615" width="13.42578125" style="45" customWidth="1"/>
    <col min="13616" max="13616" width="2.7109375" style="45" customWidth="1"/>
    <col min="13617" max="13629" width="13.42578125" style="45" customWidth="1"/>
    <col min="13630" max="13630" width="2.7109375" style="45" customWidth="1"/>
    <col min="13631" max="13812" width="9.140625" style="45"/>
    <col min="13813" max="13813" width="19.85546875" style="45" bestFit="1" customWidth="1"/>
    <col min="13814" max="13816" width="0" style="45" hidden="1" customWidth="1"/>
    <col min="13817" max="13829" width="13.42578125" style="45" customWidth="1"/>
    <col min="13830" max="13830" width="2.7109375" style="45" customWidth="1"/>
    <col min="13831" max="13843" width="13.42578125" style="45" customWidth="1"/>
    <col min="13844" max="13844" width="2.7109375" style="45" customWidth="1"/>
    <col min="13845" max="13857" width="13.42578125" style="45" customWidth="1"/>
    <col min="13858" max="13858" width="2.7109375" style="45" customWidth="1"/>
    <col min="13859" max="13871" width="13.42578125" style="45" customWidth="1"/>
    <col min="13872" max="13872" width="2.7109375" style="45" customWidth="1"/>
    <col min="13873" max="13885" width="13.42578125" style="45" customWidth="1"/>
    <col min="13886" max="13886" width="2.7109375" style="45" customWidth="1"/>
    <col min="13887" max="14068" width="9.140625" style="45"/>
    <col min="14069" max="14069" width="19.85546875" style="45" bestFit="1" customWidth="1"/>
    <col min="14070" max="14072" width="0" style="45" hidden="1" customWidth="1"/>
    <col min="14073" max="14085" width="13.42578125" style="45" customWidth="1"/>
    <col min="14086" max="14086" width="2.7109375" style="45" customWidth="1"/>
    <col min="14087" max="14099" width="13.42578125" style="45" customWidth="1"/>
    <col min="14100" max="14100" width="2.7109375" style="45" customWidth="1"/>
    <col min="14101" max="14113" width="13.42578125" style="45" customWidth="1"/>
    <col min="14114" max="14114" width="2.7109375" style="45" customWidth="1"/>
    <col min="14115" max="14127" width="13.42578125" style="45" customWidth="1"/>
    <col min="14128" max="14128" width="2.7109375" style="45" customWidth="1"/>
    <col min="14129" max="14141" width="13.42578125" style="45" customWidth="1"/>
    <col min="14142" max="14142" width="2.7109375" style="45" customWidth="1"/>
    <col min="14143" max="14324" width="9.140625" style="45"/>
    <col min="14325" max="14325" width="19.85546875" style="45" bestFit="1" customWidth="1"/>
    <col min="14326" max="14328" width="0" style="45" hidden="1" customWidth="1"/>
    <col min="14329" max="14341" width="13.42578125" style="45" customWidth="1"/>
    <col min="14342" max="14342" width="2.7109375" style="45" customWidth="1"/>
    <col min="14343" max="14355" width="13.42578125" style="45" customWidth="1"/>
    <col min="14356" max="14356" width="2.7109375" style="45" customWidth="1"/>
    <col min="14357" max="14369" width="13.42578125" style="45" customWidth="1"/>
    <col min="14370" max="14370" width="2.7109375" style="45" customWidth="1"/>
    <col min="14371" max="14383" width="13.42578125" style="45" customWidth="1"/>
    <col min="14384" max="14384" width="2.7109375" style="45" customWidth="1"/>
    <col min="14385" max="14397" width="13.42578125" style="45" customWidth="1"/>
    <col min="14398" max="14398" width="2.7109375" style="45" customWidth="1"/>
    <col min="14399" max="14580" width="9.140625" style="45"/>
    <col min="14581" max="14581" width="19.85546875" style="45" bestFit="1" customWidth="1"/>
    <col min="14582" max="14584" width="0" style="45" hidden="1" customWidth="1"/>
    <col min="14585" max="14597" width="13.42578125" style="45" customWidth="1"/>
    <col min="14598" max="14598" width="2.7109375" style="45" customWidth="1"/>
    <col min="14599" max="14611" width="13.42578125" style="45" customWidth="1"/>
    <col min="14612" max="14612" width="2.7109375" style="45" customWidth="1"/>
    <col min="14613" max="14625" width="13.42578125" style="45" customWidth="1"/>
    <col min="14626" max="14626" width="2.7109375" style="45" customWidth="1"/>
    <col min="14627" max="14639" width="13.42578125" style="45" customWidth="1"/>
    <col min="14640" max="14640" width="2.7109375" style="45" customWidth="1"/>
    <col min="14641" max="14653" width="13.42578125" style="45" customWidth="1"/>
    <col min="14654" max="14654" width="2.7109375" style="45" customWidth="1"/>
    <col min="14655" max="14836" width="9.140625" style="45"/>
    <col min="14837" max="14837" width="19.85546875" style="45" bestFit="1" customWidth="1"/>
    <col min="14838" max="14840" width="0" style="45" hidden="1" customWidth="1"/>
    <col min="14841" max="14853" width="13.42578125" style="45" customWidth="1"/>
    <col min="14854" max="14854" width="2.7109375" style="45" customWidth="1"/>
    <col min="14855" max="14867" width="13.42578125" style="45" customWidth="1"/>
    <col min="14868" max="14868" width="2.7109375" style="45" customWidth="1"/>
    <col min="14869" max="14881" width="13.42578125" style="45" customWidth="1"/>
    <col min="14882" max="14882" width="2.7109375" style="45" customWidth="1"/>
    <col min="14883" max="14895" width="13.42578125" style="45" customWidth="1"/>
    <col min="14896" max="14896" width="2.7109375" style="45" customWidth="1"/>
    <col min="14897" max="14909" width="13.42578125" style="45" customWidth="1"/>
    <col min="14910" max="14910" width="2.7109375" style="45" customWidth="1"/>
    <col min="14911" max="15092" width="9.140625" style="45"/>
    <col min="15093" max="15093" width="19.85546875" style="45" bestFit="1" customWidth="1"/>
    <col min="15094" max="15096" width="0" style="45" hidden="1" customWidth="1"/>
    <col min="15097" max="15109" width="13.42578125" style="45" customWidth="1"/>
    <col min="15110" max="15110" width="2.7109375" style="45" customWidth="1"/>
    <col min="15111" max="15123" width="13.42578125" style="45" customWidth="1"/>
    <col min="15124" max="15124" width="2.7109375" style="45" customWidth="1"/>
    <col min="15125" max="15137" width="13.42578125" style="45" customWidth="1"/>
    <col min="15138" max="15138" width="2.7109375" style="45" customWidth="1"/>
    <col min="15139" max="15151" width="13.42578125" style="45" customWidth="1"/>
    <col min="15152" max="15152" width="2.7109375" style="45" customWidth="1"/>
    <col min="15153" max="15165" width="13.42578125" style="45" customWidth="1"/>
    <col min="15166" max="15166" width="2.7109375" style="45" customWidth="1"/>
    <col min="15167" max="15348" width="9.140625" style="45"/>
    <col min="15349" max="15349" width="19.85546875" style="45" bestFit="1" customWidth="1"/>
    <col min="15350" max="15352" width="0" style="45" hidden="1" customWidth="1"/>
    <col min="15353" max="15365" width="13.42578125" style="45" customWidth="1"/>
    <col min="15366" max="15366" width="2.7109375" style="45" customWidth="1"/>
    <col min="15367" max="15379" width="13.42578125" style="45" customWidth="1"/>
    <col min="15380" max="15380" width="2.7109375" style="45" customWidth="1"/>
    <col min="15381" max="15393" width="13.42578125" style="45" customWidth="1"/>
    <col min="15394" max="15394" width="2.7109375" style="45" customWidth="1"/>
    <col min="15395" max="15407" width="13.42578125" style="45" customWidth="1"/>
    <col min="15408" max="15408" width="2.7109375" style="45" customWidth="1"/>
    <col min="15409" max="15421" width="13.42578125" style="45" customWidth="1"/>
    <col min="15422" max="15422" width="2.7109375" style="45" customWidth="1"/>
    <col min="15423" max="15604" width="9.140625" style="45"/>
    <col min="15605" max="15605" width="19.85546875" style="45" bestFit="1" customWidth="1"/>
    <col min="15606" max="15608" width="0" style="45" hidden="1" customWidth="1"/>
    <col min="15609" max="15621" width="13.42578125" style="45" customWidth="1"/>
    <col min="15622" max="15622" width="2.7109375" style="45" customWidth="1"/>
    <col min="15623" max="15635" width="13.42578125" style="45" customWidth="1"/>
    <col min="15636" max="15636" width="2.7109375" style="45" customWidth="1"/>
    <col min="15637" max="15649" width="13.42578125" style="45" customWidth="1"/>
    <col min="15650" max="15650" width="2.7109375" style="45" customWidth="1"/>
    <col min="15651" max="15663" width="13.42578125" style="45" customWidth="1"/>
    <col min="15664" max="15664" width="2.7109375" style="45" customWidth="1"/>
    <col min="15665" max="15677" width="13.42578125" style="45" customWidth="1"/>
    <col min="15678" max="15678" width="2.7109375" style="45" customWidth="1"/>
    <col min="15679" max="15860" width="9.140625" style="45"/>
    <col min="15861" max="15861" width="19.85546875" style="45" bestFit="1" customWidth="1"/>
    <col min="15862" max="15864" width="0" style="45" hidden="1" customWidth="1"/>
    <col min="15865" max="15877" width="13.42578125" style="45" customWidth="1"/>
    <col min="15878" max="15878" width="2.7109375" style="45" customWidth="1"/>
    <col min="15879" max="15891" width="13.42578125" style="45" customWidth="1"/>
    <col min="15892" max="15892" width="2.7109375" style="45" customWidth="1"/>
    <col min="15893" max="15905" width="13.42578125" style="45" customWidth="1"/>
    <col min="15906" max="15906" width="2.7109375" style="45" customWidth="1"/>
    <col min="15907" max="15919" width="13.42578125" style="45" customWidth="1"/>
    <col min="15920" max="15920" width="2.7109375" style="45" customWidth="1"/>
    <col min="15921" max="15933" width="13.42578125" style="45" customWidth="1"/>
    <col min="15934" max="15934" width="2.7109375" style="45" customWidth="1"/>
    <col min="15935" max="16116" width="9.140625" style="45"/>
    <col min="16117" max="16117" width="19.85546875" style="45" bestFit="1" customWidth="1"/>
    <col min="16118" max="16120" width="0" style="45" hidden="1" customWidth="1"/>
    <col min="16121" max="16133" width="13.42578125" style="45" customWidth="1"/>
    <col min="16134" max="16134" width="2.7109375" style="45" customWidth="1"/>
    <col min="16135" max="16147" width="13.42578125" style="45" customWidth="1"/>
    <col min="16148" max="16148" width="2.7109375" style="45" customWidth="1"/>
    <col min="16149" max="16161" width="13.42578125" style="45" customWidth="1"/>
    <col min="16162" max="16162" width="2.7109375" style="45" customWidth="1"/>
    <col min="16163" max="16175" width="13.42578125" style="45" customWidth="1"/>
    <col min="16176" max="16176" width="2.7109375" style="45" customWidth="1"/>
    <col min="16177" max="16189" width="13.42578125" style="45" customWidth="1"/>
    <col min="16190" max="16190" width="2.7109375" style="45" customWidth="1"/>
    <col min="16191" max="16384" width="9.140625" style="45"/>
  </cols>
  <sheetData>
    <row r="1" spans="1:8" ht="12.75" customHeight="1" x14ac:dyDescent="0.2">
      <c r="A1" s="1360" t="s">
        <v>470</v>
      </c>
      <c r="B1" s="1360"/>
      <c r="C1" s="88"/>
    </row>
    <row r="2" spans="1:8" ht="12.75" customHeight="1" x14ac:dyDescent="0.2">
      <c r="A2" s="1360"/>
      <c r="B2" s="1360"/>
      <c r="C2" s="88"/>
    </row>
    <row r="3" spans="1:8" ht="12.75" customHeight="1" x14ac:dyDescent="0.2">
      <c r="A3" s="1360"/>
      <c r="B3" s="1360"/>
      <c r="C3" s="88"/>
    </row>
    <row r="4" spans="1:8" ht="12.75" customHeight="1" x14ac:dyDescent="0.2">
      <c r="A4" s="88"/>
      <c r="B4" s="88"/>
      <c r="C4" s="88"/>
    </row>
    <row r="5" spans="1:8" ht="21.75" thickBot="1" x14ac:dyDescent="0.25">
      <c r="A5" s="355"/>
      <c r="B5" s="381" t="s">
        <v>280</v>
      </c>
      <c r="C5" s="356"/>
      <c r="D5" s="356"/>
      <c r="E5" s="357"/>
      <c r="F5" s="357"/>
    </row>
    <row r="6" spans="1:8" ht="20.25" customHeight="1" x14ac:dyDescent="0.2">
      <c r="A6" s="358"/>
      <c r="B6" s="69"/>
      <c r="C6" s="69"/>
      <c r="D6" s="359" t="s">
        <v>281</v>
      </c>
      <c r="E6" s="360" t="s">
        <v>282</v>
      </c>
      <c r="F6" s="361" t="s">
        <v>283</v>
      </c>
    </row>
    <row r="7" spans="1:8" ht="22.5" customHeight="1" x14ac:dyDescent="0.2">
      <c r="A7" s="355"/>
      <c r="B7" s="382" t="s">
        <v>594</v>
      </c>
      <c r="C7" s="69"/>
      <c r="D7" s="362"/>
      <c r="E7" s="363"/>
      <c r="F7" s="355"/>
    </row>
    <row r="8" spans="1:8" s="369" customFormat="1" ht="15.75" x14ac:dyDescent="0.25">
      <c r="A8" s="364"/>
      <c r="B8" s="365" t="s">
        <v>364</v>
      </c>
      <c r="C8" s="366"/>
      <c r="D8" s="367">
        <v>7.0499999999999993E-2</v>
      </c>
      <c r="E8" s="367">
        <v>8.5900000000000004E-2</v>
      </c>
      <c r="F8" s="490">
        <f>(D8+E8)/2</f>
        <v>7.8199999999999992E-2</v>
      </c>
      <c r="H8" s="491"/>
    </row>
    <row r="9" spans="1:8" s="369" customFormat="1" ht="15.75" x14ac:dyDescent="0.25">
      <c r="B9" s="370" t="s">
        <v>284</v>
      </c>
      <c r="C9" s="370"/>
      <c r="D9" s="371">
        <v>0.03</v>
      </c>
      <c r="E9" s="371">
        <v>0.03</v>
      </c>
      <c r="F9" s="368">
        <v>0.03</v>
      </c>
      <c r="H9" s="45"/>
    </row>
    <row r="10" spans="1:8" s="369" customFormat="1" ht="15.75" x14ac:dyDescent="0.25">
      <c r="B10" s="369" t="s">
        <v>285</v>
      </c>
      <c r="D10" s="368">
        <v>5.3999999999999999E-2</v>
      </c>
      <c r="E10" s="368">
        <v>6.8000000000000005E-2</v>
      </c>
      <c r="F10" s="368">
        <f>(D10+E10)/2</f>
        <v>6.0999999999999999E-2</v>
      </c>
      <c r="H10" s="45"/>
    </row>
    <row r="11" spans="1:8" s="369" customFormat="1" ht="15.75" x14ac:dyDescent="0.25">
      <c r="B11" s="369" t="s">
        <v>286</v>
      </c>
      <c r="D11" s="372">
        <v>0.9</v>
      </c>
      <c r="E11" s="372">
        <v>0.9</v>
      </c>
      <c r="F11" s="373">
        <v>0.9</v>
      </c>
      <c r="H11" s="45"/>
    </row>
    <row r="12" spans="1:8" s="369" customFormat="1" ht="15.75" x14ac:dyDescent="0.25">
      <c r="B12" s="852" t="s">
        <v>287</v>
      </c>
      <c r="D12" s="368">
        <v>0</v>
      </c>
      <c r="E12" s="368">
        <v>0.03</v>
      </c>
      <c r="F12" s="368">
        <f>(D12+E12)/2</f>
        <v>1.4999999999999999E-2</v>
      </c>
      <c r="H12" s="45"/>
    </row>
    <row r="13" spans="1:8" s="369" customFormat="1" ht="15.75" x14ac:dyDescent="0.25">
      <c r="B13" s="369" t="s">
        <v>288</v>
      </c>
      <c r="D13" s="374">
        <v>0.01</v>
      </c>
      <c r="E13" s="374">
        <v>0.03</v>
      </c>
      <c r="F13" s="368">
        <f>(D13+E13)/2</f>
        <v>0.02</v>
      </c>
      <c r="H13" s="45"/>
    </row>
    <row r="14" spans="1:8" s="369" customFormat="1" ht="15.75" x14ac:dyDescent="0.25">
      <c r="D14" s="372"/>
      <c r="E14" s="372"/>
      <c r="F14" s="372"/>
      <c r="H14" s="45"/>
    </row>
    <row r="15" spans="1:8" s="369" customFormat="1" ht="23.25" customHeight="1" thickBot="1" x14ac:dyDescent="0.3">
      <c r="B15" s="375" t="s">
        <v>289</v>
      </c>
      <c r="C15" s="376"/>
      <c r="D15" s="377">
        <f>((1+D8)*(1+D9)-1)+(D11*D10)+D12+D13</f>
        <v>0.16121500000000014</v>
      </c>
      <c r="E15" s="377">
        <f>((1+E8)*(1+E9)-1)+(E11*E10)+E12+E13</f>
        <v>0.23967700000000017</v>
      </c>
      <c r="F15" s="377">
        <f>((1+F8)*(1+F9)-1)+(F11*F10)+F12+F13</f>
        <v>0.20044600000000004</v>
      </c>
      <c r="H15" s="45"/>
    </row>
    <row r="16" spans="1:8" x14ac:dyDescent="0.2">
      <c r="D16" s="355"/>
      <c r="E16" s="355"/>
      <c r="F16" s="355"/>
    </row>
    <row r="17" spans="1:8" ht="22.5" customHeight="1" x14ac:dyDescent="0.2">
      <c r="A17" s="355"/>
      <c r="B17" s="382" t="s">
        <v>366</v>
      </c>
      <c r="C17" s="69"/>
      <c r="D17" s="362"/>
      <c r="E17" s="363"/>
      <c r="F17" s="355"/>
    </row>
    <row r="18" spans="1:8" ht="15.75" x14ac:dyDescent="0.25">
      <c r="B18" s="369" t="s">
        <v>367</v>
      </c>
      <c r="C18" s="369"/>
      <c r="D18" s="368">
        <v>0.105</v>
      </c>
      <c r="E18" s="368">
        <v>0.125</v>
      </c>
      <c r="F18" s="368">
        <f>(E18+D18)/2</f>
        <v>0.11499999999999999</v>
      </c>
    </row>
    <row r="19" spans="1:8" ht="15.75" x14ac:dyDescent="0.25">
      <c r="B19" s="369" t="s">
        <v>290</v>
      </c>
      <c r="C19" s="369"/>
      <c r="D19" s="374">
        <v>0.15</v>
      </c>
      <c r="E19" s="374">
        <v>0.15</v>
      </c>
      <c r="F19" s="374">
        <v>0.15</v>
      </c>
    </row>
    <row r="20" spans="1:8" s="369" customFormat="1" ht="23.25" customHeight="1" thickBot="1" x14ac:dyDescent="0.3">
      <c r="B20" s="375" t="s">
        <v>291</v>
      </c>
      <c r="C20" s="376"/>
      <c r="D20" s="378">
        <f>D18*(1-D19)</f>
        <v>8.9249999999999996E-2</v>
      </c>
      <c r="E20" s="378">
        <f>E18*(1-E19)</f>
        <v>0.10625</v>
      </c>
      <c r="F20" s="378">
        <f>F18*(1-F19)</f>
        <v>9.774999999999999E-2</v>
      </c>
      <c r="H20" s="45"/>
    </row>
    <row r="21" spans="1:8" x14ac:dyDescent="0.2">
      <c r="D21" s="355"/>
      <c r="E21" s="355"/>
      <c r="F21" s="355"/>
    </row>
    <row r="22" spans="1:8" ht="22.5" customHeight="1" x14ac:dyDescent="0.2">
      <c r="A22" s="355"/>
      <c r="B22" s="382" t="s">
        <v>292</v>
      </c>
      <c r="C22" s="69"/>
      <c r="D22" s="362"/>
      <c r="E22" s="363"/>
      <c r="F22" s="355"/>
    </row>
    <row r="23" spans="1:8" ht="15.75" x14ac:dyDescent="0.25">
      <c r="B23" s="369" t="s">
        <v>293</v>
      </c>
      <c r="C23" s="369"/>
      <c r="D23" s="374">
        <v>0.5</v>
      </c>
      <c r="E23" s="374">
        <v>0.5</v>
      </c>
      <c r="F23" s="368">
        <f>(D23+E23)/2</f>
        <v>0.5</v>
      </c>
    </row>
    <row r="24" spans="1:8" ht="15.75" x14ac:dyDescent="0.25">
      <c r="B24" s="369" t="s">
        <v>294</v>
      </c>
      <c r="C24" s="369"/>
      <c r="D24" s="374">
        <v>0.5</v>
      </c>
      <c r="E24" s="374">
        <v>0.5</v>
      </c>
      <c r="F24" s="368">
        <f>(D24+E24)/2</f>
        <v>0.5</v>
      </c>
    </row>
    <row r="25" spans="1:8" x14ac:dyDescent="0.2">
      <c r="D25" s="355"/>
      <c r="E25" s="355"/>
      <c r="F25" s="355"/>
    </row>
    <row r="26" spans="1:8" ht="22.5" customHeight="1" thickBot="1" x14ac:dyDescent="0.25">
      <c r="A26" s="355"/>
      <c r="B26" s="1359" t="s">
        <v>365</v>
      </c>
      <c r="C26" s="1359"/>
      <c r="D26" s="379"/>
      <c r="E26" s="380"/>
      <c r="F26" s="380"/>
    </row>
    <row r="27" spans="1:8" ht="23.25" customHeight="1" x14ac:dyDescent="0.2">
      <c r="D27" s="383">
        <f>(D15*D23)+(D20*D24)</f>
        <v>0.12523250000000008</v>
      </c>
      <c r="E27" s="383">
        <f>(E15*E23)+(E20*E24)</f>
        <v>0.17296350000000008</v>
      </c>
      <c r="F27" s="383">
        <f>(F15*F23)+(F20*F24)</f>
        <v>0.14909800000000001</v>
      </c>
    </row>
    <row r="28" spans="1:8" x14ac:dyDescent="0.2">
      <c r="D28" s="355"/>
      <c r="E28" s="355"/>
      <c r="F28" s="355"/>
    </row>
    <row r="29" spans="1:8" ht="7.5" customHeight="1" x14ac:dyDescent="0.2"/>
    <row r="30" spans="1:8" ht="24.75" customHeight="1" thickBot="1" x14ac:dyDescent="0.25">
      <c r="B30" s="1359" t="s">
        <v>295</v>
      </c>
      <c r="C30" s="1359"/>
      <c r="F30" s="384">
        <f>F27</f>
        <v>0.14909800000000001</v>
      </c>
    </row>
  </sheetData>
  <mergeCells count="3">
    <mergeCell ref="B26:C26"/>
    <mergeCell ref="A1:B3"/>
    <mergeCell ref="B30:C30"/>
  </mergeCells>
  <pageMargins left="0.7" right="0.7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DU92"/>
  <sheetViews>
    <sheetView zoomScale="80" zoomScaleNormal="80" zoomScalePageLayoutView="65" workbookViewId="0">
      <selection activeCell="R26" sqref="R26"/>
    </sheetView>
  </sheetViews>
  <sheetFormatPr defaultColWidth="8.85546875" defaultRowHeight="12.75" x14ac:dyDescent="0.2"/>
  <cols>
    <col min="1" max="1" width="1.28515625" style="63" customWidth="1"/>
    <col min="2" max="2" width="34.42578125" style="65" customWidth="1"/>
    <col min="3" max="3" width="9.7109375" style="65" customWidth="1"/>
    <col min="4" max="4" width="5.7109375" style="65" bestFit="1" customWidth="1"/>
    <col min="5" max="5" width="12.42578125" style="10" customWidth="1"/>
    <col min="6" max="7" width="11.7109375" style="63" customWidth="1"/>
    <col min="8" max="8" width="11.7109375" style="72" customWidth="1"/>
    <col min="9" max="17" width="11.7109375" style="66" customWidth="1"/>
    <col min="18" max="19" width="11.7109375" style="63" customWidth="1"/>
    <col min="20" max="20" width="11.7109375" style="72" customWidth="1"/>
    <col min="21" max="125" width="11.7109375" style="66" customWidth="1"/>
    <col min="126" max="16384" width="8.85546875" style="66"/>
  </cols>
  <sheetData>
    <row r="1" spans="1:125" s="2" customFormat="1" ht="12.75" customHeight="1" x14ac:dyDescent="0.2">
      <c r="A1" s="57"/>
      <c r="B1" s="29"/>
      <c r="C1" s="29"/>
      <c r="D1" s="29"/>
      <c r="E1" s="10"/>
      <c r="F1" s="843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4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42"/>
      <c r="AD1" s="832"/>
      <c r="AE1" s="832"/>
      <c r="AF1" s="832"/>
      <c r="AG1" s="832"/>
      <c r="AH1" s="832"/>
      <c r="AI1" s="832"/>
      <c r="AJ1" s="832"/>
      <c r="AK1" s="832"/>
      <c r="AL1" s="832"/>
      <c r="AM1" s="832"/>
      <c r="AN1" s="832"/>
      <c r="AO1" s="842"/>
      <c r="AP1" s="832"/>
      <c r="AQ1" s="832"/>
      <c r="AR1" s="832"/>
      <c r="AS1" s="832"/>
      <c r="AT1" s="832"/>
      <c r="AU1" s="832"/>
      <c r="AV1" s="832"/>
      <c r="AW1" s="832"/>
      <c r="AX1" s="832"/>
      <c r="AY1" s="832"/>
      <c r="AZ1" s="832"/>
      <c r="BA1" s="842"/>
      <c r="BB1" s="832"/>
      <c r="BC1" s="832"/>
      <c r="BD1" s="832"/>
      <c r="BE1" s="832"/>
      <c r="BF1" s="832"/>
      <c r="BG1" s="832"/>
      <c r="BH1" s="832"/>
      <c r="BI1" s="832"/>
      <c r="BJ1" s="832"/>
      <c r="BK1" s="832"/>
      <c r="BL1" s="832"/>
      <c r="BM1" s="842"/>
      <c r="BN1" s="832"/>
      <c r="BO1" s="832"/>
      <c r="BP1" s="832"/>
      <c r="BQ1" s="832"/>
      <c r="BR1" s="832"/>
      <c r="BS1" s="832"/>
      <c r="BT1" s="832"/>
      <c r="BU1" s="832"/>
      <c r="BV1" s="832"/>
      <c r="BW1" s="832"/>
      <c r="BX1" s="832"/>
      <c r="BY1" s="842"/>
      <c r="BZ1" s="832"/>
      <c r="CA1" s="832"/>
      <c r="CB1" s="832"/>
      <c r="CC1" s="832"/>
      <c r="CD1" s="832"/>
      <c r="CE1" s="832"/>
      <c r="CF1" s="832"/>
      <c r="CG1" s="832"/>
      <c r="CH1" s="832"/>
      <c r="CI1" s="832"/>
      <c r="CJ1" s="832"/>
      <c r="CK1" s="842"/>
      <c r="CL1" s="832"/>
      <c r="CM1" s="832"/>
      <c r="CN1" s="832"/>
      <c r="CO1" s="832"/>
      <c r="CP1" s="832"/>
      <c r="CQ1" s="832"/>
      <c r="CR1" s="832"/>
      <c r="CS1" s="832"/>
      <c r="CT1" s="832"/>
      <c r="CU1" s="832"/>
      <c r="CV1" s="832"/>
      <c r="CW1" s="842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507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507"/>
    </row>
    <row r="2" spans="1:125" s="59" customFormat="1" ht="39" customHeight="1" x14ac:dyDescent="0.2">
      <c r="A2" s="88"/>
      <c r="B2" s="88" t="s">
        <v>201</v>
      </c>
      <c r="C2" s="88"/>
      <c r="D2" s="88"/>
      <c r="E2" s="589"/>
      <c r="F2" s="1364" t="s">
        <v>454</v>
      </c>
      <c r="G2" s="1334"/>
      <c r="H2" s="1334"/>
      <c r="I2" s="1334"/>
      <c r="J2" s="1334"/>
      <c r="K2" s="1334"/>
      <c r="L2" s="1334"/>
      <c r="M2" s="1334"/>
      <c r="N2" s="1334"/>
      <c r="O2" s="1334"/>
      <c r="P2" s="1334"/>
      <c r="Q2" s="1335"/>
      <c r="R2" s="1340" t="s">
        <v>455</v>
      </c>
      <c r="S2" s="1340"/>
      <c r="T2" s="1340"/>
      <c r="U2" s="1340"/>
      <c r="V2" s="1340"/>
      <c r="W2" s="1340"/>
      <c r="X2" s="1340"/>
      <c r="Y2" s="1340"/>
      <c r="Z2" s="1340"/>
      <c r="AA2" s="1340"/>
      <c r="AB2" s="1340"/>
      <c r="AC2" s="1341"/>
      <c r="AD2" s="1340" t="s">
        <v>456</v>
      </c>
      <c r="AE2" s="1340"/>
      <c r="AF2" s="1340"/>
      <c r="AG2" s="1340"/>
      <c r="AH2" s="1340"/>
      <c r="AI2" s="1340"/>
      <c r="AJ2" s="1340"/>
      <c r="AK2" s="1340"/>
      <c r="AL2" s="1340"/>
      <c r="AM2" s="1340"/>
      <c r="AN2" s="1340"/>
      <c r="AO2" s="1341"/>
      <c r="AP2" s="1340" t="s">
        <v>457</v>
      </c>
      <c r="AQ2" s="1340"/>
      <c r="AR2" s="1340"/>
      <c r="AS2" s="1340"/>
      <c r="AT2" s="1340"/>
      <c r="AU2" s="1340"/>
      <c r="AV2" s="1340"/>
      <c r="AW2" s="1340"/>
      <c r="AX2" s="1340"/>
      <c r="AY2" s="1340"/>
      <c r="AZ2" s="1340"/>
      <c r="BA2" s="1341"/>
      <c r="BB2" s="1340" t="s">
        <v>458</v>
      </c>
      <c r="BC2" s="1340"/>
      <c r="BD2" s="1340"/>
      <c r="BE2" s="1340"/>
      <c r="BF2" s="1340"/>
      <c r="BG2" s="1340"/>
      <c r="BH2" s="1340"/>
      <c r="BI2" s="1340"/>
      <c r="BJ2" s="1340"/>
      <c r="BK2" s="1340"/>
      <c r="BL2" s="1340"/>
      <c r="BM2" s="1341"/>
      <c r="BN2" s="1340" t="s">
        <v>459</v>
      </c>
      <c r="BO2" s="1340"/>
      <c r="BP2" s="1340"/>
      <c r="BQ2" s="1340"/>
      <c r="BR2" s="1340"/>
      <c r="BS2" s="1340"/>
      <c r="BT2" s="1340"/>
      <c r="BU2" s="1340"/>
      <c r="BV2" s="1340"/>
      <c r="BW2" s="1340"/>
      <c r="BX2" s="1340"/>
      <c r="BY2" s="1341"/>
      <c r="BZ2" s="1340" t="s">
        <v>460</v>
      </c>
      <c r="CA2" s="1340"/>
      <c r="CB2" s="1340"/>
      <c r="CC2" s="1340"/>
      <c r="CD2" s="1340"/>
      <c r="CE2" s="1340"/>
      <c r="CF2" s="1340"/>
      <c r="CG2" s="1340"/>
      <c r="CH2" s="1340"/>
      <c r="CI2" s="1340"/>
      <c r="CJ2" s="1340"/>
      <c r="CK2" s="1341"/>
      <c r="CL2" s="1340" t="s">
        <v>461</v>
      </c>
      <c r="CM2" s="1340"/>
      <c r="CN2" s="1340"/>
      <c r="CO2" s="1340"/>
      <c r="CP2" s="1340"/>
      <c r="CQ2" s="1340"/>
      <c r="CR2" s="1340"/>
      <c r="CS2" s="1340"/>
      <c r="CT2" s="1340"/>
      <c r="CU2" s="1340"/>
      <c r="CV2" s="1340"/>
      <c r="CW2" s="1341"/>
      <c r="CX2" s="1340" t="s">
        <v>462</v>
      </c>
      <c r="CY2" s="1340"/>
      <c r="CZ2" s="1340"/>
      <c r="DA2" s="1340"/>
      <c r="DB2" s="1340"/>
      <c r="DC2" s="1340"/>
      <c r="DD2" s="1340"/>
      <c r="DE2" s="1340"/>
      <c r="DF2" s="1340"/>
      <c r="DG2" s="1340"/>
      <c r="DH2" s="1340"/>
      <c r="DI2" s="1341"/>
      <c r="DJ2" s="1340" t="s">
        <v>463</v>
      </c>
      <c r="DK2" s="1340"/>
      <c r="DL2" s="1340"/>
      <c r="DM2" s="1340"/>
      <c r="DN2" s="1340"/>
      <c r="DO2" s="1340"/>
      <c r="DP2" s="1340"/>
      <c r="DQ2" s="1340"/>
      <c r="DR2" s="1340"/>
      <c r="DS2" s="1340"/>
      <c r="DT2" s="1340"/>
      <c r="DU2" s="1341"/>
    </row>
    <row r="3" spans="1:125" s="2" customFormat="1" ht="12.75" customHeight="1" x14ac:dyDescent="0.25">
      <c r="A3" s="57"/>
      <c r="B3" s="29"/>
      <c r="C3" s="29"/>
      <c r="D3" s="29"/>
      <c r="E3" s="12"/>
      <c r="F3" s="737" t="s">
        <v>174</v>
      </c>
      <c r="G3" s="840" t="s">
        <v>175</v>
      </c>
      <c r="H3" s="840" t="s">
        <v>176</v>
      </c>
      <c r="I3" s="840" t="s">
        <v>177</v>
      </c>
      <c r="J3" s="840" t="s">
        <v>166</v>
      </c>
      <c r="K3" s="840" t="s">
        <v>167</v>
      </c>
      <c r="L3" s="840" t="s">
        <v>168</v>
      </c>
      <c r="M3" s="840" t="s">
        <v>169</v>
      </c>
      <c r="N3" s="840" t="s">
        <v>170</v>
      </c>
      <c r="O3" s="840" t="s">
        <v>171</v>
      </c>
      <c r="P3" s="840" t="s">
        <v>172</v>
      </c>
      <c r="Q3" s="682" t="s">
        <v>173</v>
      </c>
      <c r="R3" s="838" t="s">
        <v>174</v>
      </c>
      <c r="S3" s="838" t="s">
        <v>175</v>
      </c>
      <c r="T3" s="838" t="s">
        <v>176</v>
      </c>
      <c r="U3" s="838" t="s">
        <v>177</v>
      </c>
      <c r="V3" s="838" t="s">
        <v>166</v>
      </c>
      <c r="W3" s="838" t="s">
        <v>167</v>
      </c>
      <c r="X3" s="838" t="s">
        <v>168</v>
      </c>
      <c r="Y3" s="838" t="s">
        <v>169</v>
      </c>
      <c r="Z3" s="838" t="s">
        <v>170</v>
      </c>
      <c r="AA3" s="838" t="s">
        <v>171</v>
      </c>
      <c r="AB3" s="838" t="s">
        <v>172</v>
      </c>
      <c r="AC3" s="846" t="s">
        <v>173</v>
      </c>
      <c r="AD3" s="838" t="s">
        <v>174</v>
      </c>
      <c r="AE3" s="838" t="s">
        <v>175</v>
      </c>
      <c r="AF3" s="838" t="s">
        <v>176</v>
      </c>
      <c r="AG3" s="838" t="s">
        <v>177</v>
      </c>
      <c r="AH3" s="838" t="s">
        <v>166</v>
      </c>
      <c r="AI3" s="838" t="s">
        <v>167</v>
      </c>
      <c r="AJ3" s="838" t="s">
        <v>168</v>
      </c>
      <c r="AK3" s="838" t="s">
        <v>169</v>
      </c>
      <c r="AL3" s="838" t="s">
        <v>170</v>
      </c>
      <c r="AM3" s="838" t="s">
        <v>171</v>
      </c>
      <c r="AN3" s="838" t="s">
        <v>172</v>
      </c>
      <c r="AO3" s="846" t="s">
        <v>173</v>
      </c>
      <c r="AP3" s="838" t="s">
        <v>174</v>
      </c>
      <c r="AQ3" s="838" t="s">
        <v>175</v>
      </c>
      <c r="AR3" s="838" t="s">
        <v>176</v>
      </c>
      <c r="AS3" s="838" t="s">
        <v>177</v>
      </c>
      <c r="AT3" s="838" t="s">
        <v>166</v>
      </c>
      <c r="AU3" s="838" t="s">
        <v>167</v>
      </c>
      <c r="AV3" s="838" t="s">
        <v>168</v>
      </c>
      <c r="AW3" s="838" t="s">
        <v>169</v>
      </c>
      <c r="AX3" s="838" t="s">
        <v>170</v>
      </c>
      <c r="AY3" s="838" t="s">
        <v>171</v>
      </c>
      <c r="AZ3" s="838" t="s">
        <v>172</v>
      </c>
      <c r="BA3" s="846" t="s">
        <v>173</v>
      </c>
      <c r="BB3" s="838" t="s">
        <v>174</v>
      </c>
      <c r="BC3" s="838" t="s">
        <v>175</v>
      </c>
      <c r="BD3" s="838" t="s">
        <v>176</v>
      </c>
      <c r="BE3" s="838" t="s">
        <v>177</v>
      </c>
      <c r="BF3" s="838" t="s">
        <v>166</v>
      </c>
      <c r="BG3" s="838" t="s">
        <v>167</v>
      </c>
      <c r="BH3" s="838" t="s">
        <v>168</v>
      </c>
      <c r="BI3" s="838" t="s">
        <v>169</v>
      </c>
      <c r="BJ3" s="838" t="s">
        <v>170</v>
      </c>
      <c r="BK3" s="838" t="s">
        <v>171</v>
      </c>
      <c r="BL3" s="838" t="s">
        <v>172</v>
      </c>
      <c r="BM3" s="846" t="s">
        <v>173</v>
      </c>
      <c r="BN3" s="838" t="s">
        <v>174</v>
      </c>
      <c r="BO3" s="838" t="s">
        <v>175</v>
      </c>
      <c r="BP3" s="838" t="s">
        <v>176</v>
      </c>
      <c r="BQ3" s="838" t="s">
        <v>177</v>
      </c>
      <c r="BR3" s="838" t="s">
        <v>166</v>
      </c>
      <c r="BS3" s="838" t="s">
        <v>167</v>
      </c>
      <c r="BT3" s="838" t="s">
        <v>168</v>
      </c>
      <c r="BU3" s="838" t="s">
        <v>169</v>
      </c>
      <c r="BV3" s="838" t="s">
        <v>170</v>
      </c>
      <c r="BW3" s="838" t="s">
        <v>171</v>
      </c>
      <c r="BX3" s="838" t="s">
        <v>172</v>
      </c>
      <c r="BY3" s="846" t="s">
        <v>173</v>
      </c>
      <c r="BZ3" s="838" t="s">
        <v>174</v>
      </c>
      <c r="CA3" s="838" t="s">
        <v>175</v>
      </c>
      <c r="CB3" s="838" t="s">
        <v>176</v>
      </c>
      <c r="CC3" s="838" t="s">
        <v>177</v>
      </c>
      <c r="CD3" s="838" t="s">
        <v>166</v>
      </c>
      <c r="CE3" s="838" t="s">
        <v>167</v>
      </c>
      <c r="CF3" s="838" t="s">
        <v>168</v>
      </c>
      <c r="CG3" s="838" t="s">
        <v>169</v>
      </c>
      <c r="CH3" s="838" t="s">
        <v>170</v>
      </c>
      <c r="CI3" s="838" t="s">
        <v>171</v>
      </c>
      <c r="CJ3" s="838" t="s">
        <v>172</v>
      </c>
      <c r="CK3" s="846" t="s">
        <v>173</v>
      </c>
      <c r="CL3" s="838" t="s">
        <v>174</v>
      </c>
      <c r="CM3" s="838" t="s">
        <v>175</v>
      </c>
      <c r="CN3" s="838" t="s">
        <v>176</v>
      </c>
      <c r="CO3" s="838" t="s">
        <v>177</v>
      </c>
      <c r="CP3" s="838" t="s">
        <v>166</v>
      </c>
      <c r="CQ3" s="838" t="s">
        <v>167</v>
      </c>
      <c r="CR3" s="838" t="s">
        <v>168</v>
      </c>
      <c r="CS3" s="838" t="s">
        <v>169</v>
      </c>
      <c r="CT3" s="838" t="s">
        <v>170</v>
      </c>
      <c r="CU3" s="838" t="s">
        <v>171</v>
      </c>
      <c r="CV3" s="838" t="s">
        <v>172</v>
      </c>
      <c r="CW3" s="846" t="s">
        <v>173</v>
      </c>
      <c r="CX3" s="270" t="s">
        <v>174</v>
      </c>
      <c r="CY3" s="270" t="s">
        <v>175</v>
      </c>
      <c r="CZ3" s="270" t="s">
        <v>176</v>
      </c>
      <c r="DA3" s="270" t="s">
        <v>177</v>
      </c>
      <c r="DB3" s="270" t="s">
        <v>166</v>
      </c>
      <c r="DC3" s="270" t="s">
        <v>167</v>
      </c>
      <c r="DD3" s="270" t="s">
        <v>168</v>
      </c>
      <c r="DE3" s="270" t="s">
        <v>169</v>
      </c>
      <c r="DF3" s="270" t="s">
        <v>170</v>
      </c>
      <c r="DG3" s="270" t="s">
        <v>171</v>
      </c>
      <c r="DH3" s="270" t="s">
        <v>172</v>
      </c>
      <c r="DI3" s="592" t="s">
        <v>173</v>
      </c>
      <c r="DJ3" s="270" t="s">
        <v>174</v>
      </c>
      <c r="DK3" s="270" t="s">
        <v>175</v>
      </c>
      <c r="DL3" s="270" t="s">
        <v>176</v>
      </c>
      <c r="DM3" s="270" t="s">
        <v>177</v>
      </c>
      <c r="DN3" s="270" t="s">
        <v>166</v>
      </c>
      <c r="DO3" s="270" t="s">
        <v>167</v>
      </c>
      <c r="DP3" s="270" t="s">
        <v>168</v>
      </c>
      <c r="DQ3" s="270" t="s">
        <v>169</v>
      </c>
      <c r="DR3" s="270" t="s">
        <v>170</v>
      </c>
      <c r="DS3" s="270" t="s">
        <v>171</v>
      </c>
      <c r="DT3" s="270" t="s">
        <v>172</v>
      </c>
      <c r="DU3" s="592" t="s">
        <v>173</v>
      </c>
    </row>
    <row r="4" spans="1:125" s="7" customFormat="1" ht="11.25" hidden="1" customHeight="1" x14ac:dyDescent="0.2">
      <c r="A4" s="1365"/>
      <c r="B4" s="1365"/>
      <c r="C4" s="289"/>
      <c r="D4" s="289"/>
      <c r="E4" s="590"/>
      <c r="F4" s="844" t="e">
        <f>#REF!</f>
        <v>#REF!</v>
      </c>
      <c r="G4" s="834" t="e">
        <f>#REF!</f>
        <v>#REF!</v>
      </c>
      <c r="H4" s="834" t="e">
        <f>#REF!</f>
        <v>#REF!</v>
      </c>
      <c r="I4" s="834" t="e">
        <f>#REF!</f>
        <v>#REF!</v>
      </c>
      <c r="J4" s="834" t="e">
        <f>#REF!</f>
        <v>#REF!</v>
      </c>
      <c r="K4" s="834" t="e">
        <f>#REF!</f>
        <v>#REF!</v>
      </c>
      <c r="L4" s="834" t="e">
        <f>#REF!</f>
        <v>#REF!</v>
      </c>
      <c r="M4" s="834" t="e">
        <f>#REF!</f>
        <v>#REF!</v>
      </c>
      <c r="N4" s="834" t="e">
        <f>#REF!</f>
        <v>#REF!</v>
      </c>
      <c r="O4" s="834" t="e">
        <f>#REF!</f>
        <v>#REF!</v>
      </c>
      <c r="P4" s="834" t="e">
        <f>#REF!</f>
        <v>#REF!</v>
      </c>
      <c r="Q4" s="847" t="e">
        <f>#REF!</f>
        <v>#REF!</v>
      </c>
      <c r="R4" s="690" t="e">
        <f>#REF!</f>
        <v>#REF!</v>
      </c>
      <c r="S4" s="834" t="e">
        <f>#REF!</f>
        <v>#REF!</v>
      </c>
      <c r="T4" s="834" t="e">
        <f>#REF!</f>
        <v>#REF!</v>
      </c>
      <c r="U4" s="834" t="e">
        <f>#REF!</f>
        <v>#REF!</v>
      </c>
      <c r="V4" s="834" t="e">
        <f>#REF!</f>
        <v>#REF!</v>
      </c>
      <c r="W4" s="834" t="e">
        <f>#REF!</f>
        <v>#REF!</v>
      </c>
      <c r="X4" s="834" t="e">
        <f>#REF!</f>
        <v>#REF!</v>
      </c>
      <c r="Y4" s="834" t="e">
        <f>#REF!</f>
        <v>#REF!</v>
      </c>
      <c r="Z4" s="834" t="e">
        <f>#REF!</f>
        <v>#REF!</v>
      </c>
      <c r="AA4" s="834" t="e">
        <f>#REF!</f>
        <v>#REF!</v>
      </c>
      <c r="AB4" s="834" t="e">
        <f>#REF!</f>
        <v>#REF!</v>
      </c>
      <c r="AC4" s="847" t="e">
        <f>#REF!</f>
        <v>#REF!</v>
      </c>
      <c r="AD4" s="690" t="e">
        <f>#REF!</f>
        <v>#REF!</v>
      </c>
      <c r="AE4" s="834" t="e">
        <f>#REF!</f>
        <v>#REF!</v>
      </c>
      <c r="AF4" s="834" t="e">
        <f>#REF!</f>
        <v>#REF!</v>
      </c>
      <c r="AG4" s="834" t="e">
        <f>#REF!</f>
        <v>#REF!</v>
      </c>
      <c r="AH4" s="834" t="e">
        <f>#REF!</f>
        <v>#REF!</v>
      </c>
      <c r="AI4" s="834" t="e">
        <f>#REF!</f>
        <v>#REF!</v>
      </c>
      <c r="AJ4" s="834" t="e">
        <f>#REF!</f>
        <v>#REF!</v>
      </c>
      <c r="AK4" s="834" t="e">
        <f>#REF!</f>
        <v>#REF!</v>
      </c>
      <c r="AL4" s="834" t="e">
        <f>#REF!</f>
        <v>#REF!</v>
      </c>
      <c r="AM4" s="834" t="e">
        <f>#REF!</f>
        <v>#REF!</v>
      </c>
      <c r="AN4" s="834" t="e">
        <f>#REF!</f>
        <v>#REF!</v>
      </c>
      <c r="AO4" s="847" t="e">
        <f>#REF!</f>
        <v>#REF!</v>
      </c>
      <c r="AP4" s="690" t="e">
        <f>#REF!</f>
        <v>#REF!</v>
      </c>
      <c r="AQ4" s="834" t="e">
        <f>#REF!</f>
        <v>#REF!</v>
      </c>
      <c r="AR4" s="834" t="e">
        <f>#REF!</f>
        <v>#REF!</v>
      </c>
      <c r="AS4" s="834" t="e">
        <f>#REF!</f>
        <v>#REF!</v>
      </c>
      <c r="AT4" s="834" t="e">
        <f>#REF!</f>
        <v>#REF!</v>
      </c>
      <c r="AU4" s="834" t="e">
        <f>#REF!</f>
        <v>#REF!</v>
      </c>
      <c r="AV4" s="834" t="e">
        <f>#REF!</f>
        <v>#REF!</v>
      </c>
      <c r="AW4" s="834" t="e">
        <f>#REF!</f>
        <v>#REF!</v>
      </c>
      <c r="AX4" s="834" t="e">
        <f>#REF!</f>
        <v>#REF!</v>
      </c>
      <c r="AY4" s="834" t="e">
        <f>#REF!</f>
        <v>#REF!</v>
      </c>
      <c r="AZ4" s="834" t="e">
        <f>#REF!</f>
        <v>#REF!</v>
      </c>
      <c r="BA4" s="847" t="e">
        <f>#REF!</f>
        <v>#REF!</v>
      </c>
      <c r="BB4" s="690" t="e">
        <f>#REF!</f>
        <v>#REF!</v>
      </c>
      <c r="BC4" s="834" t="e">
        <f>#REF!</f>
        <v>#REF!</v>
      </c>
      <c r="BD4" s="834" t="e">
        <f>#REF!</f>
        <v>#REF!</v>
      </c>
      <c r="BE4" s="834" t="e">
        <f>#REF!</f>
        <v>#REF!</v>
      </c>
      <c r="BF4" s="834" t="e">
        <f>#REF!</f>
        <v>#REF!</v>
      </c>
      <c r="BG4" s="834" t="e">
        <f>#REF!</f>
        <v>#REF!</v>
      </c>
      <c r="BH4" s="834" t="e">
        <f>#REF!</f>
        <v>#REF!</v>
      </c>
      <c r="BI4" s="834" t="e">
        <f>#REF!</f>
        <v>#REF!</v>
      </c>
      <c r="BJ4" s="834" t="e">
        <f>#REF!</f>
        <v>#REF!</v>
      </c>
      <c r="BK4" s="834" t="e">
        <f>#REF!</f>
        <v>#REF!</v>
      </c>
      <c r="BL4" s="834" t="e">
        <f>#REF!</f>
        <v>#REF!</v>
      </c>
      <c r="BM4" s="847" t="e">
        <f>#REF!</f>
        <v>#REF!</v>
      </c>
      <c r="BN4" s="690" t="e">
        <f>#REF!</f>
        <v>#REF!</v>
      </c>
      <c r="BO4" s="834" t="e">
        <f>#REF!</f>
        <v>#REF!</v>
      </c>
      <c r="BP4" s="834" t="e">
        <f>#REF!</f>
        <v>#REF!</v>
      </c>
      <c r="BQ4" s="834" t="e">
        <f>#REF!</f>
        <v>#REF!</v>
      </c>
      <c r="BR4" s="834" t="e">
        <f>#REF!</f>
        <v>#REF!</v>
      </c>
      <c r="BS4" s="834" t="e">
        <f>#REF!</f>
        <v>#REF!</v>
      </c>
      <c r="BT4" s="834" t="e">
        <f>#REF!</f>
        <v>#REF!</v>
      </c>
      <c r="BU4" s="834" t="e">
        <f>#REF!</f>
        <v>#REF!</v>
      </c>
      <c r="BV4" s="834" t="e">
        <f>#REF!</f>
        <v>#REF!</v>
      </c>
      <c r="BW4" s="834" t="e">
        <f>#REF!</f>
        <v>#REF!</v>
      </c>
      <c r="BX4" s="834" t="e">
        <f>#REF!</f>
        <v>#REF!</v>
      </c>
      <c r="BY4" s="847" t="e">
        <f>#REF!</f>
        <v>#REF!</v>
      </c>
      <c r="BZ4" s="690" t="e">
        <f>#REF!</f>
        <v>#REF!</v>
      </c>
      <c r="CA4" s="834" t="e">
        <f>#REF!</f>
        <v>#REF!</v>
      </c>
      <c r="CB4" s="834" t="e">
        <f>#REF!</f>
        <v>#REF!</v>
      </c>
      <c r="CC4" s="834" t="e">
        <f>#REF!</f>
        <v>#REF!</v>
      </c>
      <c r="CD4" s="834" t="e">
        <f>#REF!</f>
        <v>#REF!</v>
      </c>
      <c r="CE4" s="834" t="e">
        <f>#REF!</f>
        <v>#REF!</v>
      </c>
      <c r="CF4" s="834" t="e">
        <f>#REF!</f>
        <v>#REF!</v>
      </c>
      <c r="CG4" s="834" t="e">
        <f>#REF!</f>
        <v>#REF!</v>
      </c>
      <c r="CH4" s="834" t="e">
        <f>#REF!</f>
        <v>#REF!</v>
      </c>
      <c r="CI4" s="834" t="e">
        <f>#REF!</f>
        <v>#REF!</v>
      </c>
      <c r="CJ4" s="834" t="e">
        <f>#REF!</f>
        <v>#REF!</v>
      </c>
      <c r="CK4" s="847" t="e">
        <f>#REF!</f>
        <v>#REF!</v>
      </c>
      <c r="CL4" s="690" t="e">
        <f>#REF!</f>
        <v>#REF!</v>
      </c>
      <c r="CM4" s="834" t="e">
        <f>#REF!</f>
        <v>#REF!</v>
      </c>
      <c r="CN4" s="834" t="e">
        <f>#REF!</f>
        <v>#REF!</v>
      </c>
      <c r="CO4" s="834" t="e">
        <f>#REF!</f>
        <v>#REF!</v>
      </c>
      <c r="CP4" s="834" t="e">
        <f>#REF!</f>
        <v>#REF!</v>
      </c>
      <c r="CQ4" s="834" t="e">
        <f>#REF!</f>
        <v>#REF!</v>
      </c>
      <c r="CR4" s="834" t="e">
        <f>#REF!</f>
        <v>#REF!</v>
      </c>
      <c r="CS4" s="834" t="e">
        <f>#REF!</f>
        <v>#REF!</v>
      </c>
      <c r="CT4" s="834" t="e">
        <f>#REF!</f>
        <v>#REF!</v>
      </c>
      <c r="CU4" s="834" t="e">
        <f>#REF!</f>
        <v>#REF!</v>
      </c>
      <c r="CV4" s="834" t="e">
        <f>#REF!</f>
        <v>#REF!</v>
      </c>
      <c r="CW4" s="847" t="e">
        <f>#REF!</f>
        <v>#REF!</v>
      </c>
      <c r="CX4" s="690" t="e">
        <f>#REF!</f>
        <v>#REF!</v>
      </c>
      <c r="CY4" s="22" t="e">
        <f>#REF!</f>
        <v>#REF!</v>
      </c>
      <c r="CZ4" s="22" t="e">
        <f>#REF!</f>
        <v>#REF!</v>
      </c>
      <c r="DA4" s="22" t="e">
        <f>#REF!</f>
        <v>#REF!</v>
      </c>
      <c r="DB4" s="22" t="e">
        <f>#REF!</f>
        <v>#REF!</v>
      </c>
      <c r="DC4" s="22" t="e">
        <f>#REF!</f>
        <v>#REF!</v>
      </c>
      <c r="DD4" s="22" t="e">
        <f>#REF!</f>
        <v>#REF!</v>
      </c>
      <c r="DE4" s="22" t="e">
        <f>#REF!</f>
        <v>#REF!</v>
      </c>
      <c r="DF4" s="22" t="e">
        <f>#REF!</f>
        <v>#REF!</v>
      </c>
      <c r="DG4" s="22" t="e">
        <f>#REF!</f>
        <v>#REF!</v>
      </c>
      <c r="DH4" s="22" t="e">
        <f>#REF!</f>
        <v>#REF!</v>
      </c>
      <c r="DI4" s="593" t="e">
        <f>#REF!</f>
        <v>#REF!</v>
      </c>
      <c r="DJ4" s="690" t="e">
        <f>#REF!</f>
        <v>#REF!</v>
      </c>
      <c r="DK4" s="22" t="e">
        <f>#REF!</f>
        <v>#REF!</v>
      </c>
      <c r="DL4" s="22" t="e">
        <f>#REF!</f>
        <v>#REF!</v>
      </c>
      <c r="DM4" s="22" t="e">
        <f>#REF!</f>
        <v>#REF!</v>
      </c>
      <c r="DN4" s="22" t="e">
        <f>#REF!</f>
        <v>#REF!</v>
      </c>
      <c r="DO4" s="22" t="e">
        <f>#REF!</f>
        <v>#REF!</v>
      </c>
      <c r="DP4" s="22" t="e">
        <f>#REF!</f>
        <v>#REF!</v>
      </c>
      <c r="DQ4" s="22" t="e">
        <f>#REF!</f>
        <v>#REF!</v>
      </c>
      <c r="DR4" s="22" t="e">
        <f>#REF!</f>
        <v>#REF!</v>
      </c>
      <c r="DS4" s="22" t="e">
        <f>#REF!</f>
        <v>#REF!</v>
      </c>
      <c r="DT4" s="22" t="e">
        <f>#REF!</f>
        <v>#REF!</v>
      </c>
      <c r="DU4" s="593" t="e">
        <f>#REF!</f>
        <v>#REF!</v>
      </c>
    </row>
    <row r="5" spans="1:125" s="7" customFormat="1" ht="21" x14ac:dyDescent="0.2">
      <c r="A5" s="1365"/>
      <c r="B5" s="1365"/>
      <c r="C5" s="289"/>
      <c r="D5" s="289"/>
      <c r="E5" s="590"/>
      <c r="F5" s="844">
        <f>Assumptions!$E$7</f>
        <v>1</v>
      </c>
      <c r="G5" s="834">
        <f>Assumptions!$E$7</f>
        <v>1</v>
      </c>
      <c r="H5" s="834">
        <f>Assumptions!$E$7</f>
        <v>1</v>
      </c>
      <c r="I5" s="834">
        <f>Assumptions!$E$7</f>
        <v>1</v>
      </c>
      <c r="J5" s="834">
        <f>Assumptions!$E$7</f>
        <v>1</v>
      </c>
      <c r="K5" s="834">
        <f>Assumptions!$E$7</f>
        <v>1</v>
      </c>
      <c r="L5" s="834">
        <f>Assumptions!$E$7</f>
        <v>1</v>
      </c>
      <c r="M5" s="834">
        <f>Assumptions!$E$7</f>
        <v>1</v>
      </c>
      <c r="N5" s="834">
        <f>Assumptions!$E$7</f>
        <v>1</v>
      </c>
      <c r="O5" s="834">
        <f>Assumptions!$E$7</f>
        <v>1</v>
      </c>
      <c r="P5" s="834">
        <f>Assumptions!$E$7</f>
        <v>1</v>
      </c>
      <c r="Q5" s="847">
        <f>Assumptions!$E$7</f>
        <v>1</v>
      </c>
      <c r="R5" s="690">
        <f>Assumptions!$F7</f>
        <v>1.0629999999999999</v>
      </c>
      <c r="S5" s="834">
        <f>Assumptions!$F7</f>
        <v>1.0629999999999999</v>
      </c>
      <c r="T5" s="834">
        <f>Assumptions!$F7</f>
        <v>1.0629999999999999</v>
      </c>
      <c r="U5" s="834">
        <f>Assumptions!$F7</f>
        <v>1.0629999999999999</v>
      </c>
      <c r="V5" s="834">
        <f>Assumptions!$F7</f>
        <v>1.0629999999999999</v>
      </c>
      <c r="W5" s="834">
        <f>Assumptions!$F7</f>
        <v>1.0629999999999999</v>
      </c>
      <c r="X5" s="834">
        <f>Assumptions!$F7</f>
        <v>1.0629999999999999</v>
      </c>
      <c r="Y5" s="834">
        <f>Assumptions!$F7</f>
        <v>1.0629999999999999</v>
      </c>
      <c r="Z5" s="834">
        <f>Assumptions!$F7</f>
        <v>1.0629999999999999</v>
      </c>
      <c r="AA5" s="834">
        <f>Assumptions!$F7</f>
        <v>1.0629999999999999</v>
      </c>
      <c r="AB5" s="834">
        <f>Assumptions!$F7</f>
        <v>1.0629999999999999</v>
      </c>
      <c r="AC5" s="847">
        <f>Assumptions!$F7</f>
        <v>1.0629999999999999</v>
      </c>
      <c r="AD5" s="690">
        <f>Assumptions!$G7</f>
        <v>1.1299689999999998</v>
      </c>
      <c r="AE5" s="834">
        <f>Assumptions!$G7</f>
        <v>1.1299689999999998</v>
      </c>
      <c r="AF5" s="834">
        <f>Assumptions!$G7</f>
        <v>1.1299689999999998</v>
      </c>
      <c r="AG5" s="834">
        <f>Assumptions!$G7</f>
        <v>1.1299689999999998</v>
      </c>
      <c r="AH5" s="834">
        <f>Assumptions!$G7</f>
        <v>1.1299689999999998</v>
      </c>
      <c r="AI5" s="834">
        <f>Assumptions!$G7</f>
        <v>1.1299689999999998</v>
      </c>
      <c r="AJ5" s="834">
        <f>Assumptions!$G7</f>
        <v>1.1299689999999998</v>
      </c>
      <c r="AK5" s="834">
        <f>Assumptions!$G7</f>
        <v>1.1299689999999998</v>
      </c>
      <c r="AL5" s="834">
        <f>Assumptions!$G7</f>
        <v>1.1299689999999998</v>
      </c>
      <c r="AM5" s="834">
        <f>Assumptions!$G7</f>
        <v>1.1299689999999998</v>
      </c>
      <c r="AN5" s="834">
        <f>Assumptions!$G7</f>
        <v>1.1299689999999998</v>
      </c>
      <c r="AO5" s="847">
        <f>Assumptions!$G7</f>
        <v>1.1299689999999998</v>
      </c>
      <c r="AP5" s="690">
        <f>Assumptions!$H7</f>
        <v>1.2011570469999997</v>
      </c>
      <c r="AQ5" s="834">
        <f>Assumptions!$H7</f>
        <v>1.2011570469999997</v>
      </c>
      <c r="AR5" s="834">
        <f>Assumptions!$H7</f>
        <v>1.2011570469999997</v>
      </c>
      <c r="AS5" s="834">
        <f>Assumptions!$H7</f>
        <v>1.2011570469999997</v>
      </c>
      <c r="AT5" s="834">
        <f>Assumptions!$H7</f>
        <v>1.2011570469999997</v>
      </c>
      <c r="AU5" s="834">
        <f>Assumptions!$H7</f>
        <v>1.2011570469999997</v>
      </c>
      <c r="AV5" s="834">
        <f>Assumptions!$H7</f>
        <v>1.2011570469999997</v>
      </c>
      <c r="AW5" s="834">
        <f>Assumptions!$H7</f>
        <v>1.2011570469999997</v>
      </c>
      <c r="AX5" s="834">
        <f>Assumptions!$H7</f>
        <v>1.2011570469999997</v>
      </c>
      <c r="AY5" s="834">
        <f>Assumptions!$H7</f>
        <v>1.2011570469999997</v>
      </c>
      <c r="AZ5" s="834">
        <f>Assumptions!$H7</f>
        <v>1.2011570469999997</v>
      </c>
      <c r="BA5" s="847">
        <f>Assumptions!$H7</f>
        <v>1.2011570469999997</v>
      </c>
      <c r="BB5" s="690">
        <f>Assumptions!$I7</f>
        <v>1.2768299409609996</v>
      </c>
      <c r="BC5" s="834">
        <f>Assumptions!$I7</f>
        <v>1.2768299409609996</v>
      </c>
      <c r="BD5" s="834">
        <f>Assumptions!$I7</f>
        <v>1.2768299409609996</v>
      </c>
      <c r="BE5" s="834">
        <f>Assumptions!$I7</f>
        <v>1.2768299409609996</v>
      </c>
      <c r="BF5" s="834">
        <f>Assumptions!$I7</f>
        <v>1.2768299409609996</v>
      </c>
      <c r="BG5" s="834">
        <f>Assumptions!$I7</f>
        <v>1.2768299409609996</v>
      </c>
      <c r="BH5" s="834">
        <f>Assumptions!$I7</f>
        <v>1.2768299409609996</v>
      </c>
      <c r="BI5" s="834">
        <f>Assumptions!$I7</f>
        <v>1.2768299409609996</v>
      </c>
      <c r="BJ5" s="834">
        <f>Assumptions!$I7</f>
        <v>1.2768299409609996</v>
      </c>
      <c r="BK5" s="834">
        <f>Assumptions!$I7</f>
        <v>1.2768299409609996</v>
      </c>
      <c r="BL5" s="834">
        <f>Assumptions!$I7</f>
        <v>1.2768299409609996</v>
      </c>
      <c r="BM5" s="847">
        <f>Assumptions!$I7</f>
        <v>1.2768299409609996</v>
      </c>
      <c r="BN5" s="690">
        <f>Assumptions!$J7</f>
        <v>1.3572702272415424</v>
      </c>
      <c r="BO5" s="834">
        <f>Assumptions!$J7</f>
        <v>1.3572702272415424</v>
      </c>
      <c r="BP5" s="834">
        <f>Assumptions!$J7</f>
        <v>1.3572702272415424</v>
      </c>
      <c r="BQ5" s="834">
        <f>Assumptions!$J7</f>
        <v>1.3572702272415424</v>
      </c>
      <c r="BR5" s="834">
        <f>Assumptions!$J7</f>
        <v>1.3572702272415424</v>
      </c>
      <c r="BS5" s="834">
        <f>Assumptions!$J7</f>
        <v>1.3572702272415424</v>
      </c>
      <c r="BT5" s="834">
        <f>Assumptions!$J7</f>
        <v>1.3572702272415424</v>
      </c>
      <c r="BU5" s="834">
        <f>Assumptions!$J7</f>
        <v>1.3572702272415424</v>
      </c>
      <c r="BV5" s="834">
        <f>Assumptions!$J7</f>
        <v>1.3572702272415424</v>
      </c>
      <c r="BW5" s="834">
        <f>Assumptions!$J7</f>
        <v>1.3572702272415424</v>
      </c>
      <c r="BX5" s="834">
        <f>Assumptions!$J7</f>
        <v>1.3572702272415424</v>
      </c>
      <c r="BY5" s="847">
        <f>Assumptions!$J7</f>
        <v>1.3572702272415424</v>
      </c>
      <c r="BZ5" s="690">
        <f>Assumptions!$K7</f>
        <v>1.4427782515577596</v>
      </c>
      <c r="CA5" s="834">
        <f>Assumptions!$K7</f>
        <v>1.4427782515577596</v>
      </c>
      <c r="CB5" s="834">
        <f>Assumptions!$K7</f>
        <v>1.4427782515577596</v>
      </c>
      <c r="CC5" s="834">
        <f>Assumptions!$K7</f>
        <v>1.4427782515577596</v>
      </c>
      <c r="CD5" s="834">
        <f>Assumptions!$K7</f>
        <v>1.4427782515577596</v>
      </c>
      <c r="CE5" s="834">
        <f>Assumptions!$K7</f>
        <v>1.4427782515577596</v>
      </c>
      <c r="CF5" s="834">
        <f>Assumptions!$K7</f>
        <v>1.4427782515577596</v>
      </c>
      <c r="CG5" s="834">
        <f>Assumptions!$K7</f>
        <v>1.4427782515577596</v>
      </c>
      <c r="CH5" s="834">
        <f>Assumptions!$K7</f>
        <v>1.4427782515577596</v>
      </c>
      <c r="CI5" s="834">
        <f>Assumptions!$K7</f>
        <v>1.4427782515577596</v>
      </c>
      <c r="CJ5" s="834">
        <f>Assumptions!$K7</f>
        <v>1.4427782515577596</v>
      </c>
      <c r="CK5" s="847">
        <f>Assumptions!$K7</f>
        <v>1.4427782515577596</v>
      </c>
      <c r="CL5" s="690">
        <f>Assumptions!$L7</f>
        <v>1.5336732814058984</v>
      </c>
      <c r="CM5" s="834">
        <f>Assumptions!$L7</f>
        <v>1.5336732814058984</v>
      </c>
      <c r="CN5" s="834">
        <f>Assumptions!$L7</f>
        <v>1.5336732814058984</v>
      </c>
      <c r="CO5" s="834">
        <f>Assumptions!$L7</f>
        <v>1.5336732814058984</v>
      </c>
      <c r="CP5" s="834">
        <f>Assumptions!$L7</f>
        <v>1.5336732814058984</v>
      </c>
      <c r="CQ5" s="834">
        <f>Assumptions!$L7</f>
        <v>1.5336732814058984</v>
      </c>
      <c r="CR5" s="834">
        <f>Assumptions!$L7</f>
        <v>1.5336732814058984</v>
      </c>
      <c r="CS5" s="834">
        <f>Assumptions!$L7</f>
        <v>1.5336732814058984</v>
      </c>
      <c r="CT5" s="834">
        <f>Assumptions!$L7</f>
        <v>1.5336732814058984</v>
      </c>
      <c r="CU5" s="834">
        <f>Assumptions!$L7</f>
        <v>1.5336732814058984</v>
      </c>
      <c r="CV5" s="834">
        <f>Assumptions!$L7</f>
        <v>1.5336732814058984</v>
      </c>
      <c r="CW5" s="847">
        <f>Assumptions!$L7</f>
        <v>1.5336732814058984</v>
      </c>
      <c r="CX5" s="690">
        <f>Assumptions!$M7</f>
        <v>1.6302946981344699</v>
      </c>
      <c r="CY5" s="22">
        <f>Assumptions!$M7</f>
        <v>1.6302946981344699</v>
      </c>
      <c r="CZ5" s="22">
        <f>Assumptions!$M7</f>
        <v>1.6302946981344699</v>
      </c>
      <c r="DA5" s="22">
        <f>Assumptions!$M7</f>
        <v>1.6302946981344699</v>
      </c>
      <c r="DB5" s="22">
        <f>Assumptions!$M7</f>
        <v>1.6302946981344699</v>
      </c>
      <c r="DC5" s="22">
        <f>Assumptions!$M7</f>
        <v>1.6302946981344699</v>
      </c>
      <c r="DD5" s="22">
        <f>Assumptions!$M7</f>
        <v>1.6302946981344699</v>
      </c>
      <c r="DE5" s="22">
        <f>Assumptions!$M7</f>
        <v>1.6302946981344699</v>
      </c>
      <c r="DF5" s="22">
        <f>Assumptions!$M7</f>
        <v>1.6302946981344699</v>
      </c>
      <c r="DG5" s="22">
        <f>Assumptions!$M7</f>
        <v>1.6302946981344699</v>
      </c>
      <c r="DH5" s="22">
        <f>Assumptions!$M7</f>
        <v>1.6302946981344699</v>
      </c>
      <c r="DI5" s="593">
        <f>Assumptions!$M7</f>
        <v>1.6302946981344699</v>
      </c>
      <c r="DJ5" s="690">
        <f>Assumptions!$N7</f>
        <v>1.7330032641169415</v>
      </c>
      <c r="DK5" s="22">
        <f>Assumptions!$N7</f>
        <v>1.7330032641169415</v>
      </c>
      <c r="DL5" s="22">
        <f>Assumptions!$N7</f>
        <v>1.7330032641169415</v>
      </c>
      <c r="DM5" s="22">
        <f>Assumptions!$N7</f>
        <v>1.7330032641169415</v>
      </c>
      <c r="DN5" s="22">
        <f>Assumptions!$N7</f>
        <v>1.7330032641169415</v>
      </c>
      <c r="DO5" s="22">
        <f>Assumptions!$N7</f>
        <v>1.7330032641169415</v>
      </c>
      <c r="DP5" s="22">
        <f>Assumptions!$N7</f>
        <v>1.7330032641169415</v>
      </c>
      <c r="DQ5" s="22">
        <f>Assumptions!$N7</f>
        <v>1.7330032641169415</v>
      </c>
      <c r="DR5" s="22">
        <f>Assumptions!$N7</f>
        <v>1.7330032641169415</v>
      </c>
      <c r="DS5" s="22">
        <f>Assumptions!$N7</f>
        <v>1.7330032641169415</v>
      </c>
      <c r="DT5" s="22">
        <f>Assumptions!$N7</f>
        <v>1.7330032641169415</v>
      </c>
      <c r="DU5" s="593">
        <f>Assumptions!$N7</f>
        <v>1.7330032641169415</v>
      </c>
    </row>
    <row r="6" spans="1:125" s="7" customFormat="1" ht="12.75" customHeight="1" x14ac:dyDescent="0.2">
      <c r="A6" s="60"/>
      <c r="B6" s="61"/>
      <c r="C6" s="61"/>
      <c r="D6" s="61"/>
      <c r="E6" s="590"/>
      <c r="F6" s="848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49"/>
      <c r="R6" s="835"/>
      <c r="S6" s="835"/>
      <c r="T6" s="835"/>
      <c r="U6" s="835"/>
      <c r="V6" s="835"/>
      <c r="W6" s="835"/>
      <c r="X6" s="835"/>
      <c r="Y6" s="835"/>
      <c r="Z6" s="835"/>
      <c r="AA6" s="835"/>
      <c r="AB6" s="835"/>
      <c r="AC6" s="849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720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720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720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720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720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720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720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720"/>
    </row>
    <row r="7" spans="1:125" s="2" customFormat="1" ht="18.75" customHeight="1" x14ac:dyDescent="0.3">
      <c r="A7" s="243" t="s">
        <v>157</v>
      </c>
      <c r="B7" s="272" t="s">
        <v>158</v>
      </c>
      <c r="C7" s="290" t="s">
        <v>203</v>
      </c>
      <c r="D7" s="290" t="s">
        <v>207</v>
      </c>
      <c r="E7" s="10"/>
      <c r="F7" s="845"/>
      <c r="G7" s="837"/>
      <c r="H7" s="837"/>
      <c r="I7" s="837"/>
      <c r="J7" s="837"/>
      <c r="K7" s="837"/>
      <c r="L7" s="837"/>
      <c r="M7" s="837"/>
      <c r="N7" s="837"/>
      <c r="O7" s="837"/>
      <c r="P7" s="837"/>
      <c r="Q7" s="850"/>
      <c r="R7" s="837"/>
      <c r="S7" s="837"/>
      <c r="T7" s="837"/>
      <c r="U7" s="837"/>
      <c r="V7" s="837"/>
      <c r="W7" s="837"/>
      <c r="X7" s="837"/>
      <c r="Y7" s="837"/>
      <c r="Z7" s="837"/>
      <c r="AA7" s="837"/>
      <c r="AB7" s="837"/>
      <c r="AC7" s="850"/>
      <c r="AD7" s="837"/>
      <c r="AE7" s="837"/>
      <c r="AF7" s="837"/>
      <c r="AG7" s="837"/>
      <c r="AH7" s="837"/>
      <c r="AI7" s="837"/>
      <c r="AJ7" s="837"/>
      <c r="AK7" s="837"/>
      <c r="AL7" s="837"/>
      <c r="AM7" s="837"/>
      <c r="AN7" s="837"/>
      <c r="AO7" s="850"/>
      <c r="AP7" s="837"/>
      <c r="AQ7" s="837"/>
      <c r="AR7" s="837"/>
      <c r="AS7" s="837"/>
      <c r="AT7" s="837"/>
      <c r="AU7" s="837"/>
      <c r="AV7" s="837"/>
      <c r="AW7" s="837"/>
      <c r="AX7" s="837"/>
      <c r="AY7" s="837"/>
      <c r="AZ7" s="837"/>
      <c r="BA7" s="850"/>
      <c r="BB7" s="837"/>
      <c r="BC7" s="837"/>
      <c r="BD7" s="837"/>
      <c r="BE7" s="837"/>
      <c r="BF7" s="837"/>
      <c r="BG7" s="837"/>
      <c r="BH7" s="837"/>
      <c r="BI7" s="837"/>
      <c r="BJ7" s="837"/>
      <c r="BK7" s="837"/>
      <c r="BL7" s="837"/>
      <c r="BM7" s="850"/>
      <c r="BN7" s="837"/>
      <c r="BO7" s="837"/>
      <c r="BP7" s="837"/>
      <c r="BQ7" s="837"/>
      <c r="BR7" s="837"/>
      <c r="BS7" s="837"/>
      <c r="BT7" s="837"/>
      <c r="BU7" s="837"/>
      <c r="BV7" s="837"/>
      <c r="BW7" s="837"/>
      <c r="BX7" s="837"/>
      <c r="BY7" s="850"/>
      <c r="BZ7" s="837"/>
      <c r="CA7" s="837"/>
      <c r="CB7" s="837"/>
      <c r="CC7" s="837"/>
      <c r="CD7" s="837"/>
      <c r="CE7" s="837"/>
      <c r="CF7" s="837"/>
      <c r="CG7" s="837"/>
      <c r="CH7" s="837"/>
      <c r="CI7" s="837"/>
      <c r="CJ7" s="837"/>
      <c r="CK7" s="850"/>
      <c r="CL7" s="837"/>
      <c r="CM7" s="837"/>
      <c r="CN7" s="837"/>
      <c r="CO7" s="837"/>
      <c r="CP7" s="837"/>
      <c r="CQ7" s="837"/>
      <c r="CR7" s="837"/>
      <c r="CS7" s="837"/>
      <c r="CT7" s="837"/>
      <c r="CU7" s="837"/>
      <c r="CV7" s="837"/>
      <c r="CW7" s="850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594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594"/>
    </row>
    <row r="8" spans="1:125" s="2" customFormat="1" ht="18.75" customHeight="1" x14ac:dyDescent="0.25">
      <c r="A8" s="250"/>
      <c r="B8" s="271" t="s">
        <v>296</v>
      </c>
      <c r="C8" s="271" t="s">
        <v>204</v>
      </c>
      <c r="D8" s="271">
        <v>1</v>
      </c>
      <c r="E8" s="10">
        <f>-VLOOKUP(C8,$C$51:$W$59,8,FALSE)</f>
        <v>-81250</v>
      </c>
      <c r="F8" s="738"/>
      <c r="G8" s="404"/>
      <c r="H8" s="404"/>
      <c r="I8" s="404"/>
      <c r="J8" s="404"/>
      <c r="K8" s="404"/>
      <c r="L8" s="404"/>
      <c r="M8" s="404"/>
      <c r="N8" s="404"/>
      <c r="O8" s="404"/>
      <c r="P8" s="404">
        <f t="shared" ref="P8:CD9" si="0">$E8*$D8*P$5</f>
        <v>-81250</v>
      </c>
      <c r="Q8" s="497">
        <f t="shared" si="0"/>
        <v>-81250</v>
      </c>
      <c r="R8" s="107">
        <f t="shared" si="0"/>
        <v>-86368.75</v>
      </c>
      <c r="S8" s="106">
        <f t="shared" si="0"/>
        <v>-86368.75</v>
      </c>
      <c r="T8" s="106">
        <f t="shared" si="0"/>
        <v>-86368.75</v>
      </c>
      <c r="U8" s="106">
        <f t="shared" si="0"/>
        <v>-86368.75</v>
      </c>
      <c r="V8" s="106">
        <f t="shared" si="0"/>
        <v>-86368.75</v>
      </c>
      <c r="W8" s="106">
        <f t="shared" si="0"/>
        <v>-86368.75</v>
      </c>
      <c r="X8" s="106">
        <f t="shared" si="0"/>
        <v>-86368.75</v>
      </c>
      <c r="Y8" s="106">
        <f t="shared" si="0"/>
        <v>-86368.75</v>
      </c>
      <c r="Z8" s="106">
        <f t="shared" si="0"/>
        <v>-86368.75</v>
      </c>
      <c r="AA8" s="106">
        <f t="shared" si="0"/>
        <v>-86368.75</v>
      </c>
      <c r="AB8" s="106">
        <f t="shared" si="0"/>
        <v>-86368.75</v>
      </c>
      <c r="AC8" s="108">
        <f t="shared" si="0"/>
        <v>-86368.75</v>
      </c>
      <c r="AD8" s="107">
        <f t="shared" si="0"/>
        <v>-91809.981249999983</v>
      </c>
      <c r="AE8" s="106">
        <f t="shared" si="0"/>
        <v>-91809.981249999983</v>
      </c>
      <c r="AF8" s="106">
        <f t="shared" si="0"/>
        <v>-91809.981249999983</v>
      </c>
      <c r="AG8" s="106">
        <f t="shared" si="0"/>
        <v>-91809.981249999983</v>
      </c>
      <c r="AH8" s="106">
        <f t="shared" si="0"/>
        <v>-91809.981249999983</v>
      </c>
      <c r="AI8" s="106">
        <f t="shared" si="0"/>
        <v>-91809.981249999983</v>
      </c>
      <c r="AJ8" s="106">
        <f t="shared" si="0"/>
        <v>-91809.981249999983</v>
      </c>
      <c r="AK8" s="106">
        <f t="shared" si="0"/>
        <v>-91809.981249999983</v>
      </c>
      <c r="AL8" s="106">
        <f t="shared" si="0"/>
        <v>-91809.981249999983</v>
      </c>
      <c r="AM8" s="106">
        <f t="shared" si="0"/>
        <v>-91809.981249999983</v>
      </c>
      <c r="AN8" s="106">
        <f t="shared" si="0"/>
        <v>-91809.981249999983</v>
      </c>
      <c r="AO8" s="108">
        <f t="shared" si="0"/>
        <v>-91809.981249999983</v>
      </c>
      <c r="AP8" s="107">
        <f t="shared" si="0"/>
        <v>-97594.01006874998</v>
      </c>
      <c r="AQ8" s="106">
        <f t="shared" si="0"/>
        <v>-97594.01006874998</v>
      </c>
      <c r="AR8" s="106">
        <f t="shared" si="0"/>
        <v>-97594.01006874998</v>
      </c>
      <c r="AS8" s="106">
        <f t="shared" si="0"/>
        <v>-97594.01006874998</v>
      </c>
      <c r="AT8" s="106">
        <f t="shared" si="0"/>
        <v>-97594.01006874998</v>
      </c>
      <c r="AU8" s="106">
        <f t="shared" si="0"/>
        <v>-97594.01006874998</v>
      </c>
      <c r="AV8" s="106">
        <f t="shared" si="0"/>
        <v>-97594.01006874998</v>
      </c>
      <c r="AW8" s="106">
        <f t="shared" si="0"/>
        <v>-97594.01006874998</v>
      </c>
      <c r="AX8" s="106">
        <f t="shared" si="0"/>
        <v>-97594.01006874998</v>
      </c>
      <c r="AY8" s="106">
        <f t="shared" si="0"/>
        <v>-97594.01006874998</v>
      </c>
      <c r="AZ8" s="106">
        <f t="shared" si="0"/>
        <v>-97594.01006874998</v>
      </c>
      <c r="BA8" s="108">
        <f t="shared" si="0"/>
        <v>-97594.01006874998</v>
      </c>
      <c r="BB8" s="107">
        <f t="shared" si="0"/>
        <v>-103742.43270308121</v>
      </c>
      <c r="BC8" s="106">
        <f t="shared" si="0"/>
        <v>-103742.43270308121</v>
      </c>
      <c r="BD8" s="106">
        <f t="shared" si="0"/>
        <v>-103742.43270308121</v>
      </c>
      <c r="BE8" s="106">
        <f t="shared" si="0"/>
        <v>-103742.43270308121</v>
      </c>
      <c r="BF8" s="106">
        <f t="shared" si="0"/>
        <v>-103742.43270308121</v>
      </c>
      <c r="BG8" s="106">
        <f t="shared" si="0"/>
        <v>-103742.43270308121</v>
      </c>
      <c r="BH8" s="106">
        <f t="shared" si="0"/>
        <v>-103742.43270308121</v>
      </c>
      <c r="BI8" s="106">
        <f t="shared" si="0"/>
        <v>-103742.43270308121</v>
      </c>
      <c r="BJ8" s="106">
        <f t="shared" si="0"/>
        <v>-103742.43270308121</v>
      </c>
      <c r="BK8" s="106">
        <f t="shared" si="0"/>
        <v>-103742.43270308121</v>
      </c>
      <c r="BL8" s="106">
        <f t="shared" si="0"/>
        <v>-103742.43270308121</v>
      </c>
      <c r="BM8" s="108">
        <f t="shared" si="0"/>
        <v>-103742.43270308121</v>
      </c>
      <c r="BN8" s="107">
        <f t="shared" si="0"/>
        <v>-110278.20596337532</v>
      </c>
      <c r="BO8" s="106">
        <f t="shared" si="0"/>
        <v>-110278.20596337532</v>
      </c>
      <c r="BP8" s="106">
        <f t="shared" si="0"/>
        <v>-110278.20596337532</v>
      </c>
      <c r="BQ8" s="106">
        <f t="shared" si="0"/>
        <v>-110278.20596337532</v>
      </c>
      <c r="BR8" s="106">
        <f t="shared" si="0"/>
        <v>-110278.20596337532</v>
      </c>
      <c r="BS8" s="106">
        <f t="shared" si="0"/>
        <v>-110278.20596337532</v>
      </c>
      <c r="BT8" s="106">
        <f t="shared" si="0"/>
        <v>-110278.20596337532</v>
      </c>
      <c r="BU8" s="106">
        <f t="shared" si="0"/>
        <v>-110278.20596337532</v>
      </c>
      <c r="BV8" s="106">
        <f t="shared" si="0"/>
        <v>-110278.20596337532</v>
      </c>
      <c r="BW8" s="106">
        <f t="shared" si="0"/>
        <v>-110278.20596337532</v>
      </c>
      <c r="BX8" s="106">
        <f t="shared" si="0"/>
        <v>-110278.20596337532</v>
      </c>
      <c r="BY8" s="108">
        <f t="shared" si="0"/>
        <v>-110278.20596337532</v>
      </c>
      <c r="BZ8" s="107">
        <f t="shared" si="0"/>
        <v>-117225.73293906797</v>
      </c>
      <c r="CA8" s="106">
        <f t="shared" si="0"/>
        <v>-117225.73293906797</v>
      </c>
      <c r="CB8" s="106">
        <f t="shared" si="0"/>
        <v>-117225.73293906797</v>
      </c>
      <c r="CC8" s="106">
        <f t="shared" si="0"/>
        <v>-117225.73293906797</v>
      </c>
      <c r="CD8" s="106">
        <f t="shared" si="0"/>
        <v>-117225.73293906797</v>
      </c>
      <c r="CE8" s="106">
        <f t="shared" ref="CE8:DU9" si="1">$E8*$D8*CE$5</f>
        <v>-117225.73293906797</v>
      </c>
      <c r="CF8" s="106">
        <f t="shared" si="1"/>
        <v>-117225.73293906797</v>
      </c>
      <c r="CG8" s="106">
        <f t="shared" si="1"/>
        <v>-117225.73293906797</v>
      </c>
      <c r="CH8" s="106">
        <f t="shared" si="1"/>
        <v>-117225.73293906797</v>
      </c>
      <c r="CI8" s="106">
        <f t="shared" si="1"/>
        <v>-117225.73293906797</v>
      </c>
      <c r="CJ8" s="106">
        <f t="shared" si="1"/>
        <v>-117225.73293906797</v>
      </c>
      <c r="CK8" s="108">
        <f t="shared" si="1"/>
        <v>-117225.73293906797</v>
      </c>
      <c r="CL8" s="107">
        <f t="shared" si="1"/>
        <v>-124610.95411422924</v>
      </c>
      <c r="CM8" s="106">
        <f t="shared" si="1"/>
        <v>-124610.95411422924</v>
      </c>
      <c r="CN8" s="106">
        <f t="shared" si="1"/>
        <v>-124610.95411422924</v>
      </c>
      <c r="CO8" s="106">
        <f t="shared" si="1"/>
        <v>-124610.95411422924</v>
      </c>
      <c r="CP8" s="106">
        <f t="shared" si="1"/>
        <v>-124610.95411422924</v>
      </c>
      <c r="CQ8" s="106">
        <f t="shared" si="1"/>
        <v>-124610.95411422924</v>
      </c>
      <c r="CR8" s="106">
        <f t="shared" si="1"/>
        <v>-124610.95411422924</v>
      </c>
      <c r="CS8" s="106">
        <f t="shared" si="1"/>
        <v>-124610.95411422924</v>
      </c>
      <c r="CT8" s="106">
        <f t="shared" si="1"/>
        <v>-124610.95411422924</v>
      </c>
      <c r="CU8" s="106">
        <f t="shared" si="1"/>
        <v>-124610.95411422924</v>
      </c>
      <c r="CV8" s="106">
        <f t="shared" si="1"/>
        <v>-124610.95411422924</v>
      </c>
      <c r="CW8" s="108">
        <f t="shared" si="1"/>
        <v>-124610.95411422924</v>
      </c>
      <c r="CX8" s="107">
        <f t="shared" si="1"/>
        <v>-132461.44422342567</v>
      </c>
      <c r="CY8" s="106">
        <f t="shared" si="1"/>
        <v>-132461.44422342567</v>
      </c>
      <c r="CZ8" s="106">
        <f t="shared" si="1"/>
        <v>-132461.44422342567</v>
      </c>
      <c r="DA8" s="106">
        <f t="shared" si="1"/>
        <v>-132461.44422342567</v>
      </c>
      <c r="DB8" s="106">
        <f t="shared" si="1"/>
        <v>-132461.44422342567</v>
      </c>
      <c r="DC8" s="106">
        <f t="shared" si="1"/>
        <v>-132461.44422342567</v>
      </c>
      <c r="DD8" s="106">
        <f t="shared" si="1"/>
        <v>-132461.44422342567</v>
      </c>
      <c r="DE8" s="106">
        <f t="shared" si="1"/>
        <v>-132461.44422342567</v>
      </c>
      <c r="DF8" s="106">
        <f t="shared" si="1"/>
        <v>-132461.44422342567</v>
      </c>
      <c r="DG8" s="106">
        <f t="shared" si="1"/>
        <v>-132461.44422342567</v>
      </c>
      <c r="DH8" s="106">
        <f t="shared" si="1"/>
        <v>-132461.44422342567</v>
      </c>
      <c r="DI8" s="108">
        <f t="shared" si="1"/>
        <v>-132461.44422342567</v>
      </c>
      <c r="DJ8" s="107">
        <f t="shared" si="1"/>
        <v>-140806.51520950149</v>
      </c>
      <c r="DK8" s="106">
        <f t="shared" si="1"/>
        <v>-140806.51520950149</v>
      </c>
      <c r="DL8" s="106">
        <f t="shared" si="1"/>
        <v>-140806.51520950149</v>
      </c>
      <c r="DM8" s="106">
        <f t="shared" si="1"/>
        <v>-140806.51520950149</v>
      </c>
      <c r="DN8" s="106">
        <f t="shared" si="1"/>
        <v>-140806.51520950149</v>
      </c>
      <c r="DO8" s="106">
        <f t="shared" si="1"/>
        <v>-140806.51520950149</v>
      </c>
      <c r="DP8" s="106">
        <f t="shared" si="1"/>
        <v>-140806.51520950149</v>
      </c>
      <c r="DQ8" s="106">
        <f t="shared" si="1"/>
        <v>-140806.51520950149</v>
      </c>
      <c r="DR8" s="106">
        <f t="shared" si="1"/>
        <v>-140806.51520950149</v>
      </c>
      <c r="DS8" s="106">
        <f t="shared" si="1"/>
        <v>-140806.51520950149</v>
      </c>
      <c r="DT8" s="106">
        <f t="shared" si="1"/>
        <v>-140806.51520950149</v>
      </c>
      <c r="DU8" s="108">
        <f t="shared" si="1"/>
        <v>-140806.51520950149</v>
      </c>
    </row>
    <row r="9" spans="1:125" s="2" customFormat="1" ht="18.75" customHeight="1" x14ac:dyDescent="0.25">
      <c r="A9" s="250"/>
      <c r="B9" s="271" t="s">
        <v>297</v>
      </c>
      <c r="C9" s="271" t="s">
        <v>225</v>
      </c>
      <c r="D9" s="271">
        <v>1</v>
      </c>
      <c r="E9" s="10">
        <f>-VLOOKUP(C9,$C$51:$W$59,8,FALSE)</f>
        <v>-65000</v>
      </c>
      <c r="F9" s="738"/>
      <c r="G9" s="404"/>
      <c r="H9" s="404"/>
      <c r="I9" s="404"/>
      <c r="J9" s="404"/>
      <c r="K9" s="404"/>
      <c r="L9" s="404"/>
      <c r="M9" s="404"/>
      <c r="N9" s="404"/>
      <c r="O9" s="404"/>
      <c r="P9" s="404">
        <f t="shared" ref="P9:AG9" si="2">$E9*$D9*P$5</f>
        <v>-65000</v>
      </c>
      <c r="Q9" s="497">
        <f t="shared" si="2"/>
        <v>-65000</v>
      </c>
      <c r="R9" s="107">
        <f t="shared" si="2"/>
        <v>-69095</v>
      </c>
      <c r="S9" s="106">
        <f t="shared" si="2"/>
        <v>-69095</v>
      </c>
      <c r="T9" s="106">
        <f t="shared" si="2"/>
        <v>-69095</v>
      </c>
      <c r="U9" s="106">
        <f t="shared" si="2"/>
        <v>-69095</v>
      </c>
      <c r="V9" s="106">
        <f t="shared" si="2"/>
        <v>-69095</v>
      </c>
      <c r="W9" s="106">
        <f t="shared" si="2"/>
        <v>-69095</v>
      </c>
      <c r="X9" s="106">
        <f t="shared" si="2"/>
        <v>-69095</v>
      </c>
      <c r="Y9" s="106">
        <f t="shared" si="2"/>
        <v>-69095</v>
      </c>
      <c r="Z9" s="106">
        <f t="shared" si="2"/>
        <v>-69095</v>
      </c>
      <c r="AA9" s="106">
        <f t="shared" si="2"/>
        <v>-69095</v>
      </c>
      <c r="AB9" s="106">
        <f t="shared" si="2"/>
        <v>-69095</v>
      </c>
      <c r="AC9" s="108">
        <f t="shared" si="2"/>
        <v>-69095</v>
      </c>
      <c r="AD9" s="107">
        <f t="shared" si="2"/>
        <v>-73447.984999999986</v>
      </c>
      <c r="AE9" s="106">
        <f t="shared" si="2"/>
        <v>-73447.984999999986</v>
      </c>
      <c r="AF9" s="106">
        <f t="shared" si="2"/>
        <v>-73447.984999999986</v>
      </c>
      <c r="AG9" s="106">
        <f t="shared" si="2"/>
        <v>-73447.984999999986</v>
      </c>
      <c r="AH9" s="106">
        <f t="shared" si="0"/>
        <v>-73447.984999999986</v>
      </c>
      <c r="AI9" s="106">
        <f t="shared" si="0"/>
        <v>-73447.984999999986</v>
      </c>
      <c r="AJ9" s="106">
        <f t="shared" si="0"/>
        <v>-73447.984999999986</v>
      </c>
      <c r="AK9" s="106">
        <f t="shared" si="0"/>
        <v>-73447.984999999986</v>
      </c>
      <c r="AL9" s="106">
        <f t="shared" si="0"/>
        <v>-73447.984999999986</v>
      </c>
      <c r="AM9" s="106">
        <f t="shared" si="0"/>
        <v>-73447.984999999986</v>
      </c>
      <c r="AN9" s="106">
        <f t="shared" si="0"/>
        <v>-73447.984999999986</v>
      </c>
      <c r="AO9" s="108">
        <f t="shared" si="0"/>
        <v>-73447.984999999986</v>
      </c>
      <c r="AP9" s="107">
        <f t="shared" si="0"/>
        <v>-78075.208054999981</v>
      </c>
      <c r="AQ9" s="106">
        <f t="shared" si="0"/>
        <v>-78075.208054999981</v>
      </c>
      <c r="AR9" s="106">
        <f t="shared" si="0"/>
        <v>-78075.208054999981</v>
      </c>
      <c r="AS9" s="106">
        <f t="shared" si="0"/>
        <v>-78075.208054999981</v>
      </c>
      <c r="AT9" s="106">
        <f t="shared" si="0"/>
        <v>-78075.208054999981</v>
      </c>
      <c r="AU9" s="106">
        <f t="shared" si="0"/>
        <v>-78075.208054999981</v>
      </c>
      <c r="AV9" s="106">
        <f t="shared" si="0"/>
        <v>-78075.208054999981</v>
      </c>
      <c r="AW9" s="106">
        <f t="shared" si="0"/>
        <v>-78075.208054999981</v>
      </c>
      <c r="AX9" s="106">
        <f t="shared" si="0"/>
        <v>-78075.208054999981</v>
      </c>
      <c r="AY9" s="106">
        <f t="shared" si="0"/>
        <v>-78075.208054999981</v>
      </c>
      <c r="AZ9" s="106">
        <f t="shared" si="0"/>
        <v>-78075.208054999981</v>
      </c>
      <c r="BA9" s="108">
        <f t="shared" si="0"/>
        <v>-78075.208054999981</v>
      </c>
      <c r="BB9" s="107">
        <f t="shared" si="0"/>
        <v>-82993.94616246497</v>
      </c>
      <c r="BC9" s="106">
        <f t="shared" si="0"/>
        <v>-82993.94616246497</v>
      </c>
      <c r="BD9" s="106">
        <f t="shared" si="0"/>
        <v>-82993.94616246497</v>
      </c>
      <c r="BE9" s="106">
        <f t="shared" si="0"/>
        <v>-82993.94616246497</v>
      </c>
      <c r="BF9" s="106">
        <f t="shared" si="0"/>
        <v>-82993.94616246497</v>
      </c>
      <c r="BG9" s="106">
        <f t="shared" si="0"/>
        <v>-82993.94616246497</v>
      </c>
      <c r="BH9" s="106">
        <f t="shared" si="0"/>
        <v>-82993.94616246497</v>
      </c>
      <c r="BI9" s="106">
        <f t="shared" si="0"/>
        <v>-82993.94616246497</v>
      </c>
      <c r="BJ9" s="106">
        <f t="shared" si="0"/>
        <v>-82993.94616246497</v>
      </c>
      <c r="BK9" s="106">
        <f t="shared" si="0"/>
        <v>-82993.94616246497</v>
      </c>
      <c r="BL9" s="106">
        <f t="shared" si="0"/>
        <v>-82993.94616246497</v>
      </c>
      <c r="BM9" s="108">
        <f t="shared" si="0"/>
        <v>-82993.94616246497</v>
      </c>
      <c r="BN9" s="107">
        <f t="shared" si="0"/>
        <v>-88222.564770700264</v>
      </c>
      <c r="BO9" s="106">
        <f t="shared" si="0"/>
        <v>-88222.564770700264</v>
      </c>
      <c r="BP9" s="106">
        <f t="shared" si="0"/>
        <v>-88222.564770700264</v>
      </c>
      <c r="BQ9" s="106">
        <f t="shared" si="0"/>
        <v>-88222.564770700264</v>
      </c>
      <c r="BR9" s="106">
        <f t="shared" si="0"/>
        <v>-88222.564770700264</v>
      </c>
      <c r="BS9" s="106">
        <f t="shared" si="0"/>
        <v>-88222.564770700264</v>
      </c>
      <c r="BT9" s="106">
        <f t="shared" si="0"/>
        <v>-88222.564770700264</v>
      </c>
      <c r="BU9" s="106">
        <f t="shared" si="0"/>
        <v>-88222.564770700264</v>
      </c>
      <c r="BV9" s="106">
        <f t="shared" si="0"/>
        <v>-88222.564770700264</v>
      </c>
      <c r="BW9" s="106">
        <f t="shared" si="0"/>
        <v>-88222.564770700264</v>
      </c>
      <c r="BX9" s="106">
        <f t="shared" si="0"/>
        <v>-88222.564770700264</v>
      </c>
      <c r="BY9" s="108">
        <f t="shared" si="0"/>
        <v>-88222.564770700264</v>
      </c>
      <c r="BZ9" s="107">
        <f t="shared" si="0"/>
        <v>-93780.586351254373</v>
      </c>
      <c r="CA9" s="106">
        <f t="shared" si="0"/>
        <v>-93780.586351254373</v>
      </c>
      <c r="CB9" s="106">
        <f t="shared" si="0"/>
        <v>-93780.586351254373</v>
      </c>
      <c r="CC9" s="106">
        <f t="shared" si="0"/>
        <v>-93780.586351254373</v>
      </c>
      <c r="CD9" s="106">
        <f t="shared" si="0"/>
        <v>-93780.586351254373</v>
      </c>
      <c r="CE9" s="106">
        <f t="shared" si="1"/>
        <v>-93780.586351254373</v>
      </c>
      <c r="CF9" s="106">
        <f t="shared" si="1"/>
        <v>-93780.586351254373</v>
      </c>
      <c r="CG9" s="106">
        <f t="shared" si="1"/>
        <v>-93780.586351254373</v>
      </c>
      <c r="CH9" s="106">
        <f t="shared" si="1"/>
        <v>-93780.586351254373</v>
      </c>
      <c r="CI9" s="106">
        <f t="shared" si="1"/>
        <v>-93780.586351254373</v>
      </c>
      <c r="CJ9" s="106">
        <f t="shared" si="1"/>
        <v>-93780.586351254373</v>
      </c>
      <c r="CK9" s="108">
        <f t="shared" si="1"/>
        <v>-93780.586351254373</v>
      </c>
      <c r="CL9" s="107">
        <f t="shared" si="1"/>
        <v>-99688.763291383395</v>
      </c>
      <c r="CM9" s="106">
        <f t="shared" si="1"/>
        <v>-99688.763291383395</v>
      </c>
      <c r="CN9" s="106">
        <f t="shared" si="1"/>
        <v>-99688.763291383395</v>
      </c>
      <c r="CO9" s="106">
        <f t="shared" si="1"/>
        <v>-99688.763291383395</v>
      </c>
      <c r="CP9" s="106">
        <f t="shared" si="1"/>
        <v>-99688.763291383395</v>
      </c>
      <c r="CQ9" s="106">
        <f t="shared" si="1"/>
        <v>-99688.763291383395</v>
      </c>
      <c r="CR9" s="106">
        <f t="shared" si="1"/>
        <v>-99688.763291383395</v>
      </c>
      <c r="CS9" s="106">
        <f t="shared" si="1"/>
        <v>-99688.763291383395</v>
      </c>
      <c r="CT9" s="106">
        <f t="shared" si="1"/>
        <v>-99688.763291383395</v>
      </c>
      <c r="CU9" s="106">
        <f t="shared" si="1"/>
        <v>-99688.763291383395</v>
      </c>
      <c r="CV9" s="106">
        <f t="shared" si="1"/>
        <v>-99688.763291383395</v>
      </c>
      <c r="CW9" s="108">
        <f t="shared" si="1"/>
        <v>-99688.763291383395</v>
      </c>
      <c r="CX9" s="107">
        <f t="shared" si="1"/>
        <v>-105969.15537874054</v>
      </c>
      <c r="CY9" s="106">
        <f t="shared" si="1"/>
        <v>-105969.15537874054</v>
      </c>
      <c r="CZ9" s="106">
        <f t="shared" si="1"/>
        <v>-105969.15537874054</v>
      </c>
      <c r="DA9" s="106">
        <f t="shared" si="1"/>
        <v>-105969.15537874054</v>
      </c>
      <c r="DB9" s="106">
        <f t="shared" si="1"/>
        <v>-105969.15537874054</v>
      </c>
      <c r="DC9" s="106">
        <f t="shared" si="1"/>
        <v>-105969.15537874054</v>
      </c>
      <c r="DD9" s="106">
        <f t="shared" si="1"/>
        <v>-105969.15537874054</v>
      </c>
      <c r="DE9" s="106">
        <f t="shared" si="1"/>
        <v>-105969.15537874054</v>
      </c>
      <c r="DF9" s="106">
        <f t="shared" si="1"/>
        <v>-105969.15537874054</v>
      </c>
      <c r="DG9" s="106">
        <f t="shared" si="1"/>
        <v>-105969.15537874054</v>
      </c>
      <c r="DH9" s="106">
        <f t="shared" si="1"/>
        <v>-105969.15537874054</v>
      </c>
      <c r="DI9" s="108">
        <f t="shared" si="1"/>
        <v>-105969.15537874054</v>
      </c>
      <c r="DJ9" s="107">
        <f t="shared" si="1"/>
        <v>-112645.2121676012</v>
      </c>
      <c r="DK9" s="106">
        <f t="shared" si="1"/>
        <v>-112645.2121676012</v>
      </c>
      <c r="DL9" s="106">
        <f t="shared" si="1"/>
        <v>-112645.2121676012</v>
      </c>
      <c r="DM9" s="106">
        <f t="shared" si="1"/>
        <v>-112645.2121676012</v>
      </c>
      <c r="DN9" s="106">
        <f t="shared" si="1"/>
        <v>-112645.2121676012</v>
      </c>
      <c r="DO9" s="106">
        <f t="shared" si="1"/>
        <v>-112645.2121676012</v>
      </c>
      <c r="DP9" s="106">
        <f t="shared" si="1"/>
        <v>-112645.2121676012</v>
      </c>
      <c r="DQ9" s="106">
        <f t="shared" si="1"/>
        <v>-112645.2121676012</v>
      </c>
      <c r="DR9" s="106">
        <f t="shared" si="1"/>
        <v>-112645.2121676012</v>
      </c>
      <c r="DS9" s="106">
        <f t="shared" si="1"/>
        <v>-112645.2121676012</v>
      </c>
      <c r="DT9" s="106">
        <f t="shared" si="1"/>
        <v>-112645.2121676012</v>
      </c>
      <c r="DU9" s="108">
        <f t="shared" si="1"/>
        <v>-112645.2121676012</v>
      </c>
    </row>
    <row r="10" spans="1:125" s="2" customFormat="1" ht="18.75" customHeight="1" x14ac:dyDescent="0.25">
      <c r="A10" s="250"/>
      <c r="B10" s="271" t="s">
        <v>590</v>
      </c>
      <c r="C10" s="271" t="s">
        <v>225</v>
      </c>
      <c r="D10" s="271"/>
      <c r="E10" s="10"/>
      <c r="F10" s="73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854"/>
      <c r="R10" s="853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595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59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595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595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595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595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595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595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595"/>
    </row>
    <row r="11" spans="1:125" s="2" customFormat="1" ht="18.75" customHeight="1" x14ac:dyDescent="0.3">
      <c r="A11" s="243"/>
      <c r="B11" s="272" t="s">
        <v>239</v>
      </c>
      <c r="C11" s="272"/>
      <c r="D11" s="272"/>
      <c r="E11" s="10"/>
      <c r="F11" s="738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12"/>
      <c r="R11" s="388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50"/>
      <c r="AD11" s="837"/>
      <c r="AE11" s="837"/>
      <c r="AF11" s="837"/>
      <c r="AG11" s="837"/>
      <c r="AH11" s="837"/>
      <c r="AI11" s="837"/>
      <c r="AJ11" s="837"/>
      <c r="AK11" s="837"/>
      <c r="AL11" s="837"/>
      <c r="AM11" s="837"/>
      <c r="AN11" s="837"/>
      <c r="AO11" s="850"/>
      <c r="AP11" s="837"/>
      <c r="AQ11" s="837"/>
      <c r="AR11" s="837"/>
      <c r="AS11" s="837"/>
      <c r="AT11" s="837"/>
      <c r="AU11" s="837"/>
      <c r="AV11" s="837"/>
      <c r="AW11" s="837"/>
      <c r="AX11" s="837"/>
      <c r="AY11" s="837"/>
      <c r="AZ11" s="837"/>
      <c r="BA11" s="850"/>
      <c r="BB11" s="837"/>
      <c r="BC11" s="837"/>
      <c r="BD11" s="837"/>
      <c r="BE11" s="837"/>
      <c r="BF11" s="837"/>
      <c r="BG11" s="837"/>
      <c r="BH11" s="837"/>
      <c r="BI11" s="837"/>
      <c r="BJ11" s="837"/>
      <c r="BK11" s="837"/>
      <c r="BL11" s="837"/>
      <c r="BM11" s="850"/>
      <c r="BN11" s="837"/>
      <c r="BO11" s="837"/>
      <c r="BP11" s="837"/>
      <c r="BQ11" s="837"/>
      <c r="BR11" s="837"/>
      <c r="BS11" s="837"/>
      <c r="BT11" s="837"/>
      <c r="BU11" s="837"/>
      <c r="BV11" s="837"/>
      <c r="BW11" s="837"/>
      <c r="BX11" s="837"/>
      <c r="BY11" s="850"/>
      <c r="BZ11" s="837"/>
      <c r="CA11" s="837"/>
      <c r="CB11" s="837"/>
      <c r="CC11" s="837"/>
      <c r="CD11" s="837"/>
      <c r="CE11" s="837"/>
      <c r="CF11" s="837"/>
      <c r="CG11" s="837"/>
      <c r="CH11" s="837"/>
      <c r="CI11" s="837"/>
      <c r="CJ11" s="837"/>
      <c r="CK11" s="850"/>
      <c r="CL11" s="837"/>
      <c r="CM11" s="837"/>
      <c r="CN11" s="837"/>
      <c r="CO11" s="837"/>
      <c r="CP11" s="837"/>
      <c r="CQ11" s="837"/>
      <c r="CR11" s="837"/>
      <c r="CS11" s="837"/>
      <c r="CT11" s="837"/>
      <c r="CU11" s="837"/>
      <c r="CV11" s="837"/>
      <c r="CW11" s="850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594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594"/>
    </row>
    <row r="12" spans="1:125" s="2" customFormat="1" ht="18.75" customHeight="1" x14ac:dyDescent="0.25">
      <c r="A12" s="244"/>
      <c r="B12" s="271" t="s">
        <v>202</v>
      </c>
      <c r="C12" s="271" t="s">
        <v>210</v>
      </c>
      <c r="D12" s="271">
        <v>1</v>
      </c>
      <c r="E12" s="10">
        <f t="shared" ref="E12:E18" si="3">-VLOOKUP(C12,$C$51:$W$59,8,FALSE)</f>
        <v>-38000</v>
      </c>
      <c r="F12" s="738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97"/>
      <c r="R12" s="107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8">
        <v>0</v>
      </c>
      <c r="AD12" s="107"/>
      <c r="AE12" s="106"/>
      <c r="AF12" s="106"/>
      <c r="AG12" s="106"/>
      <c r="AH12" s="106"/>
      <c r="AI12" s="106">
        <f t="shared" ref="AI12:AP16" si="4">$E12*$D12*AI$5</f>
        <v>-42938.821999999993</v>
      </c>
      <c r="AJ12" s="106">
        <f t="shared" si="4"/>
        <v>-42938.821999999993</v>
      </c>
      <c r="AK12" s="106">
        <f t="shared" si="4"/>
        <v>-42938.821999999993</v>
      </c>
      <c r="AL12" s="106">
        <f t="shared" si="4"/>
        <v>-42938.821999999993</v>
      </c>
      <c r="AM12" s="106">
        <f t="shared" si="4"/>
        <v>-42938.821999999993</v>
      </c>
      <c r="AN12" s="106">
        <f t="shared" si="4"/>
        <v>-42938.821999999993</v>
      </c>
      <c r="AO12" s="108">
        <f t="shared" si="4"/>
        <v>-42938.821999999993</v>
      </c>
      <c r="AP12" s="107">
        <f t="shared" si="4"/>
        <v>-45643.967785999987</v>
      </c>
      <c r="AQ12" s="106">
        <f t="shared" ref="AQ12:CD15" si="5">$E12*$D12*AQ$5</f>
        <v>-45643.967785999987</v>
      </c>
      <c r="AR12" s="106">
        <f t="shared" si="5"/>
        <v>-45643.967785999987</v>
      </c>
      <c r="AS12" s="106">
        <f t="shared" si="5"/>
        <v>-45643.967785999987</v>
      </c>
      <c r="AT12" s="106">
        <f t="shared" si="5"/>
        <v>-45643.967785999987</v>
      </c>
      <c r="AU12" s="106">
        <f t="shared" si="5"/>
        <v>-45643.967785999987</v>
      </c>
      <c r="AV12" s="106">
        <f t="shared" si="5"/>
        <v>-45643.967785999987</v>
      </c>
      <c r="AW12" s="106">
        <f t="shared" si="5"/>
        <v>-45643.967785999987</v>
      </c>
      <c r="AX12" s="106">
        <f t="shared" si="5"/>
        <v>-45643.967785999987</v>
      </c>
      <c r="AY12" s="106">
        <f t="shared" si="5"/>
        <v>-45643.967785999987</v>
      </c>
      <c r="AZ12" s="106">
        <f t="shared" si="5"/>
        <v>-45643.967785999987</v>
      </c>
      <c r="BA12" s="108">
        <f t="shared" si="5"/>
        <v>-45643.967785999987</v>
      </c>
      <c r="BB12" s="107">
        <f t="shared" si="5"/>
        <v>-48519.537756517981</v>
      </c>
      <c r="BC12" s="106">
        <f t="shared" si="5"/>
        <v>-48519.537756517981</v>
      </c>
      <c r="BD12" s="106">
        <f t="shared" si="5"/>
        <v>-48519.537756517981</v>
      </c>
      <c r="BE12" s="106">
        <f t="shared" si="5"/>
        <v>-48519.537756517981</v>
      </c>
      <c r="BF12" s="106">
        <f t="shared" si="5"/>
        <v>-48519.537756517981</v>
      </c>
      <c r="BG12" s="106">
        <f t="shared" si="5"/>
        <v>-48519.537756517981</v>
      </c>
      <c r="BH12" s="106">
        <f t="shared" si="5"/>
        <v>-48519.537756517981</v>
      </c>
      <c r="BI12" s="106">
        <f t="shared" si="5"/>
        <v>-48519.537756517981</v>
      </c>
      <c r="BJ12" s="106">
        <f t="shared" si="5"/>
        <v>-48519.537756517981</v>
      </c>
      <c r="BK12" s="106">
        <f t="shared" si="5"/>
        <v>-48519.537756517981</v>
      </c>
      <c r="BL12" s="106">
        <f t="shared" si="5"/>
        <v>-48519.537756517981</v>
      </c>
      <c r="BM12" s="108">
        <f t="shared" si="5"/>
        <v>-48519.537756517981</v>
      </c>
      <c r="BN12" s="107">
        <f t="shared" si="5"/>
        <v>-51576.268635178611</v>
      </c>
      <c r="BO12" s="106">
        <f t="shared" si="5"/>
        <v>-51576.268635178611</v>
      </c>
      <c r="BP12" s="106">
        <f t="shared" si="5"/>
        <v>-51576.268635178611</v>
      </c>
      <c r="BQ12" s="106">
        <f t="shared" si="5"/>
        <v>-51576.268635178611</v>
      </c>
      <c r="BR12" s="106">
        <f t="shared" si="5"/>
        <v>-51576.268635178611</v>
      </c>
      <c r="BS12" s="106">
        <f t="shared" si="5"/>
        <v>-51576.268635178611</v>
      </c>
      <c r="BT12" s="106">
        <f t="shared" si="5"/>
        <v>-51576.268635178611</v>
      </c>
      <c r="BU12" s="106">
        <f t="shared" si="5"/>
        <v>-51576.268635178611</v>
      </c>
      <c r="BV12" s="106">
        <f t="shared" si="5"/>
        <v>-51576.268635178611</v>
      </c>
      <c r="BW12" s="106">
        <f t="shared" si="5"/>
        <v>-51576.268635178611</v>
      </c>
      <c r="BX12" s="106">
        <f t="shared" si="5"/>
        <v>-51576.268635178611</v>
      </c>
      <c r="BY12" s="108">
        <f t="shared" si="5"/>
        <v>-51576.268635178611</v>
      </c>
      <c r="BZ12" s="107">
        <f t="shared" si="5"/>
        <v>-54825.573559194869</v>
      </c>
      <c r="CA12" s="106">
        <f t="shared" si="5"/>
        <v>-54825.573559194869</v>
      </c>
      <c r="CB12" s="106">
        <f t="shared" si="5"/>
        <v>-54825.573559194869</v>
      </c>
      <c r="CC12" s="106">
        <f t="shared" si="5"/>
        <v>-54825.573559194869</v>
      </c>
      <c r="CD12" s="106">
        <f t="shared" si="5"/>
        <v>-54825.573559194869</v>
      </c>
      <c r="CE12" s="106">
        <f t="shared" ref="CE12:DU14" si="6">$E12*$D12*CE$5</f>
        <v>-54825.573559194869</v>
      </c>
      <c r="CF12" s="106">
        <f t="shared" si="6"/>
        <v>-54825.573559194869</v>
      </c>
      <c r="CG12" s="106">
        <f t="shared" si="6"/>
        <v>-54825.573559194869</v>
      </c>
      <c r="CH12" s="106">
        <f t="shared" si="6"/>
        <v>-54825.573559194869</v>
      </c>
      <c r="CI12" s="106">
        <f t="shared" si="6"/>
        <v>-54825.573559194869</v>
      </c>
      <c r="CJ12" s="106">
        <f t="shared" si="6"/>
        <v>-54825.573559194869</v>
      </c>
      <c r="CK12" s="108">
        <f t="shared" si="6"/>
        <v>-54825.573559194869</v>
      </c>
      <c r="CL12" s="107">
        <f t="shared" si="6"/>
        <v>-58279.584693424142</v>
      </c>
      <c r="CM12" s="106">
        <f t="shared" si="6"/>
        <v>-58279.584693424142</v>
      </c>
      <c r="CN12" s="106">
        <f t="shared" si="6"/>
        <v>-58279.584693424142</v>
      </c>
      <c r="CO12" s="106">
        <f t="shared" si="6"/>
        <v>-58279.584693424142</v>
      </c>
      <c r="CP12" s="106">
        <f t="shared" si="6"/>
        <v>-58279.584693424142</v>
      </c>
      <c r="CQ12" s="106">
        <f t="shared" si="6"/>
        <v>-58279.584693424142</v>
      </c>
      <c r="CR12" s="106">
        <f t="shared" si="6"/>
        <v>-58279.584693424142</v>
      </c>
      <c r="CS12" s="106">
        <f t="shared" si="6"/>
        <v>-58279.584693424142</v>
      </c>
      <c r="CT12" s="106">
        <f t="shared" si="6"/>
        <v>-58279.584693424142</v>
      </c>
      <c r="CU12" s="106">
        <f t="shared" si="6"/>
        <v>-58279.584693424142</v>
      </c>
      <c r="CV12" s="106">
        <f t="shared" si="6"/>
        <v>-58279.584693424142</v>
      </c>
      <c r="CW12" s="108">
        <f t="shared" si="6"/>
        <v>-58279.584693424142</v>
      </c>
      <c r="CX12" s="107">
        <f t="shared" si="6"/>
        <v>-61951.198529109854</v>
      </c>
      <c r="CY12" s="106">
        <f t="shared" si="6"/>
        <v>-61951.198529109854</v>
      </c>
      <c r="CZ12" s="106">
        <f t="shared" si="6"/>
        <v>-61951.198529109854</v>
      </c>
      <c r="DA12" s="106">
        <f t="shared" si="6"/>
        <v>-61951.198529109854</v>
      </c>
      <c r="DB12" s="106">
        <f t="shared" si="6"/>
        <v>-61951.198529109854</v>
      </c>
      <c r="DC12" s="106">
        <f t="shared" si="6"/>
        <v>-61951.198529109854</v>
      </c>
      <c r="DD12" s="106">
        <f t="shared" si="6"/>
        <v>-61951.198529109854</v>
      </c>
      <c r="DE12" s="106">
        <f t="shared" si="6"/>
        <v>-61951.198529109854</v>
      </c>
      <c r="DF12" s="106">
        <f t="shared" si="6"/>
        <v>-61951.198529109854</v>
      </c>
      <c r="DG12" s="106">
        <f t="shared" si="6"/>
        <v>-61951.198529109854</v>
      </c>
      <c r="DH12" s="106">
        <f t="shared" si="6"/>
        <v>-61951.198529109854</v>
      </c>
      <c r="DI12" s="108">
        <f t="shared" si="6"/>
        <v>-61951.198529109854</v>
      </c>
      <c r="DJ12" s="107">
        <f t="shared" si="6"/>
        <v>-65854.124036443784</v>
      </c>
      <c r="DK12" s="106">
        <f t="shared" si="6"/>
        <v>-65854.124036443784</v>
      </c>
      <c r="DL12" s="106">
        <f t="shared" si="6"/>
        <v>-65854.124036443784</v>
      </c>
      <c r="DM12" s="106">
        <f t="shared" si="6"/>
        <v>-65854.124036443784</v>
      </c>
      <c r="DN12" s="106">
        <f t="shared" si="6"/>
        <v>-65854.124036443784</v>
      </c>
      <c r="DO12" s="106">
        <f t="shared" si="6"/>
        <v>-65854.124036443784</v>
      </c>
      <c r="DP12" s="106">
        <f t="shared" si="6"/>
        <v>-65854.124036443784</v>
      </c>
      <c r="DQ12" s="106">
        <f t="shared" si="6"/>
        <v>-65854.124036443784</v>
      </c>
      <c r="DR12" s="106">
        <f t="shared" si="6"/>
        <v>-65854.124036443784</v>
      </c>
      <c r="DS12" s="106">
        <f t="shared" si="6"/>
        <v>-65854.124036443784</v>
      </c>
      <c r="DT12" s="106">
        <f t="shared" si="6"/>
        <v>-65854.124036443784</v>
      </c>
      <c r="DU12" s="108">
        <f t="shared" si="6"/>
        <v>-65854.124036443784</v>
      </c>
    </row>
    <row r="13" spans="1:125" s="2" customFormat="1" ht="18.75" customHeight="1" x14ac:dyDescent="0.25">
      <c r="A13" s="244"/>
      <c r="B13" s="271" t="s">
        <v>205</v>
      </c>
      <c r="C13" s="271" t="s">
        <v>214</v>
      </c>
      <c r="D13" s="271">
        <v>1</v>
      </c>
      <c r="E13" s="10">
        <f t="shared" si="3"/>
        <v>-8541.6666666666661</v>
      </c>
      <c r="F13" s="738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97"/>
      <c r="R13" s="107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8">
        <v>0</v>
      </c>
      <c r="AD13" s="107"/>
      <c r="AE13" s="106"/>
      <c r="AF13" s="106"/>
      <c r="AG13" s="106"/>
      <c r="AH13" s="106"/>
      <c r="AI13" s="106">
        <f t="shared" si="4"/>
        <v>-9651.8185416666638</v>
      </c>
      <c r="AJ13" s="106">
        <f t="shared" si="4"/>
        <v>-9651.8185416666638</v>
      </c>
      <c r="AK13" s="106">
        <f t="shared" si="4"/>
        <v>-9651.8185416666638</v>
      </c>
      <c r="AL13" s="106">
        <f t="shared" si="4"/>
        <v>-9651.8185416666638</v>
      </c>
      <c r="AM13" s="106">
        <f t="shared" si="4"/>
        <v>-9651.8185416666638</v>
      </c>
      <c r="AN13" s="106">
        <f t="shared" si="4"/>
        <v>-9651.8185416666638</v>
      </c>
      <c r="AO13" s="108">
        <f t="shared" si="4"/>
        <v>-9651.8185416666638</v>
      </c>
      <c r="AP13" s="107">
        <f t="shared" si="4"/>
        <v>-10259.883109791663</v>
      </c>
      <c r="AQ13" s="106">
        <f t="shared" si="5"/>
        <v>-10259.883109791663</v>
      </c>
      <c r="AR13" s="106">
        <f t="shared" si="5"/>
        <v>-10259.883109791663</v>
      </c>
      <c r="AS13" s="106">
        <f t="shared" si="5"/>
        <v>-10259.883109791663</v>
      </c>
      <c r="AT13" s="106">
        <f t="shared" si="5"/>
        <v>-10259.883109791663</v>
      </c>
      <c r="AU13" s="106">
        <f t="shared" si="5"/>
        <v>-10259.883109791663</v>
      </c>
      <c r="AV13" s="106">
        <f t="shared" si="5"/>
        <v>-10259.883109791663</v>
      </c>
      <c r="AW13" s="106">
        <f t="shared" si="5"/>
        <v>-10259.883109791663</v>
      </c>
      <c r="AX13" s="106">
        <f t="shared" si="5"/>
        <v>-10259.883109791663</v>
      </c>
      <c r="AY13" s="106">
        <f t="shared" si="5"/>
        <v>-10259.883109791663</v>
      </c>
      <c r="AZ13" s="106">
        <f t="shared" si="5"/>
        <v>-10259.883109791663</v>
      </c>
      <c r="BA13" s="108">
        <f t="shared" si="5"/>
        <v>-10259.883109791663</v>
      </c>
      <c r="BB13" s="107">
        <f t="shared" si="5"/>
        <v>-10906.255745708537</v>
      </c>
      <c r="BC13" s="106">
        <f t="shared" si="5"/>
        <v>-10906.255745708537</v>
      </c>
      <c r="BD13" s="106">
        <f t="shared" si="5"/>
        <v>-10906.255745708537</v>
      </c>
      <c r="BE13" s="106">
        <f t="shared" si="5"/>
        <v>-10906.255745708537</v>
      </c>
      <c r="BF13" s="106">
        <f t="shared" si="5"/>
        <v>-10906.255745708537</v>
      </c>
      <c r="BG13" s="106">
        <f t="shared" si="5"/>
        <v>-10906.255745708537</v>
      </c>
      <c r="BH13" s="106">
        <f t="shared" si="5"/>
        <v>-10906.255745708537</v>
      </c>
      <c r="BI13" s="106">
        <f t="shared" si="5"/>
        <v>-10906.255745708537</v>
      </c>
      <c r="BJ13" s="106">
        <f t="shared" si="5"/>
        <v>-10906.255745708537</v>
      </c>
      <c r="BK13" s="106">
        <f t="shared" si="5"/>
        <v>-10906.255745708537</v>
      </c>
      <c r="BL13" s="106">
        <f t="shared" si="5"/>
        <v>-10906.255745708537</v>
      </c>
      <c r="BM13" s="108">
        <f t="shared" si="5"/>
        <v>-10906.255745708537</v>
      </c>
      <c r="BN13" s="107">
        <f t="shared" si="5"/>
        <v>-11593.349857688174</v>
      </c>
      <c r="BO13" s="106">
        <f t="shared" si="5"/>
        <v>-11593.349857688174</v>
      </c>
      <c r="BP13" s="106">
        <f t="shared" si="5"/>
        <v>-11593.349857688174</v>
      </c>
      <c r="BQ13" s="106">
        <f t="shared" si="5"/>
        <v>-11593.349857688174</v>
      </c>
      <c r="BR13" s="106">
        <f t="shared" si="5"/>
        <v>-11593.349857688174</v>
      </c>
      <c r="BS13" s="106">
        <f t="shared" si="5"/>
        <v>-11593.349857688174</v>
      </c>
      <c r="BT13" s="106">
        <f t="shared" si="5"/>
        <v>-11593.349857688174</v>
      </c>
      <c r="BU13" s="106">
        <f t="shared" si="5"/>
        <v>-11593.349857688174</v>
      </c>
      <c r="BV13" s="106">
        <f t="shared" si="5"/>
        <v>-11593.349857688174</v>
      </c>
      <c r="BW13" s="106">
        <f t="shared" si="5"/>
        <v>-11593.349857688174</v>
      </c>
      <c r="BX13" s="106">
        <f t="shared" si="5"/>
        <v>-11593.349857688174</v>
      </c>
      <c r="BY13" s="108">
        <f t="shared" si="5"/>
        <v>-11593.349857688174</v>
      </c>
      <c r="BZ13" s="107">
        <f t="shared" si="5"/>
        <v>-12323.73089872253</v>
      </c>
      <c r="CA13" s="106">
        <f t="shared" si="5"/>
        <v>-12323.73089872253</v>
      </c>
      <c r="CB13" s="106">
        <f t="shared" si="5"/>
        <v>-12323.73089872253</v>
      </c>
      <c r="CC13" s="106">
        <f t="shared" si="5"/>
        <v>-12323.73089872253</v>
      </c>
      <c r="CD13" s="106">
        <f t="shared" si="5"/>
        <v>-12323.73089872253</v>
      </c>
      <c r="CE13" s="106">
        <f t="shared" si="6"/>
        <v>-12323.73089872253</v>
      </c>
      <c r="CF13" s="106">
        <f t="shared" si="6"/>
        <v>-12323.73089872253</v>
      </c>
      <c r="CG13" s="106">
        <f t="shared" si="6"/>
        <v>-12323.73089872253</v>
      </c>
      <c r="CH13" s="106">
        <f t="shared" si="6"/>
        <v>-12323.73089872253</v>
      </c>
      <c r="CI13" s="106">
        <f t="shared" si="6"/>
        <v>-12323.73089872253</v>
      </c>
      <c r="CJ13" s="106">
        <f t="shared" si="6"/>
        <v>-12323.73089872253</v>
      </c>
      <c r="CK13" s="108">
        <f t="shared" si="6"/>
        <v>-12323.73089872253</v>
      </c>
      <c r="CL13" s="107">
        <f t="shared" si="6"/>
        <v>-13100.125945342048</v>
      </c>
      <c r="CM13" s="106">
        <f t="shared" si="6"/>
        <v>-13100.125945342048</v>
      </c>
      <c r="CN13" s="106">
        <f t="shared" si="6"/>
        <v>-13100.125945342048</v>
      </c>
      <c r="CO13" s="106">
        <f t="shared" si="6"/>
        <v>-13100.125945342048</v>
      </c>
      <c r="CP13" s="106">
        <f t="shared" si="6"/>
        <v>-13100.125945342048</v>
      </c>
      <c r="CQ13" s="106">
        <f t="shared" si="6"/>
        <v>-13100.125945342048</v>
      </c>
      <c r="CR13" s="106">
        <f t="shared" si="6"/>
        <v>-13100.125945342048</v>
      </c>
      <c r="CS13" s="106">
        <f t="shared" si="6"/>
        <v>-13100.125945342048</v>
      </c>
      <c r="CT13" s="106">
        <f t="shared" si="6"/>
        <v>-13100.125945342048</v>
      </c>
      <c r="CU13" s="106">
        <f t="shared" si="6"/>
        <v>-13100.125945342048</v>
      </c>
      <c r="CV13" s="106">
        <f t="shared" si="6"/>
        <v>-13100.125945342048</v>
      </c>
      <c r="CW13" s="108">
        <f t="shared" si="6"/>
        <v>-13100.125945342048</v>
      </c>
      <c r="CX13" s="107">
        <f t="shared" si="6"/>
        <v>-13925.433879898595</v>
      </c>
      <c r="CY13" s="106">
        <f t="shared" si="6"/>
        <v>-13925.433879898595</v>
      </c>
      <c r="CZ13" s="106">
        <f t="shared" si="6"/>
        <v>-13925.433879898595</v>
      </c>
      <c r="DA13" s="106">
        <f t="shared" si="6"/>
        <v>-13925.433879898595</v>
      </c>
      <c r="DB13" s="106">
        <f t="shared" si="6"/>
        <v>-13925.433879898595</v>
      </c>
      <c r="DC13" s="106">
        <f t="shared" si="6"/>
        <v>-13925.433879898595</v>
      </c>
      <c r="DD13" s="106">
        <f t="shared" si="6"/>
        <v>-13925.433879898595</v>
      </c>
      <c r="DE13" s="106">
        <f t="shared" si="6"/>
        <v>-13925.433879898595</v>
      </c>
      <c r="DF13" s="106">
        <f t="shared" si="6"/>
        <v>-13925.433879898595</v>
      </c>
      <c r="DG13" s="106">
        <f t="shared" si="6"/>
        <v>-13925.433879898595</v>
      </c>
      <c r="DH13" s="106">
        <f t="shared" si="6"/>
        <v>-13925.433879898595</v>
      </c>
      <c r="DI13" s="108">
        <f t="shared" si="6"/>
        <v>-13925.433879898595</v>
      </c>
      <c r="DJ13" s="107">
        <f t="shared" si="6"/>
        <v>-14802.736214332208</v>
      </c>
      <c r="DK13" s="106">
        <f t="shared" si="6"/>
        <v>-14802.736214332208</v>
      </c>
      <c r="DL13" s="106">
        <f t="shared" si="6"/>
        <v>-14802.736214332208</v>
      </c>
      <c r="DM13" s="106">
        <f t="shared" si="6"/>
        <v>-14802.736214332208</v>
      </c>
      <c r="DN13" s="106">
        <f t="shared" si="6"/>
        <v>-14802.736214332208</v>
      </c>
      <c r="DO13" s="106">
        <f t="shared" si="6"/>
        <v>-14802.736214332208</v>
      </c>
      <c r="DP13" s="106">
        <f t="shared" si="6"/>
        <v>-14802.736214332208</v>
      </c>
      <c r="DQ13" s="106">
        <f t="shared" si="6"/>
        <v>-14802.736214332208</v>
      </c>
      <c r="DR13" s="106">
        <f t="shared" si="6"/>
        <v>-14802.736214332208</v>
      </c>
      <c r="DS13" s="106">
        <f t="shared" si="6"/>
        <v>-14802.736214332208</v>
      </c>
      <c r="DT13" s="106">
        <f t="shared" si="6"/>
        <v>-14802.736214332208</v>
      </c>
      <c r="DU13" s="108">
        <f t="shared" si="6"/>
        <v>-14802.736214332208</v>
      </c>
    </row>
    <row r="14" spans="1:125" s="2" customFormat="1" ht="18.75" customHeight="1" x14ac:dyDescent="0.25">
      <c r="A14" s="244"/>
      <c r="B14" s="271" t="s">
        <v>377</v>
      </c>
      <c r="C14" s="271" t="s">
        <v>214</v>
      </c>
      <c r="D14" s="271">
        <v>0</v>
      </c>
      <c r="E14" s="10">
        <f t="shared" si="3"/>
        <v>-8541.6666666666661</v>
      </c>
      <c r="F14" s="738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97"/>
      <c r="R14" s="107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8">
        <v>0</v>
      </c>
      <c r="AD14" s="107"/>
      <c r="AE14" s="106"/>
      <c r="AF14" s="106"/>
      <c r="AG14" s="106"/>
      <c r="AH14" s="106"/>
      <c r="AI14" s="106">
        <f t="shared" si="4"/>
        <v>0</v>
      </c>
      <c r="AJ14" s="106">
        <f t="shared" si="4"/>
        <v>0</v>
      </c>
      <c r="AK14" s="106">
        <f t="shared" si="4"/>
        <v>0</v>
      </c>
      <c r="AL14" s="106">
        <f t="shared" si="4"/>
        <v>0</v>
      </c>
      <c r="AM14" s="106">
        <f t="shared" si="4"/>
        <v>0</v>
      </c>
      <c r="AN14" s="106">
        <f t="shared" si="4"/>
        <v>0</v>
      </c>
      <c r="AO14" s="108">
        <f t="shared" si="4"/>
        <v>0</v>
      </c>
      <c r="AP14" s="107">
        <f t="shared" si="4"/>
        <v>0</v>
      </c>
      <c r="AQ14" s="106">
        <f t="shared" si="5"/>
        <v>0</v>
      </c>
      <c r="AR14" s="106">
        <f t="shared" si="5"/>
        <v>0</v>
      </c>
      <c r="AS14" s="106">
        <f t="shared" si="5"/>
        <v>0</v>
      </c>
      <c r="AT14" s="106">
        <f t="shared" si="5"/>
        <v>0</v>
      </c>
      <c r="AU14" s="106">
        <f t="shared" si="5"/>
        <v>0</v>
      </c>
      <c r="AV14" s="106">
        <f t="shared" si="5"/>
        <v>0</v>
      </c>
      <c r="AW14" s="106">
        <f t="shared" si="5"/>
        <v>0</v>
      </c>
      <c r="AX14" s="106">
        <f t="shared" si="5"/>
        <v>0</v>
      </c>
      <c r="AY14" s="106">
        <f t="shared" si="5"/>
        <v>0</v>
      </c>
      <c r="AZ14" s="106">
        <f t="shared" si="5"/>
        <v>0</v>
      </c>
      <c r="BA14" s="108">
        <f t="shared" si="5"/>
        <v>0</v>
      </c>
      <c r="BB14" s="107">
        <f t="shared" si="5"/>
        <v>0</v>
      </c>
      <c r="BC14" s="106">
        <f t="shared" si="5"/>
        <v>0</v>
      </c>
      <c r="BD14" s="106">
        <f t="shared" si="5"/>
        <v>0</v>
      </c>
      <c r="BE14" s="106">
        <f t="shared" si="5"/>
        <v>0</v>
      </c>
      <c r="BF14" s="106">
        <f t="shared" si="5"/>
        <v>0</v>
      </c>
      <c r="BG14" s="106">
        <f t="shared" si="5"/>
        <v>0</v>
      </c>
      <c r="BH14" s="106">
        <f t="shared" si="5"/>
        <v>0</v>
      </c>
      <c r="BI14" s="106">
        <f t="shared" si="5"/>
        <v>0</v>
      </c>
      <c r="BJ14" s="106">
        <f t="shared" si="5"/>
        <v>0</v>
      </c>
      <c r="BK14" s="106">
        <f t="shared" si="5"/>
        <v>0</v>
      </c>
      <c r="BL14" s="106">
        <f t="shared" si="5"/>
        <v>0</v>
      </c>
      <c r="BM14" s="108">
        <f t="shared" si="5"/>
        <v>0</v>
      </c>
      <c r="BN14" s="107">
        <f t="shared" si="5"/>
        <v>0</v>
      </c>
      <c r="BO14" s="106">
        <f t="shared" si="5"/>
        <v>0</v>
      </c>
      <c r="BP14" s="106">
        <f t="shared" si="5"/>
        <v>0</v>
      </c>
      <c r="BQ14" s="106">
        <f t="shared" si="5"/>
        <v>0</v>
      </c>
      <c r="BR14" s="106">
        <f t="shared" si="5"/>
        <v>0</v>
      </c>
      <c r="BS14" s="106">
        <f t="shared" si="5"/>
        <v>0</v>
      </c>
      <c r="BT14" s="106">
        <f t="shared" si="5"/>
        <v>0</v>
      </c>
      <c r="BU14" s="106">
        <f t="shared" si="5"/>
        <v>0</v>
      </c>
      <c r="BV14" s="106">
        <f t="shared" si="5"/>
        <v>0</v>
      </c>
      <c r="BW14" s="106">
        <f t="shared" si="5"/>
        <v>0</v>
      </c>
      <c r="BX14" s="106">
        <f t="shared" si="5"/>
        <v>0</v>
      </c>
      <c r="BY14" s="108">
        <f t="shared" si="5"/>
        <v>0</v>
      </c>
      <c r="BZ14" s="107">
        <f t="shared" si="5"/>
        <v>0</v>
      </c>
      <c r="CA14" s="106">
        <f t="shared" si="5"/>
        <v>0</v>
      </c>
      <c r="CB14" s="106">
        <f t="shared" si="5"/>
        <v>0</v>
      </c>
      <c r="CC14" s="106">
        <f t="shared" si="5"/>
        <v>0</v>
      </c>
      <c r="CD14" s="106">
        <f t="shared" si="5"/>
        <v>0</v>
      </c>
      <c r="CE14" s="106">
        <f t="shared" si="6"/>
        <v>0</v>
      </c>
      <c r="CF14" s="106">
        <f t="shared" si="6"/>
        <v>0</v>
      </c>
      <c r="CG14" s="106">
        <f t="shared" si="6"/>
        <v>0</v>
      </c>
      <c r="CH14" s="106">
        <f t="shared" si="6"/>
        <v>0</v>
      </c>
      <c r="CI14" s="106">
        <f t="shared" si="6"/>
        <v>0</v>
      </c>
      <c r="CJ14" s="106">
        <f t="shared" si="6"/>
        <v>0</v>
      </c>
      <c r="CK14" s="108">
        <f t="shared" si="6"/>
        <v>0</v>
      </c>
      <c r="CL14" s="107">
        <f t="shared" si="6"/>
        <v>0</v>
      </c>
      <c r="CM14" s="106">
        <f t="shared" si="6"/>
        <v>0</v>
      </c>
      <c r="CN14" s="106">
        <f t="shared" si="6"/>
        <v>0</v>
      </c>
      <c r="CO14" s="106">
        <f t="shared" si="6"/>
        <v>0</v>
      </c>
      <c r="CP14" s="106">
        <f t="shared" si="6"/>
        <v>0</v>
      </c>
      <c r="CQ14" s="106">
        <f t="shared" si="6"/>
        <v>0</v>
      </c>
      <c r="CR14" s="106">
        <f t="shared" si="6"/>
        <v>0</v>
      </c>
      <c r="CS14" s="106">
        <f t="shared" si="6"/>
        <v>0</v>
      </c>
      <c r="CT14" s="106">
        <f t="shared" si="6"/>
        <v>0</v>
      </c>
      <c r="CU14" s="106">
        <f t="shared" si="6"/>
        <v>0</v>
      </c>
      <c r="CV14" s="106">
        <f t="shared" si="6"/>
        <v>0</v>
      </c>
      <c r="CW14" s="108">
        <f t="shared" si="6"/>
        <v>0</v>
      </c>
      <c r="CX14" s="107">
        <f t="shared" si="6"/>
        <v>0</v>
      </c>
      <c r="CY14" s="106">
        <f t="shared" si="6"/>
        <v>0</v>
      </c>
      <c r="CZ14" s="106">
        <f t="shared" si="6"/>
        <v>0</v>
      </c>
      <c r="DA14" s="106">
        <f t="shared" si="6"/>
        <v>0</v>
      </c>
      <c r="DB14" s="106">
        <f t="shared" si="6"/>
        <v>0</v>
      </c>
      <c r="DC14" s="106">
        <f t="shared" si="6"/>
        <v>0</v>
      </c>
      <c r="DD14" s="106">
        <f t="shared" si="6"/>
        <v>0</v>
      </c>
      <c r="DE14" s="106">
        <f t="shared" si="6"/>
        <v>0</v>
      </c>
      <c r="DF14" s="106">
        <f t="shared" si="6"/>
        <v>0</v>
      </c>
      <c r="DG14" s="106">
        <f t="shared" si="6"/>
        <v>0</v>
      </c>
      <c r="DH14" s="106">
        <f t="shared" si="6"/>
        <v>0</v>
      </c>
      <c r="DI14" s="108">
        <f t="shared" si="6"/>
        <v>0</v>
      </c>
      <c r="DJ14" s="107">
        <f t="shared" si="6"/>
        <v>0</v>
      </c>
      <c r="DK14" s="106">
        <f t="shared" si="6"/>
        <v>0</v>
      </c>
      <c r="DL14" s="106">
        <f t="shared" si="6"/>
        <v>0</v>
      </c>
      <c r="DM14" s="106">
        <f t="shared" si="6"/>
        <v>0</v>
      </c>
      <c r="DN14" s="106">
        <f t="shared" si="6"/>
        <v>0</v>
      </c>
      <c r="DO14" s="106">
        <f t="shared" si="6"/>
        <v>0</v>
      </c>
      <c r="DP14" s="106">
        <f t="shared" si="6"/>
        <v>0</v>
      </c>
      <c r="DQ14" s="106">
        <f t="shared" si="6"/>
        <v>0</v>
      </c>
      <c r="DR14" s="106">
        <f t="shared" si="6"/>
        <v>0</v>
      </c>
      <c r="DS14" s="106">
        <f t="shared" si="6"/>
        <v>0</v>
      </c>
      <c r="DT14" s="106">
        <f t="shared" si="6"/>
        <v>0</v>
      </c>
      <c r="DU14" s="108">
        <f t="shared" si="6"/>
        <v>0</v>
      </c>
    </row>
    <row r="15" spans="1:125" s="2" customFormat="1" ht="18.75" customHeight="1" x14ac:dyDescent="0.25">
      <c r="A15" s="244"/>
      <c r="B15" s="271" t="s">
        <v>206</v>
      </c>
      <c r="C15" s="271" t="s">
        <v>214</v>
      </c>
      <c r="D15" s="271">
        <v>0</v>
      </c>
      <c r="E15" s="10">
        <f t="shared" si="3"/>
        <v>-8541.6666666666661</v>
      </c>
      <c r="F15" s="738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97"/>
      <c r="R15" s="107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8">
        <v>0</v>
      </c>
      <c r="AD15" s="107"/>
      <c r="AE15" s="106"/>
      <c r="AF15" s="106"/>
      <c r="AG15" s="106"/>
      <c r="AH15" s="106"/>
      <c r="AI15" s="106">
        <f t="shared" si="4"/>
        <v>0</v>
      </c>
      <c r="AJ15" s="106">
        <f t="shared" si="4"/>
        <v>0</v>
      </c>
      <c r="AK15" s="106">
        <f t="shared" si="4"/>
        <v>0</v>
      </c>
      <c r="AL15" s="106">
        <f t="shared" si="4"/>
        <v>0</v>
      </c>
      <c r="AM15" s="106">
        <f t="shared" si="4"/>
        <v>0</v>
      </c>
      <c r="AN15" s="106">
        <f t="shared" si="4"/>
        <v>0</v>
      </c>
      <c r="AO15" s="108">
        <f t="shared" si="4"/>
        <v>0</v>
      </c>
      <c r="AP15" s="107">
        <f t="shared" si="4"/>
        <v>0</v>
      </c>
      <c r="AQ15" s="106">
        <f t="shared" si="5"/>
        <v>0</v>
      </c>
      <c r="AR15" s="106">
        <f t="shared" si="5"/>
        <v>0</v>
      </c>
      <c r="AS15" s="106">
        <f t="shared" si="5"/>
        <v>0</v>
      </c>
      <c r="AT15" s="106">
        <f t="shared" si="5"/>
        <v>0</v>
      </c>
      <c r="AU15" s="106">
        <f t="shared" si="5"/>
        <v>0</v>
      </c>
      <c r="AV15" s="106">
        <f t="shared" si="5"/>
        <v>0</v>
      </c>
      <c r="AW15" s="106">
        <f t="shared" si="5"/>
        <v>0</v>
      </c>
      <c r="AX15" s="106">
        <f t="shared" si="5"/>
        <v>0</v>
      </c>
      <c r="AY15" s="106">
        <f t="shared" si="5"/>
        <v>0</v>
      </c>
      <c r="AZ15" s="106">
        <f t="shared" si="5"/>
        <v>0</v>
      </c>
      <c r="BA15" s="108">
        <f t="shared" si="5"/>
        <v>0</v>
      </c>
      <c r="BB15" s="107">
        <f t="shared" si="5"/>
        <v>0</v>
      </c>
      <c r="BC15" s="106">
        <f t="shared" si="5"/>
        <v>0</v>
      </c>
      <c r="BD15" s="106">
        <f t="shared" si="5"/>
        <v>0</v>
      </c>
      <c r="BE15" s="106">
        <f t="shared" si="5"/>
        <v>0</v>
      </c>
      <c r="BF15" s="106">
        <f t="shared" si="5"/>
        <v>0</v>
      </c>
      <c r="BG15" s="106">
        <f t="shared" si="5"/>
        <v>0</v>
      </c>
      <c r="BH15" s="106">
        <f t="shared" si="5"/>
        <v>0</v>
      </c>
      <c r="BI15" s="106">
        <f t="shared" si="5"/>
        <v>0</v>
      </c>
      <c r="BJ15" s="106">
        <f t="shared" si="5"/>
        <v>0</v>
      </c>
      <c r="BK15" s="106">
        <f t="shared" si="5"/>
        <v>0</v>
      </c>
      <c r="BL15" s="106">
        <f t="shared" si="5"/>
        <v>0</v>
      </c>
      <c r="BM15" s="108">
        <f t="shared" si="5"/>
        <v>0</v>
      </c>
      <c r="BN15" s="107">
        <f t="shared" si="5"/>
        <v>0</v>
      </c>
      <c r="BO15" s="106">
        <f t="shared" si="5"/>
        <v>0</v>
      </c>
      <c r="BP15" s="106">
        <f t="shared" si="5"/>
        <v>0</v>
      </c>
      <c r="BQ15" s="106">
        <f t="shared" si="5"/>
        <v>0</v>
      </c>
      <c r="BR15" s="106">
        <f t="shared" si="5"/>
        <v>0</v>
      </c>
      <c r="BS15" s="106">
        <f t="shared" si="5"/>
        <v>0</v>
      </c>
      <c r="BT15" s="106">
        <f t="shared" si="5"/>
        <v>0</v>
      </c>
      <c r="BU15" s="106">
        <f t="shared" si="5"/>
        <v>0</v>
      </c>
      <c r="BV15" s="106">
        <f t="shared" si="5"/>
        <v>0</v>
      </c>
      <c r="BW15" s="106">
        <f t="shared" si="5"/>
        <v>0</v>
      </c>
      <c r="BX15" s="106">
        <f t="shared" si="5"/>
        <v>0</v>
      </c>
      <c r="BY15" s="108">
        <f t="shared" si="5"/>
        <v>0</v>
      </c>
      <c r="BZ15" s="107">
        <f t="shared" si="5"/>
        <v>0</v>
      </c>
      <c r="CA15" s="106">
        <f t="shared" si="5"/>
        <v>0</v>
      </c>
      <c r="CB15" s="106">
        <f t="shared" si="5"/>
        <v>0</v>
      </c>
      <c r="CC15" s="106">
        <f t="shared" si="5"/>
        <v>0</v>
      </c>
      <c r="CD15" s="106">
        <f t="shared" ref="CD15:DU16" si="7">$E15*$D15*CD$5</f>
        <v>0</v>
      </c>
      <c r="CE15" s="106">
        <f t="shared" si="7"/>
        <v>0</v>
      </c>
      <c r="CF15" s="106">
        <f t="shared" si="7"/>
        <v>0</v>
      </c>
      <c r="CG15" s="106">
        <f t="shared" si="7"/>
        <v>0</v>
      </c>
      <c r="CH15" s="106">
        <f t="shared" si="7"/>
        <v>0</v>
      </c>
      <c r="CI15" s="106">
        <f t="shared" si="7"/>
        <v>0</v>
      </c>
      <c r="CJ15" s="106">
        <f t="shared" si="7"/>
        <v>0</v>
      </c>
      <c r="CK15" s="108">
        <f t="shared" si="7"/>
        <v>0</v>
      </c>
      <c r="CL15" s="107">
        <f t="shared" si="7"/>
        <v>0</v>
      </c>
      <c r="CM15" s="106">
        <f t="shared" si="7"/>
        <v>0</v>
      </c>
      <c r="CN15" s="106">
        <f t="shared" si="7"/>
        <v>0</v>
      </c>
      <c r="CO15" s="106">
        <f t="shared" si="7"/>
        <v>0</v>
      </c>
      <c r="CP15" s="106">
        <f t="shared" si="7"/>
        <v>0</v>
      </c>
      <c r="CQ15" s="106">
        <f t="shared" si="7"/>
        <v>0</v>
      </c>
      <c r="CR15" s="106">
        <f t="shared" si="7"/>
        <v>0</v>
      </c>
      <c r="CS15" s="106">
        <f t="shared" si="7"/>
        <v>0</v>
      </c>
      <c r="CT15" s="106">
        <f t="shared" si="7"/>
        <v>0</v>
      </c>
      <c r="CU15" s="106">
        <f t="shared" si="7"/>
        <v>0</v>
      </c>
      <c r="CV15" s="106">
        <f t="shared" si="7"/>
        <v>0</v>
      </c>
      <c r="CW15" s="108">
        <f t="shared" si="7"/>
        <v>0</v>
      </c>
      <c r="CX15" s="107">
        <f t="shared" si="7"/>
        <v>0</v>
      </c>
      <c r="CY15" s="106">
        <f t="shared" si="7"/>
        <v>0</v>
      </c>
      <c r="CZ15" s="106">
        <f t="shared" si="7"/>
        <v>0</v>
      </c>
      <c r="DA15" s="106">
        <f t="shared" si="7"/>
        <v>0</v>
      </c>
      <c r="DB15" s="106">
        <f t="shared" si="7"/>
        <v>0</v>
      </c>
      <c r="DC15" s="106">
        <f t="shared" si="7"/>
        <v>0</v>
      </c>
      <c r="DD15" s="106">
        <f t="shared" si="7"/>
        <v>0</v>
      </c>
      <c r="DE15" s="106">
        <f t="shared" si="7"/>
        <v>0</v>
      </c>
      <c r="DF15" s="106">
        <f t="shared" si="7"/>
        <v>0</v>
      </c>
      <c r="DG15" s="106">
        <f t="shared" si="7"/>
        <v>0</v>
      </c>
      <c r="DH15" s="106">
        <f t="shared" si="7"/>
        <v>0</v>
      </c>
      <c r="DI15" s="108">
        <f t="shared" si="7"/>
        <v>0</v>
      </c>
      <c r="DJ15" s="107">
        <f t="shared" si="7"/>
        <v>0</v>
      </c>
      <c r="DK15" s="106">
        <f t="shared" si="7"/>
        <v>0</v>
      </c>
      <c r="DL15" s="106">
        <f t="shared" si="7"/>
        <v>0</v>
      </c>
      <c r="DM15" s="106">
        <f t="shared" si="7"/>
        <v>0</v>
      </c>
      <c r="DN15" s="106">
        <f t="shared" si="7"/>
        <v>0</v>
      </c>
      <c r="DO15" s="106">
        <f t="shared" si="7"/>
        <v>0</v>
      </c>
      <c r="DP15" s="106">
        <f t="shared" si="7"/>
        <v>0</v>
      </c>
      <c r="DQ15" s="106">
        <f t="shared" si="7"/>
        <v>0</v>
      </c>
      <c r="DR15" s="106">
        <f t="shared" si="7"/>
        <v>0</v>
      </c>
      <c r="DS15" s="106">
        <f t="shared" si="7"/>
        <v>0</v>
      </c>
      <c r="DT15" s="106">
        <f t="shared" si="7"/>
        <v>0</v>
      </c>
      <c r="DU15" s="108">
        <f t="shared" si="7"/>
        <v>0</v>
      </c>
    </row>
    <row r="16" spans="1:125" s="2" customFormat="1" ht="18.75" customHeight="1" x14ac:dyDescent="0.3">
      <c r="A16" s="243"/>
      <c r="B16" s="271" t="s">
        <v>208</v>
      </c>
      <c r="C16" s="271" t="s">
        <v>213</v>
      </c>
      <c r="D16" s="271">
        <f>_xlfn.CEILING.MATH(D17/7,1)</f>
        <v>1</v>
      </c>
      <c r="E16" s="10">
        <f t="shared" si="3"/>
        <v>-6375</v>
      </c>
      <c r="F16" s="738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97"/>
      <c r="R16" s="107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8">
        <v>0</v>
      </c>
      <c r="AD16" s="107"/>
      <c r="AE16" s="106"/>
      <c r="AF16" s="106"/>
      <c r="AG16" s="106"/>
      <c r="AH16" s="106"/>
      <c r="AI16" s="106">
        <f t="shared" si="4"/>
        <v>-7203.5523749999984</v>
      </c>
      <c r="AJ16" s="106">
        <f t="shared" si="4"/>
        <v>-7203.5523749999984</v>
      </c>
      <c r="AK16" s="106">
        <f t="shared" si="4"/>
        <v>-7203.5523749999984</v>
      </c>
      <c r="AL16" s="106">
        <f t="shared" si="4"/>
        <v>-7203.5523749999984</v>
      </c>
      <c r="AM16" s="106">
        <f t="shared" si="4"/>
        <v>-7203.5523749999984</v>
      </c>
      <c r="AN16" s="106">
        <f t="shared" si="4"/>
        <v>-7203.5523749999984</v>
      </c>
      <c r="AO16" s="108">
        <f t="shared" si="4"/>
        <v>-7203.5523749999984</v>
      </c>
      <c r="AP16" s="107">
        <f t="shared" si="4"/>
        <v>-7657.3761746249984</v>
      </c>
      <c r="AQ16" s="106">
        <f t="shared" ref="AQ16:CD16" si="8">$E16*$D16*AQ$5</f>
        <v>-7657.3761746249984</v>
      </c>
      <c r="AR16" s="106">
        <f t="shared" si="8"/>
        <v>-7657.3761746249984</v>
      </c>
      <c r="AS16" s="106">
        <f t="shared" si="8"/>
        <v>-7657.3761746249984</v>
      </c>
      <c r="AT16" s="106">
        <f t="shared" si="8"/>
        <v>-7657.3761746249984</v>
      </c>
      <c r="AU16" s="106">
        <f t="shared" si="8"/>
        <v>-7657.3761746249984</v>
      </c>
      <c r="AV16" s="106">
        <f t="shared" si="8"/>
        <v>-7657.3761746249984</v>
      </c>
      <c r="AW16" s="106">
        <f t="shared" si="8"/>
        <v>-7657.3761746249984</v>
      </c>
      <c r="AX16" s="106">
        <f t="shared" si="8"/>
        <v>-7657.3761746249984</v>
      </c>
      <c r="AY16" s="106">
        <f t="shared" si="8"/>
        <v>-7657.3761746249984</v>
      </c>
      <c r="AZ16" s="106">
        <f t="shared" si="8"/>
        <v>-7657.3761746249984</v>
      </c>
      <c r="BA16" s="108">
        <f t="shared" si="8"/>
        <v>-7657.3761746249984</v>
      </c>
      <c r="BB16" s="107">
        <f t="shared" si="8"/>
        <v>-8139.7908736263726</v>
      </c>
      <c r="BC16" s="106">
        <f t="shared" si="8"/>
        <v>-8139.7908736263726</v>
      </c>
      <c r="BD16" s="106">
        <f t="shared" si="8"/>
        <v>-8139.7908736263726</v>
      </c>
      <c r="BE16" s="106">
        <f t="shared" si="8"/>
        <v>-8139.7908736263726</v>
      </c>
      <c r="BF16" s="106">
        <f t="shared" si="8"/>
        <v>-8139.7908736263726</v>
      </c>
      <c r="BG16" s="106">
        <f t="shared" si="8"/>
        <v>-8139.7908736263726</v>
      </c>
      <c r="BH16" s="106">
        <f t="shared" si="8"/>
        <v>-8139.7908736263726</v>
      </c>
      <c r="BI16" s="106">
        <f t="shared" si="8"/>
        <v>-8139.7908736263726</v>
      </c>
      <c r="BJ16" s="106">
        <f t="shared" si="8"/>
        <v>-8139.7908736263726</v>
      </c>
      <c r="BK16" s="106">
        <f t="shared" si="8"/>
        <v>-8139.7908736263726</v>
      </c>
      <c r="BL16" s="106">
        <f t="shared" si="8"/>
        <v>-8139.7908736263726</v>
      </c>
      <c r="BM16" s="108">
        <f t="shared" si="8"/>
        <v>-8139.7908736263726</v>
      </c>
      <c r="BN16" s="107">
        <f t="shared" si="8"/>
        <v>-8652.5976986648329</v>
      </c>
      <c r="BO16" s="106">
        <f t="shared" si="8"/>
        <v>-8652.5976986648329</v>
      </c>
      <c r="BP16" s="106">
        <f t="shared" si="8"/>
        <v>-8652.5976986648329</v>
      </c>
      <c r="BQ16" s="106">
        <f t="shared" si="8"/>
        <v>-8652.5976986648329</v>
      </c>
      <c r="BR16" s="106">
        <f t="shared" si="8"/>
        <v>-8652.5976986648329</v>
      </c>
      <c r="BS16" s="106">
        <f t="shared" si="8"/>
        <v>-8652.5976986648329</v>
      </c>
      <c r="BT16" s="106">
        <f t="shared" si="8"/>
        <v>-8652.5976986648329</v>
      </c>
      <c r="BU16" s="106">
        <f t="shared" si="8"/>
        <v>-8652.5976986648329</v>
      </c>
      <c r="BV16" s="106">
        <f t="shared" si="8"/>
        <v>-8652.5976986648329</v>
      </c>
      <c r="BW16" s="106">
        <f t="shared" si="8"/>
        <v>-8652.5976986648329</v>
      </c>
      <c r="BX16" s="106">
        <f t="shared" si="8"/>
        <v>-8652.5976986648329</v>
      </c>
      <c r="BY16" s="108">
        <f t="shared" si="8"/>
        <v>-8652.5976986648329</v>
      </c>
      <c r="BZ16" s="107">
        <f t="shared" si="8"/>
        <v>-9197.7113536807174</v>
      </c>
      <c r="CA16" s="106">
        <f t="shared" si="8"/>
        <v>-9197.7113536807174</v>
      </c>
      <c r="CB16" s="106">
        <f t="shared" si="8"/>
        <v>-9197.7113536807174</v>
      </c>
      <c r="CC16" s="106">
        <f t="shared" si="8"/>
        <v>-9197.7113536807174</v>
      </c>
      <c r="CD16" s="106">
        <f t="shared" si="8"/>
        <v>-9197.7113536807174</v>
      </c>
      <c r="CE16" s="106">
        <f t="shared" si="7"/>
        <v>-9197.7113536807174</v>
      </c>
      <c r="CF16" s="106">
        <f t="shared" si="7"/>
        <v>-9197.7113536807174</v>
      </c>
      <c r="CG16" s="106">
        <f t="shared" si="7"/>
        <v>-9197.7113536807174</v>
      </c>
      <c r="CH16" s="106">
        <f t="shared" si="7"/>
        <v>-9197.7113536807174</v>
      </c>
      <c r="CI16" s="106">
        <f t="shared" si="7"/>
        <v>-9197.7113536807174</v>
      </c>
      <c r="CJ16" s="106">
        <f t="shared" si="7"/>
        <v>-9197.7113536807174</v>
      </c>
      <c r="CK16" s="108">
        <f t="shared" si="7"/>
        <v>-9197.7113536807174</v>
      </c>
      <c r="CL16" s="107">
        <f t="shared" si="7"/>
        <v>-9777.1671689626019</v>
      </c>
      <c r="CM16" s="106">
        <f t="shared" si="7"/>
        <v>-9777.1671689626019</v>
      </c>
      <c r="CN16" s="106">
        <f t="shared" si="7"/>
        <v>-9777.1671689626019</v>
      </c>
      <c r="CO16" s="106">
        <f t="shared" si="7"/>
        <v>-9777.1671689626019</v>
      </c>
      <c r="CP16" s="106">
        <f t="shared" si="7"/>
        <v>-9777.1671689626019</v>
      </c>
      <c r="CQ16" s="106">
        <f t="shared" si="7"/>
        <v>-9777.1671689626019</v>
      </c>
      <c r="CR16" s="106">
        <f t="shared" si="7"/>
        <v>-9777.1671689626019</v>
      </c>
      <c r="CS16" s="106">
        <f t="shared" si="7"/>
        <v>-9777.1671689626019</v>
      </c>
      <c r="CT16" s="106">
        <f t="shared" si="7"/>
        <v>-9777.1671689626019</v>
      </c>
      <c r="CU16" s="106">
        <f t="shared" si="7"/>
        <v>-9777.1671689626019</v>
      </c>
      <c r="CV16" s="106">
        <f t="shared" si="7"/>
        <v>-9777.1671689626019</v>
      </c>
      <c r="CW16" s="108">
        <f t="shared" si="7"/>
        <v>-9777.1671689626019</v>
      </c>
      <c r="CX16" s="107">
        <f t="shared" si="7"/>
        <v>-10393.128700607245</v>
      </c>
      <c r="CY16" s="106">
        <f t="shared" si="7"/>
        <v>-10393.128700607245</v>
      </c>
      <c r="CZ16" s="106">
        <f t="shared" si="7"/>
        <v>-10393.128700607245</v>
      </c>
      <c r="DA16" s="106">
        <f t="shared" si="7"/>
        <v>-10393.128700607245</v>
      </c>
      <c r="DB16" s="106">
        <f t="shared" si="7"/>
        <v>-10393.128700607245</v>
      </c>
      <c r="DC16" s="106">
        <f t="shared" si="7"/>
        <v>-10393.128700607245</v>
      </c>
      <c r="DD16" s="106">
        <f t="shared" si="7"/>
        <v>-10393.128700607245</v>
      </c>
      <c r="DE16" s="106">
        <f t="shared" si="7"/>
        <v>-10393.128700607245</v>
      </c>
      <c r="DF16" s="106">
        <f t="shared" si="7"/>
        <v>-10393.128700607245</v>
      </c>
      <c r="DG16" s="106">
        <f t="shared" si="7"/>
        <v>-10393.128700607245</v>
      </c>
      <c r="DH16" s="106">
        <f t="shared" si="7"/>
        <v>-10393.128700607245</v>
      </c>
      <c r="DI16" s="108">
        <f t="shared" si="7"/>
        <v>-10393.128700607245</v>
      </c>
      <c r="DJ16" s="107">
        <f t="shared" si="7"/>
        <v>-11047.895808745501</v>
      </c>
      <c r="DK16" s="106">
        <f t="shared" si="7"/>
        <v>-11047.895808745501</v>
      </c>
      <c r="DL16" s="106">
        <f t="shared" si="7"/>
        <v>-11047.895808745501</v>
      </c>
      <c r="DM16" s="106">
        <f t="shared" si="7"/>
        <v>-11047.895808745501</v>
      </c>
      <c r="DN16" s="106">
        <f t="shared" si="7"/>
        <v>-11047.895808745501</v>
      </c>
      <c r="DO16" s="106">
        <f t="shared" si="7"/>
        <v>-11047.895808745501</v>
      </c>
      <c r="DP16" s="106">
        <f t="shared" si="7"/>
        <v>-11047.895808745501</v>
      </c>
      <c r="DQ16" s="106">
        <f t="shared" si="7"/>
        <v>-11047.895808745501</v>
      </c>
      <c r="DR16" s="106">
        <f t="shared" si="7"/>
        <v>-11047.895808745501</v>
      </c>
      <c r="DS16" s="106">
        <f t="shared" si="7"/>
        <v>-11047.895808745501</v>
      </c>
      <c r="DT16" s="106">
        <f t="shared" si="7"/>
        <v>-11047.895808745501</v>
      </c>
      <c r="DU16" s="108">
        <f t="shared" si="7"/>
        <v>-11047.895808745501</v>
      </c>
    </row>
    <row r="17" spans="1:125" s="2" customFormat="1" ht="18.75" customHeight="1" x14ac:dyDescent="0.25">
      <c r="A17" s="244"/>
      <c r="B17" s="271" t="s">
        <v>685</v>
      </c>
      <c r="C17" s="271" t="s">
        <v>212</v>
      </c>
      <c r="D17" s="271">
        <f>_xlfn.CEILING.MATH(Production!CO7/22/8/60/2,1)</f>
        <v>3</v>
      </c>
      <c r="E17" s="10">
        <f t="shared" si="3"/>
        <v>-4750</v>
      </c>
      <c r="F17" s="738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97"/>
      <c r="R17" s="107"/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8">
        <v>0</v>
      </c>
      <c r="AD17" s="107"/>
      <c r="AE17" s="106"/>
      <c r="AF17" s="106"/>
      <c r="AG17" s="106"/>
      <c r="AH17" s="106"/>
      <c r="AI17" s="106">
        <f>$D$17*$E$17*AI5</f>
        <v>-16102.058249999996</v>
      </c>
      <c r="AJ17" s="106">
        <f t="shared" ref="AJ17:CU17" si="9">$D$17*$E$17*AJ5</f>
        <v>-16102.058249999996</v>
      </c>
      <c r="AK17" s="106">
        <f t="shared" si="9"/>
        <v>-16102.058249999996</v>
      </c>
      <c r="AL17" s="106">
        <f t="shared" si="9"/>
        <v>-16102.058249999996</v>
      </c>
      <c r="AM17" s="106">
        <f t="shared" si="9"/>
        <v>-16102.058249999996</v>
      </c>
      <c r="AN17" s="106">
        <f t="shared" si="9"/>
        <v>-16102.058249999996</v>
      </c>
      <c r="AO17" s="106">
        <f t="shared" si="9"/>
        <v>-16102.058249999996</v>
      </c>
      <c r="AP17" s="106">
        <f t="shared" si="9"/>
        <v>-17116.487919749994</v>
      </c>
      <c r="AQ17" s="106">
        <f t="shared" si="9"/>
        <v>-17116.487919749994</v>
      </c>
      <c r="AR17" s="106">
        <f t="shared" si="9"/>
        <v>-17116.487919749994</v>
      </c>
      <c r="AS17" s="106">
        <f t="shared" si="9"/>
        <v>-17116.487919749994</v>
      </c>
      <c r="AT17" s="106">
        <f t="shared" si="9"/>
        <v>-17116.487919749994</v>
      </c>
      <c r="AU17" s="106">
        <f t="shared" si="9"/>
        <v>-17116.487919749994</v>
      </c>
      <c r="AV17" s="106">
        <f t="shared" si="9"/>
        <v>-17116.487919749994</v>
      </c>
      <c r="AW17" s="106">
        <f t="shared" si="9"/>
        <v>-17116.487919749994</v>
      </c>
      <c r="AX17" s="106">
        <f t="shared" si="9"/>
        <v>-17116.487919749994</v>
      </c>
      <c r="AY17" s="106">
        <f t="shared" si="9"/>
        <v>-17116.487919749994</v>
      </c>
      <c r="AZ17" s="106">
        <f t="shared" si="9"/>
        <v>-17116.487919749994</v>
      </c>
      <c r="BA17" s="106">
        <f t="shared" si="9"/>
        <v>-17116.487919749994</v>
      </c>
      <c r="BB17" s="106">
        <f t="shared" si="9"/>
        <v>-18194.826658694245</v>
      </c>
      <c r="BC17" s="106">
        <f t="shared" si="9"/>
        <v>-18194.826658694245</v>
      </c>
      <c r="BD17" s="106">
        <f t="shared" si="9"/>
        <v>-18194.826658694245</v>
      </c>
      <c r="BE17" s="106">
        <f t="shared" si="9"/>
        <v>-18194.826658694245</v>
      </c>
      <c r="BF17" s="106">
        <f t="shared" si="9"/>
        <v>-18194.826658694245</v>
      </c>
      <c r="BG17" s="106">
        <f t="shared" si="9"/>
        <v>-18194.826658694245</v>
      </c>
      <c r="BH17" s="106">
        <f t="shared" si="9"/>
        <v>-18194.826658694245</v>
      </c>
      <c r="BI17" s="106">
        <f t="shared" si="9"/>
        <v>-18194.826658694245</v>
      </c>
      <c r="BJ17" s="106">
        <f t="shared" si="9"/>
        <v>-18194.826658694245</v>
      </c>
      <c r="BK17" s="106">
        <f t="shared" si="9"/>
        <v>-18194.826658694245</v>
      </c>
      <c r="BL17" s="106">
        <f t="shared" si="9"/>
        <v>-18194.826658694245</v>
      </c>
      <c r="BM17" s="106">
        <f t="shared" si="9"/>
        <v>-18194.826658694245</v>
      </c>
      <c r="BN17" s="106">
        <f t="shared" si="9"/>
        <v>-19341.100738191981</v>
      </c>
      <c r="BO17" s="106">
        <f t="shared" si="9"/>
        <v>-19341.100738191981</v>
      </c>
      <c r="BP17" s="106">
        <f t="shared" si="9"/>
        <v>-19341.100738191981</v>
      </c>
      <c r="BQ17" s="106">
        <f t="shared" si="9"/>
        <v>-19341.100738191981</v>
      </c>
      <c r="BR17" s="106">
        <f t="shared" si="9"/>
        <v>-19341.100738191981</v>
      </c>
      <c r="BS17" s="106">
        <f t="shared" si="9"/>
        <v>-19341.100738191981</v>
      </c>
      <c r="BT17" s="106">
        <f t="shared" si="9"/>
        <v>-19341.100738191981</v>
      </c>
      <c r="BU17" s="106">
        <f t="shared" si="9"/>
        <v>-19341.100738191981</v>
      </c>
      <c r="BV17" s="106">
        <f t="shared" si="9"/>
        <v>-19341.100738191981</v>
      </c>
      <c r="BW17" s="106">
        <f t="shared" si="9"/>
        <v>-19341.100738191981</v>
      </c>
      <c r="BX17" s="106">
        <f t="shared" si="9"/>
        <v>-19341.100738191981</v>
      </c>
      <c r="BY17" s="106">
        <f t="shared" si="9"/>
        <v>-19341.100738191981</v>
      </c>
      <c r="BZ17" s="106">
        <f t="shared" si="9"/>
        <v>-20559.590084698073</v>
      </c>
      <c r="CA17" s="106">
        <f t="shared" si="9"/>
        <v>-20559.590084698073</v>
      </c>
      <c r="CB17" s="106">
        <f t="shared" si="9"/>
        <v>-20559.590084698073</v>
      </c>
      <c r="CC17" s="106">
        <f t="shared" si="9"/>
        <v>-20559.590084698073</v>
      </c>
      <c r="CD17" s="106">
        <f t="shared" si="9"/>
        <v>-20559.590084698073</v>
      </c>
      <c r="CE17" s="106">
        <f t="shared" si="9"/>
        <v>-20559.590084698073</v>
      </c>
      <c r="CF17" s="106">
        <f t="shared" si="9"/>
        <v>-20559.590084698073</v>
      </c>
      <c r="CG17" s="106">
        <f t="shared" si="9"/>
        <v>-20559.590084698073</v>
      </c>
      <c r="CH17" s="106">
        <f t="shared" si="9"/>
        <v>-20559.590084698073</v>
      </c>
      <c r="CI17" s="106">
        <f t="shared" si="9"/>
        <v>-20559.590084698073</v>
      </c>
      <c r="CJ17" s="106">
        <f t="shared" si="9"/>
        <v>-20559.590084698073</v>
      </c>
      <c r="CK17" s="106">
        <f t="shared" si="9"/>
        <v>-20559.590084698073</v>
      </c>
      <c r="CL17" s="106">
        <f t="shared" si="9"/>
        <v>-21854.844260034053</v>
      </c>
      <c r="CM17" s="106">
        <f t="shared" si="9"/>
        <v>-21854.844260034053</v>
      </c>
      <c r="CN17" s="106">
        <f t="shared" si="9"/>
        <v>-21854.844260034053</v>
      </c>
      <c r="CO17" s="106">
        <f t="shared" si="9"/>
        <v>-21854.844260034053</v>
      </c>
      <c r="CP17" s="106">
        <f t="shared" si="9"/>
        <v>-21854.844260034053</v>
      </c>
      <c r="CQ17" s="106">
        <f t="shared" si="9"/>
        <v>-21854.844260034053</v>
      </c>
      <c r="CR17" s="106">
        <f t="shared" si="9"/>
        <v>-21854.844260034053</v>
      </c>
      <c r="CS17" s="106">
        <f t="shared" si="9"/>
        <v>-21854.844260034053</v>
      </c>
      <c r="CT17" s="106">
        <f t="shared" si="9"/>
        <v>-21854.844260034053</v>
      </c>
      <c r="CU17" s="106">
        <f t="shared" si="9"/>
        <v>-21854.844260034053</v>
      </c>
      <c r="CV17" s="106">
        <f t="shared" ref="CV17:DU17" si="10">$D$17*$E$17*CV5</f>
        <v>-21854.844260034053</v>
      </c>
      <c r="CW17" s="106">
        <f t="shared" si="10"/>
        <v>-21854.844260034053</v>
      </c>
      <c r="CX17" s="106">
        <f t="shared" si="10"/>
        <v>-23231.699448416195</v>
      </c>
      <c r="CY17" s="106">
        <f t="shared" si="10"/>
        <v>-23231.699448416195</v>
      </c>
      <c r="CZ17" s="106">
        <f t="shared" si="10"/>
        <v>-23231.699448416195</v>
      </c>
      <c r="DA17" s="106">
        <f t="shared" si="10"/>
        <v>-23231.699448416195</v>
      </c>
      <c r="DB17" s="106">
        <f t="shared" si="10"/>
        <v>-23231.699448416195</v>
      </c>
      <c r="DC17" s="106">
        <f t="shared" si="10"/>
        <v>-23231.699448416195</v>
      </c>
      <c r="DD17" s="106">
        <f t="shared" si="10"/>
        <v>-23231.699448416195</v>
      </c>
      <c r="DE17" s="106">
        <f t="shared" si="10"/>
        <v>-23231.699448416195</v>
      </c>
      <c r="DF17" s="106">
        <f t="shared" si="10"/>
        <v>-23231.699448416195</v>
      </c>
      <c r="DG17" s="106">
        <f t="shared" si="10"/>
        <v>-23231.699448416195</v>
      </c>
      <c r="DH17" s="106">
        <f t="shared" si="10"/>
        <v>-23231.699448416195</v>
      </c>
      <c r="DI17" s="106">
        <f t="shared" si="10"/>
        <v>-23231.699448416195</v>
      </c>
      <c r="DJ17" s="106">
        <f t="shared" si="10"/>
        <v>-24695.296513666417</v>
      </c>
      <c r="DK17" s="106">
        <f t="shared" si="10"/>
        <v>-24695.296513666417</v>
      </c>
      <c r="DL17" s="106">
        <f t="shared" si="10"/>
        <v>-24695.296513666417</v>
      </c>
      <c r="DM17" s="106">
        <f t="shared" si="10"/>
        <v>-24695.296513666417</v>
      </c>
      <c r="DN17" s="106">
        <f t="shared" si="10"/>
        <v>-24695.296513666417</v>
      </c>
      <c r="DO17" s="106">
        <f t="shared" si="10"/>
        <v>-24695.296513666417</v>
      </c>
      <c r="DP17" s="106">
        <f t="shared" si="10"/>
        <v>-24695.296513666417</v>
      </c>
      <c r="DQ17" s="106">
        <f t="shared" si="10"/>
        <v>-24695.296513666417</v>
      </c>
      <c r="DR17" s="106">
        <f t="shared" si="10"/>
        <v>-24695.296513666417</v>
      </c>
      <c r="DS17" s="106">
        <f t="shared" si="10"/>
        <v>-24695.296513666417</v>
      </c>
      <c r="DT17" s="106">
        <f t="shared" si="10"/>
        <v>-24695.296513666417</v>
      </c>
      <c r="DU17" s="106">
        <f t="shared" si="10"/>
        <v>-24695.296513666417</v>
      </c>
    </row>
    <row r="18" spans="1:125" s="2" customFormat="1" ht="18.75" customHeight="1" x14ac:dyDescent="0.25">
      <c r="A18" s="248"/>
      <c r="B18" s="860" t="s">
        <v>686</v>
      </c>
      <c r="C18" s="860" t="s">
        <v>211</v>
      </c>
      <c r="D18" s="860">
        <f>D17</f>
        <v>3</v>
      </c>
      <c r="E18" s="10">
        <f t="shared" si="3"/>
        <v>-4208.333333333333</v>
      </c>
      <c r="F18" s="73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854"/>
      <c r="R18" s="853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595"/>
      <c r="AD18" s="126"/>
      <c r="AE18" s="126"/>
      <c r="AF18" s="126"/>
      <c r="AG18" s="126"/>
      <c r="AH18" s="126"/>
      <c r="AI18" s="126">
        <f>$E18*$D18*AI$5</f>
        <v>-14265.858624999997</v>
      </c>
      <c r="AJ18" s="126">
        <f t="shared" ref="AJ18:CU18" si="11">$E18*$D18*AJ$5</f>
        <v>-14265.858624999997</v>
      </c>
      <c r="AK18" s="126">
        <f t="shared" si="11"/>
        <v>-14265.858624999997</v>
      </c>
      <c r="AL18" s="126">
        <f t="shared" si="11"/>
        <v>-14265.858624999997</v>
      </c>
      <c r="AM18" s="126">
        <f t="shared" si="11"/>
        <v>-14265.858624999997</v>
      </c>
      <c r="AN18" s="126">
        <f t="shared" si="11"/>
        <v>-14265.858624999997</v>
      </c>
      <c r="AO18" s="126">
        <f t="shared" si="11"/>
        <v>-14265.858624999997</v>
      </c>
      <c r="AP18" s="126">
        <f t="shared" si="11"/>
        <v>-15164.607718374997</v>
      </c>
      <c r="AQ18" s="126">
        <f t="shared" si="11"/>
        <v>-15164.607718374997</v>
      </c>
      <c r="AR18" s="126">
        <f t="shared" si="11"/>
        <v>-15164.607718374997</v>
      </c>
      <c r="AS18" s="126">
        <f t="shared" si="11"/>
        <v>-15164.607718374997</v>
      </c>
      <c r="AT18" s="126">
        <f t="shared" si="11"/>
        <v>-15164.607718374997</v>
      </c>
      <c r="AU18" s="126">
        <f t="shared" si="11"/>
        <v>-15164.607718374997</v>
      </c>
      <c r="AV18" s="126">
        <f t="shared" si="11"/>
        <v>-15164.607718374997</v>
      </c>
      <c r="AW18" s="126">
        <f t="shared" si="11"/>
        <v>-15164.607718374997</v>
      </c>
      <c r="AX18" s="126">
        <f t="shared" si="11"/>
        <v>-15164.607718374997</v>
      </c>
      <c r="AY18" s="126">
        <f t="shared" si="11"/>
        <v>-15164.607718374997</v>
      </c>
      <c r="AZ18" s="126">
        <f t="shared" si="11"/>
        <v>-15164.607718374997</v>
      </c>
      <c r="BA18" s="126">
        <f t="shared" si="11"/>
        <v>-15164.607718374997</v>
      </c>
      <c r="BB18" s="126">
        <f t="shared" si="11"/>
        <v>-16119.97800463262</v>
      </c>
      <c r="BC18" s="126">
        <f t="shared" si="11"/>
        <v>-16119.97800463262</v>
      </c>
      <c r="BD18" s="126">
        <f t="shared" si="11"/>
        <v>-16119.97800463262</v>
      </c>
      <c r="BE18" s="126">
        <f t="shared" si="11"/>
        <v>-16119.97800463262</v>
      </c>
      <c r="BF18" s="126">
        <f t="shared" si="11"/>
        <v>-16119.97800463262</v>
      </c>
      <c r="BG18" s="126">
        <f t="shared" si="11"/>
        <v>-16119.97800463262</v>
      </c>
      <c r="BH18" s="126">
        <f t="shared" si="11"/>
        <v>-16119.97800463262</v>
      </c>
      <c r="BI18" s="126">
        <f t="shared" si="11"/>
        <v>-16119.97800463262</v>
      </c>
      <c r="BJ18" s="126">
        <f t="shared" si="11"/>
        <v>-16119.97800463262</v>
      </c>
      <c r="BK18" s="126">
        <f t="shared" si="11"/>
        <v>-16119.97800463262</v>
      </c>
      <c r="BL18" s="126">
        <f t="shared" si="11"/>
        <v>-16119.97800463262</v>
      </c>
      <c r="BM18" s="126">
        <f t="shared" si="11"/>
        <v>-16119.97800463262</v>
      </c>
      <c r="BN18" s="126">
        <f t="shared" si="11"/>
        <v>-17135.536618924474</v>
      </c>
      <c r="BO18" s="126">
        <f t="shared" si="11"/>
        <v>-17135.536618924474</v>
      </c>
      <c r="BP18" s="126">
        <f t="shared" si="11"/>
        <v>-17135.536618924474</v>
      </c>
      <c r="BQ18" s="126">
        <f t="shared" si="11"/>
        <v>-17135.536618924474</v>
      </c>
      <c r="BR18" s="126">
        <f t="shared" si="11"/>
        <v>-17135.536618924474</v>
      </c>
      <c r="BS18" s="126">
        <f t="shared" si="11"/>
        <v>-17135.536618924474</v>
      </c>
      <c r="BT18" s="126">
        <f t="shared" si="11"/>
        <v>-17135.536618924474</v>
      </c>
      <c r="BU18" s="126">
        <f t="shared" si="11"/>
        <v>-17135.536618924474</v>
      </c>
      <c r="BV18" s="126">
        <f t="shared" si="11"/>
        <v>-17135.536618924474</v>
      </c>
      <c r="BW18" s="126">
        <f t="shared" si="11"/>
        <v>-17135.536618924474</v>
      </c>
      <c r="BX18" s="126">
        <f t="shared" si="11"/>
        <v>-17135.536618924474</v>
      </c>
      <c r="BY18" s="126">
        <f t="shared" si="11"/>
        <v>-17135.536618924474</v>
      </c>
      <c r="BZ18" s="126">
        <f t="shared" si="11"/>
        <v>-18215.075425916715</v>
      </c>
      <c r="CA18" s="126">
        <f t="shared" si="11"/>
        <v>-18215.075425916715</v>
      </c>
      <c r="CB18" s="126">
        <f t="shared" si="11"/>
        <v>-18215.075425916715</v>
      </c>
      <c r="CC18" s="126">
        <f t="shared" si="11"/>
        <v>-18215.075425916715</v>
      </c>
      <c r="CD18" s="126">
        <f t="shared" si="11"/>
        <v>-18215.075425916715</v>
      </c>
      <c r="CE18" s="126">
        <f t="shared" si="11"/>
        <v>-18215.075425916715</v>
      </c>
      <c r="CF18" s="126">
        <f t="shared" si="11"/>
        <v>-18215.075425916715</v>
      </c>
      <c r="CG18" s="126">
        <f t="shared" si="11"/>
        <v>-18215.075425916715</v>
      </c>
      <c r="CH18" s="126">
        <f t="shared" si="11"/>
        <v>-18215.075425916715</v>
      </c>
      <c r="CI18" s="126">
        <f t="shared" si="11"/>
        <v>-18215.075425916715</v>
      </c>
      <c r="CJ18" s="126">
        <f t="shared" si="11"/>
        <v>-18215.075425916715</v>
      </c>
      <c r="CK18" s="126">
        <f t="shared" si="11"/>
        <v>-18215.075425916715</v>
      </c>
      <c r="CL18" s="126">
        <f t="shared" si="11"/>
        <v>-19362.625177749469</v>
      </c>
      <c r="CM18" s="126">
        <f t="shared" si="11"/>
        <v>-19362.625177749469</v>
      </c>
      <c r="CN18" s="126">
        <f t="shared" si="11"/>
        <v>-19362.625177749469</v>
      </c>
      <c r="CO18" s="126">
        <f t="shared" si="11"/>
        <v>-19362.625177749469</v>
      </c>
      <c r="CP18" s="126">
        <f t="shared" si="11"/>
        <v>-19362.625177749469</v>
      </c>
      <c r="CQ18" s="126">
        <f t="shared" si="11"/>
        <v>-19362.625177749469</v>
      </c>
      <c r="CR18" s="126">
        <f t="shared" si="11"/>
        <v>-19362.625177749469</v>
      </c>
      <c r="CS18" s="126">
        <f t="shared" si="11"/>
        <v>-19362.625177749469</v>
      </c>
      <c r="CT18" s="126">
        <f t="shared" si="11"/>
        <v>-19362.625177749469</v>
      </c>
      <c r="CU18" s="126">
        <f t="shared" si="11"/>
        <v>-19362.625177749469</v>
      </c>
      <c r="CV18" s="126">
        <f t="shared" ref="CV18:DU18" si="12">$E18*$D18*CV$5</f>
        <v>-19362.625177749469</v>
      </c>
      <c r="CW18" s="126">
        <f t="shared" si="12"/>
        <v>-19362.625177749469</v>
      </c>
      <c r="CX18" s="126">
        <f t="shared" si="12"/>
        <v>-20582.470563947682</v>
      </c>
      <c r="CY18" s="126">
        <f t="shared" si="12"/>
        <v>-20582.470563947682</v>
      </c>
      <c r="CZ18" s="126">
        <f t="shared" si="12"/>
        <v>-20582.470563947682</v>
      </c>
      <c r="DA18" s="126">
        <f t="shared" si="12"/>
        <v>-20582.470563947682</v>
      </c>
      <c r="DB18" s="126">
        <f t="shared" si="12"/>
        <v>-20582.470563947682</v>
      </c>
      <c r="DC18" s="126">
        <f t="shared" si="12"/>
        <v>-20582.470563947682</v>
      </c>
      <c r="DD18" s="126">
        <f t="shared" si="12"/>
        <v>-20582.470563947682</v>
      </c>
      <c r="DE18" s="126">
        <f t="shared" si="12"/>
        <v>-20582.470563947682</v>
      </c>
      <c r="DF18" s="126">
        <f t="shared" si="12"/>
        <v>-20582.470563947682</v>
      </c>
      <c r="DG18" s="126">
        <f t="shared" si="12"/>
        <v>-20582.470563947682</v>
      </c>
      <c r="DH18" s="126">
        <f t="shared" si="12"/>
        <v>-20582.470563947682</v>
      </c>
      <c r="DI18" s="126">
        <f t="shared" si="12"/>
        <v>-20582.470563947682</v>
      </c>
      <c r="DJ18" s="126">
        <f t="shared" si="12"/>
        <v>-21879.166209476385</v>
      </c>
      <c r="DK18" s="126">
        <f t="shared" si="12"/>
        <v>-21879.166209476385</v>
      </c>
      <c r="DL18" s="126">
        <f t="shared" si="12"/>
        <v>-21879.166209476385</v>
      </c>
      <c r="DM18" s="126">
        <f t="shared" si="12"/>
        <v>-21879.166209476385</v>
      </c>
      <c r="DN18" s="126">
        <f t="shared" si="12"/>
        <v>-21879.166209476385</v>
      </c>
      <c r="DO18" s="126">
        <f t="shared" si="12"/>
        <v>-21879.166209476385</v>
      </c>
      <c r="DP18" s="126">
        <f t="shared" si="12"/>
        <v>-21879.166209476385</v>
      </c>
      <c r="DQ18" s="126">
        <f t="shared" si="12"/>
        <v>-21879.166209476385</v>
      </c>
      <c r="DR18" s="126">
        <f t="shared" si="12"/>
        <v>-21879.166209476385</v>
      </c>
      <c r="DS18" s="126">
        <f t="shared" si="12"/>
        <v>-21879.166209476385</v>
      </c>
      <c r="DT18" s="126">
        <f t="shared" si="12"/>
        <v>-21879.166209476385</v>
      </c>
      <c r="DU18" s="126">
        <f t="shared" si="12"/>
        <v>-21879.166209476385</v>
      </c>
    </row>
    <row r="19" spans="1:125" s="2" customFormat="1" ht="18.75" customHeight="1" x14ac:dyDescent="0.3">
      <c r="A19" s="243"/>
      <c r="B19" s="272" t="s">
        <v>194</v>
      </c>
      <c r="C19" s="272"/>
      <c r="D19" s="272"/>
      <c r="E19" s="10"/>
      <c r="F19" s="738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12"/>
      <c r="R19" s="388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50"/>
      <c r="AD19" s="837"/>
      <c r="AE19" s="837"/>
      <c r="AF19" s="837"/>
      <c r="AG19" s="837"/>
      <c r="AH19" s="837"/>
      <c r="AI19" s="837"/>
      <c r="AJ19" s="837"/>
      <c r="AK19" s="837"/>
      <c r="AL19" s="837"/>
      <c r="AM19" s="837"/>
      <c r="AN19" s="837"/>
      <c r="AO19" s="850"/>
      <c r="AP19" s="837"/>
      <c r="AQ19" s="837"/>
      <c r="AR19" s="837"/>
      <c r="AS19" s="837"/>
      <c r="AT19" s="837"/>
      <c r="AU19" s="837"/>
      <c r="AV19" s="837"/>
      <c r="AW19" s="837"/>
      <c r="AX19" s="837"/>
      <c r="AY19" s="837"/>
      <c r="AZ19" s="837"/>
      <c r="BA19" s="850"/>
      <c r="BB19" s="837"/>
      <c r="BC19" s="837"/>
      <c r="BD19" s="837"/>
      <c r="BE19" s="837"/>
      <c r="BF19" s="837"/>
      <c r="BG19" s="837"/>
      <c r="BH19" s="837"/>
      <c r="BI19" s="837"/>
      <c r="BJ19" s="837"/>
      <c r="BK19" s="837"/>
      <c r="BL19" s="837"/>
      <c r="BM19" s="850"/>
      <c r="BN19" s="837"/>
      <c r="BO19" s="837"/>
      <c r="BP19" s="837"/>
      <c r="BQ19" s="837"/>
      <c r="BR19" s="837"/>
      <c r="BS19" s="837"/>
      <c r="BT19" s="837"/>
      <c r="BU19" s="837"/>
      <c r="BV19" s="837"/>
      <c r="BW19" s="837"/>
      <c r="BX19" s="837"/>
      <c r="BY19" s="850"/>
      <c r="BZ19" s="837"/>
      <c r="CA19" s="837"/>
      <c r="CB19" s="837"/>
      <c r="CC19" s="837"/>
      <c r="CD19" s="837"/>
      <c r="CE19" s="837"/>
      <c r="CF19" s="837"/>
      <c r="CG19" s="837"/>
      <c r="CH19" s="837"/>
      <c r="CI19" s="837"/>
      <c r="CJ19" s="837"/>
      <c r="CK19" s="850"/>
      <c r="CL19" s="837"/>
      <c r="CM19" s="837"/>
      <c r="CN19" s="837"/>
      <c r="CO19" s="837"/>
      <c r="CP19" s="837"/>
      <c r="CQ19" s="837"/>
      <c r="CR19" s="837"/>
      <c r="CS19" s="837"/>
      <c r="CT19" s="837"/>
      <c r="CU19" s="837"/>
      <c r="CV19" s="837"/>
      <c r="CW19" s="850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594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594"/>
    </row>
    <row r="20" spans="1:125" s="2" customFormat="1" ht="18.75" customHeight="1" x14ac:dyDescent="0.25">
      <c r="A20" s="244"/>
      <c r="B20" s="271" t="s">
        <v>240</v>
      </c>
      <c r="C20" s="271" t="s">
        <v>210</v>
      </c>
      <c r="D20" s="271">
        <v>1</v>
      </c>
      <c r="E20" s="10">
        <f t="shared" ref="E20:E25" si="13">-VLOOKUP(C20,$C$51:$W$59,8,FALSE)</f>
        <v>-38000</v>
      </c>
      <c r="F20" s="738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97"/>
      <c r="R20" s="107"/>
      <c r="S20" s="107">
        <f t="shared" ref="S20:AC24" si="14">$E20*$D20*S$5</f>
        <v>-40394</v>
      </c>
      <c r="T20" s="107">
        <f t="shared" si="14"/>
        <v>-40394</v>
      </c>
      <c r="U20" s="107">
        <f t="shared" si="14"/>
        <v>-40394</v>
      </c>
      <c r="V20" s="107">
        <f t="shared" si="14"/>
        <v>-40394</v>
      </c>
      <c r="W20" s="107">
        <f t="shared" si="14"/>
        <v>-40394</v>
      </c>
      <c r="X20" s="107">
        <f t="shared" si="14"/>
        <v>-40394</v>
      </c>
      <c r="Y20" s="107">
        <f t="shared" si="14"/>
        <v>-40394</v>
      </c>
      <c r="Z20" s="107">
        <f t="shared" si="14"/>
        <v>-40394</v>
      </c>
      <c r="AA20" s="107">
        <f t="shared" si="14"/>
        <v>-40394</v>
      </c>
      <c r="AB20" s="107">
        <f t="shared" si="14"/>
        <v>-40394</v>
      </c>
      <c r="AC20" s="739">
        <f t="shared" si="14"/>
        <v>-40394</v>
      </c>
      <c r="AD20" s="107">
        <f t="shared" ref="AD20:CD23" si="15">$E20*$D20*AD$5</f>
        <v>-42938.821999999993</v>
      </c>
      <c r="AE20" s="106">
        <f t="shared" si="15"/>
        <v>-42938.821999999993</v>
      </c>
      <c r="AF20" s="106">
        <f t="shared" si="15"/>
        <v>-42938.821999999993</v>
      </c>
      <c r="AG20" s="106">
        <f t="shared" si="15"/>
        <v>-42938.821999999993</v>
      </c>
      <c r="AH20" s="106">
        <f t="shared" si="15"/>
        <v>-42938.821999999993</v>
      </c>
      <c r="AI20" s="106">
        <f t="shared" si="15"/>
        <v>-42938.821999999993</v>
      </c>
      <c r="AJ20" s="106">
        <f t="shared" si="15"/>
        <v>-42938.821999999993</v>
      </c>
      <c r="AK20" s="106">
        <f t="shared" si="15"/>
        <v>-42938.821999999993</v>
      </c>
      <c r="AL20" s="106">
        <f t="shared" si="15"/>
        <v>-42938.821999999993</v>
      </c>
      <c r="AM20" s="106">
        <f t="shared" si="15"/>
        <v>-42938.821999999993</v>
      </c>
      <c r="AN20" s="106">
        <f t="shared" si="15"/>
        <v>-42938.821999999993</v>
      </c>
      <c r="AO20" s="108">
        <f t="shared" si="15"/>
        <v>-42938.821999999993</v>
      </c>
      <c r="AP20" s="107">
        <f t="shared" si="15"/>
        <v>-45643.967785999987</v>
      </c>
      <c r="AQ20" s="106">
        <f t="shared" si="15"/>
        <v>-45643.967785999987</v>
      </c>
      <c r="AR20" s="106">
        <f t="shared" si="15"/>
        <v>-45643.967785999987</v>
      </c>
      <c r="AS20" s="106">
        <f t="shared" si="15"/>
        <v>-45643.967785999987</v>
      </c>
      <c r="AT20" s="106">
        <f t="shared" si="15"/>
        <v>-45643.967785999987</v>
      </c>
      <c r="AU20" s="106">
        <f t="shared" si="15"/>
        <v>-45643.967785999987</v>
      </c>
      <c r="AV20" s="106">
        <f t="shared" si="15"/>
        <v>-45643.967785999987</v>
      </c>
      <c r="AW20" s="106">
        <f t="shared" si="15"/>
        <v>-45643.967785999987</v>
      </c>
      <c r="AX20" s="106">
        <f t="shared" si="15"/>
        <v>-45643.967785999987</v>
      </c>
      <c r="AY20" s="106">
        <f t="shared" si="15"/>
        <v>-45643.967785999987</v>
      </c>
      <c r="AZ20" s="106">
        <f t="shared" si="15"/>
        <v>-45643.967785999987</v>
      </c>
      <c r="BA20" s="108">
        <f t="shared" si="15"/>
        <v>-45643.967785999987</v>
      </c>
      <c r="BB20" s="107">
        <f t="shared" si="15"/>
        <v>-48519.537756517981</v>
      </c>
      <c r="BC20" s="106">
        <f t="shared" si="15"/>
        <v>-48519.537756517981</v>
      </c>
      <c r="BD20" s="106">
        <f t="shared" si="15"/>
        <v>-48519.537756517981</v>
      </c>
      <c r="BE20" s="106">
        <f t="shared" si="15"/>
        <v>-48519.537756517981</v>
      </c>
      <c r="BF20" s="106">
        <f t="shared" si="15"/>
        <v>-48519.537756517981</v>
      </c>
      <c r="BG20" s="106">
        <f t="shared" si="15"/>
        <v>-48519.537756517981</v>
      </c>
      <c r="BH20" s="106">
        <f t="shared" si="15"/>
        <v>-48519.537756517981</v>
      </c>
      <c r="BI20" s="106">
        <f t="shared" si="15"/>
        <v>-48519.537756517981</v>
      </c>
      <c r="BJ20" s="106">
        <f t="shared" si="15"/>
        <v>-48519.537756517981</v>
      </c>
      <c r="BK20" s="106">
        <f t="shared" si="15"/>
        <v>-48519.537756517981</v>
      </c>
      <c r="BL20" s="106">
        <f t="shared" si="15"/>
        <v>-48519.537756517981</v>
      </c>
      <c r="BM20" s="108">
        <f t="shared" si="15"/>
        <v>-48519.537756517981</v>
      </c>
      <c r="BN20" s="107">
        <f t="shared" si="15"/>
        <v>-51576.268635178611</v>
      </c>
      <c r="BO20" s="106">
        <f t="shared" si="15"/>
        <v>-51576.268635178611</v>
      </c>
      <c r="BP20" s="106">
        <f t="shared" si="15"/>
        <v>-51576.268635178611</v>
      </c>
      <c r="BQ20" s="106">
        <f t="shared" si="15"/>
        <v>-51576.268635178611</v>
      </c>
      <c r="BR20" s="106">
        <f t="shared" si="15"/>
        <v>-51576.268635178611</v>
      </c>
      <c r="BS20" s="106">
        <f t="shared" si="15"/>
        <v>-51576.268635178611</v>
      </c>
      <c r="BT20" s="106">
        <f t="shared" si="15"/>
        <v>-51576.268635178611</v>
      </c>
      <c r="BU20" s="106">
        <f t="shared" si="15"/>
        <v>-51576.268635178611</v>
      </c>
      <c r="BV20" s="106">
        <f t="shared" si="15"/>
        <v>-51576.268635178611</v>
      </c>
      <c r="BW20" s="106">
        <f t="shared" si="15"/>
        <v>-51576.268635178611</v>
      </c>
      <c r="BX20" s="106">
        <f t="shared" si="15"/>
        <v>-51576.268635178611</v>
      </c>
      <c r="BY20" s="108">
        <f t="shared" si="15"/>
        <v>-51576.268635178611</v>
      </c>
      <c r="BZ20" s="107">
        <f t="shared" si="15"/>
        <v>-54825.573559194869</v>
      </c>
      <c r="CA20" s="106">
        <f t="shared" si="15"/>
        <v>-54825.573559194869</v>
      </c>
      <c r="CB20" s="106">
        <f t="shared" si="15"/>
        <v>-54825.573559194869</v>
      </c>
      <c r="CC20" s="106">
        <f t="shared" si="15"/>
        <v>-54825.573559194869</v>
      </c>
      <c r="CD20" s="106">
        <f t="shared" si="15"/>
        <v>-54825.573559194869</v>
      </c>
      <c r="CE20" s="106">
        <f t="shared" ref="CE20:DU22" si="16">$E20*$D20*CE$5</f>
        <v>-54825.573559194869</v>
      </c>
      <c r="CF20" s="106">
        <f t="shared" si="16"/>
        <v>-54825.573559194869</v>
      </c>
      <c r="CG20" s="106">
        <f t="shared" si="16"/>
        <v>-54825.573559194869</v>
      </c>
      <c r="CH20" s="106">
        <f t="shared" si="16"/>
        <v>-54825.573559194869</v>
      </c>
      <c r="CI20" s="106">
        <f t="shared" si="16"/>
        <v>-54825.573559194869</v>
      </c>
      <c r="CJ20" s="106">
        <f t="shared" si="16"/>
        <v>-54825.573559194869</v>
      </c>
      <c r="CK20" s="108">
        <f t="shared" si="16"/>
        <v>-54825.573559194869</v>
      </c>
      <c r="CL20" s="107">
        <f t="shared" si="16"/>
        <v>-58279.584693424142</v>
      </c>
      <c r="CM20" s="106">
        <f t="shared" si="16"/>
        <v>-58279.584693424142</v>
      </c>
      <c r="CN20" s="106">
        <f t="shared" si="16"/>
        <v>-58279.584693424142</v>
      </c>
      <c r="CO20" s="106">
        <f t="shared" si="16"/>
        <v>-58279.584693424142</v>
      </c>
      <c r="CP20" s="106">
        <f t="shared" si="16"/>
        <v>-58279.584693424142</v>
      </c>
      <c r="CQ20" s="106">
        <f t="shared" si="16"/>
        <v>-58279.584693424142</v>
      </c>
      <c r="CR20" s="106">
        <f t="shared" si="16"/>
        <v>-58279.584693424142</v>
      </c>
      <c r="CS20" s="106">
        <f t="shared" si="16"/>
        <v>-58279.584693424142</v>
      </c>
      <c r="CT20" s="106">
        <f t="shared" si="16"/>
        <v>-58279.584693424142</v>
      </c>
      <c r="CU20" s="106">
        <f t="shared" si="16"/>
        <v>-58279.584693424142</v>
      </c>
      <c r="CV20" s="106">
        <f t="shared" si="16"/>
        <v>-58279.584693424142</v>
      </c>
      <c r="CW20" s="108">
        <f t="shared" si="16"/>
        <v>-58279.584693424142</v>
      </c>
      <c r="CX20" s="107">
        <f t="shared" si="16"/>
        <v>-61951.198529109854</v>
      </c>
      <c r="CY20" s="106">
        <f t="shared" si="16"/>
        <v>-61951.198529109854</v>
      </c>
      <c r="CZ20" s="106">
        <f t="shared" si="16"/>
        <v>-61951.198529109854</v>
      </c>
      <c r="DA20" s="106">
        <f t="shared" si="16"/>
        <v>-61951.198529109854</v>
      </c>
      <c r="DB20" s="106">
        <f t="shared" si="16"/>
        <v>-61951.198529109854</v>
      </c>
      <c r="DC20" s="106">
        <f t="shared" si="16"/>
        <v>-61951.198529109854</v>
      </c>
      <c r="DD20" s="106">
        <f t="shared" si="16"/>
        <v>-61951.198529109854</v>
      </c>
      <c r="DE20" s="106">
        <f t="shared" si="16"/>
        <v>-61951.198529109854</v>
      </c>
      <c r="DF20" s="106">
        <f t="shared" si="16"/>
        <v>-61951.198529109854</v>
      </c>
      <c r="DG20" s="106">
        <f t="shared" si="16"/>
        <v>-61951.198529109854</v>
      </c>
      <c r="DH20" s="106">
        <f t="shared" si="16"/>
        <v>-61951.198529109854</v>
      </c>
      <c r="DI20" s="108">
        <f t="shared" si="16"/>
        <v>-61951.198529109854</v>
      </c>
      <c r="DJ20" s="107">
        <f t="shared" si="16"/>
        <v>-65854.124036443784</v>
      </c>
      <c r="DK20" s="106">
        <f t="shared" si="16"/>
        <v>-65854.124036443784</v>
      </c>
      <c r="DL20" s="106">
        <f t="shared" si="16"/>
        <v>-65854.124036443784</v>
      </c>
      <c r="DM20" s="106">
        <f t="shared" si="16"/>
        <v>-65854.124036443784</v>
      </c>
      <c r="DN20" s="106">
        <f t="shared" si="16"/>
        <v>-65854.124036443784</v>
      </c>
      <c r="DO20" s="106">
        <f t="shared" si="16"/>
        <v>-65854.124036443784</v>
      </c>
      <c r="DP20" s="106">
        <f t="shared" si="16"/>
        <v>-65854.124036443784</v>
      </c>
      <c r="DQ20" s="106">
        <f t="shared" si="16"/>
        <v>-65854.124036443784</v>
      </c>
      <c r="DR20" s="106">
        <f t="shared" si="16"/>
        <v>-65854.124036443784</v>
      </c>
      <c r="DS20" s="106">
        <f t="shared" si="16"/>
        <v>-65854.124036443784</v>
      </c>
      <c r="DT20" s="106">
        <f t="shared" si="16"/>
        <v>-65854.124036443784</v>
      </c>
      <c r="DU20" s="108">
        <f t="shared" si="16"/>
        <v>-65854.124036443784</v>
      </c>
    </row>
    <row r="21" spans="1:125" s="2" customFormat="1" ht="18.75" customHeight="1" x14ac:dyDescent="0.25">
      <c r="A21" s="244"/>
      <c r="B21" s="271" t="s">
        <v>241</v>
      </c>
      <c r="C21" s="271" t="s">
        <v>214</v>
      </c>
      <c r="D21" s="271">
        <v>1</v>
      </c>
      <c r="E21" s="10">
        <f t="shared" si="13"/>
        <v>-8541.6666666666661</v>
      </c>
      <c r="F21" s="738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97"/>
      <c r="R21" s="107"/>
      <c r="S21" s="107">
        <f t="shared" si="14"/>
        <v>-9079.7916666666661</v>
      </c>
      <c r="T21" s="107">
        <f t="shared" si="14"/>
        <v>-9079.7916666666661</v>
      </c>
      <c r="U21" s="107">
        <f t="shared" si="14"/>
        <v>-9079.7916666666661</v>
      </c>
      <c r="V21" s="107">
        <f t="shared" si="14"/>
        <v>-9079.7916666666661</v>
      </c>
      <c r="W21" s="107">
        <f t="shared" si="14"/>
        <v>-9079.7916666666661</v>
      </c>
      <c r="X21" s="107">
        <f t="shared" si="14"/>
        <v>-9079.7916666666661</v>
      </c>
      <c r="Y21" s="107">
        <f t="shared" si="14"/>
        <v>-9079.7916666666661</v>
      </c>
      <c r="Z21" s="107">
        <f t="shared" si="14"/>
        <v>-9079.7916666666661</v>
      </c>
      <c r="AA21" s="107">
        <f t="shared" si="14"/>
        <v>-9079.7916666666661</v>
      </c>
      <c r="AB21" s="107">
        <f t="shared" si="14"/>
        <v>-9079.7916666666661</v>
      </c>
      <c r="AC21" s="739">
        <f t="shared" si="14"/>
        <v>-9079.7916666666661</v>
      </c>
      <c r="AD21" s="107">
        <f t="shared" si="15"/>
        <v>-9651.8185416666638</v>
      </c>
      <c r="AE21" s="106">
        <f t="shared" si="15"/>
        <v>-9651.8185416666638</v>
      </c>
      <c r="AF21" s="106">
        <f t="shared" si="15"/>
        <v>-9651.8185416666638</v>
      </c>
      <c r="AG21" s="106">
        <f t="shared" si="15"/>
        <v>-9651.8185416666638</v>
      </c>
      <c r="AH21" s="106">
        <f t="shared" si="15"/>
        <v>-9651.8185416666638</v>
      </c>
      <c r="AI21" s="106">
        <f t="shared" si="15"/>
        <v>-9651.8185416666638</v>
      </c>
      <c r="AJ21" s="106">
        <f t="shared" si="15"/>
        <v>-9651.8185416666638</v>
      </c>
      <c r="AK21" s="106">
        <f t="shared" si="15"/>
        <v>-9651.8185416666638</v>
      </c>
      <c r="AL21" s="106">
        <f t="shared" si="15"/>
        <v>-9651.8185416666638</v>
      </c>
      <c r="AM21" s="106">
        <f t="shared" si="15"/>
        <v>-9651.8185416666638</v>
      </c>
      <c r="AN21" s="106">
        <f t="shared" si="15"/>
        <v>-9651.8185416666638</v>
      </c>
      <c r="AO21" s="108">
        <f t="shared" si="15"/>
        <v>-9651.8185416666638</v>
      </c>
      <c r="AP21" s="107">
        <f t="shared" si="15"/>
        <v>-10259.883109791663</v>
      </c>
      <c r="AQ21" s="106">
        <f t="shared" si="15"/>
        <v>-10259.883109791663</v>
      </c>
      <c r="AR21" s="106">
        <f t="shared" si="15"/>
        <v>-10259.883109791663</v>
      </c>
      <c r="AS21" s="106">
        <f t="shared" si="15"/>
        <v>-10259.883109791663</v>
      </c>
      <c r="AT21" s="106">
        <f t="shared" si="15"/>
        <v>-10259.883109791663</v>
      </c>
      <c r="AU21" s="106">
        <f t="shared" si="15"/>
        <v>-10259.883109791663</v>
      </c>
      <c r="AV21" s="106">
        <f t="shared" si="15"/>
        <v>-10259.883109791663</v>
      </c>
      <c r="AW21" s="106">
        <f t="shared" si="15"/>
        <v>-10259.883109791663</v>
      </c>
      <c r="AX21" s="106">
        <f t="shared" si="15"/>
        <v>-10259.883109791663</v>
      </c>
      <c r="AY21" s="106">
        <f t="shared" si="15"/>
        <v>-10259.883109791663</v>
      </c>
      <c r="AZ21" s="106">
        <f t="shared" si="15"/>
        <v>-10259.883109791663</v>
      </c>
      <c r="BA21" s="108">
        <f t="shared" si="15"/>
        <v>-10259.883109791663</v>
      </c>
      <c r="BB21" s="107">
        <f t="shared" si="15"/>
        <v>-10906.255745708537</v>
      </c>
      <c r="BC21" s="106">
        <f t="shared" si="15"/>
        <v>-10906.255745708537</v>
      </c>
      <c r="BD21" s="106">
        <f t="shared" si="15"/>
        <v>-10906.255745708537</v>
      </c>
      <c r="BE21" s="106">
        <f t="shared" si="15"/>
        <v>-10906.255745708537</v>
      </c>
      <c r="BF21" s="106">
        <f t="shared" si="15"/>
        <v>-10906.255745708537</v>
      </c>
      <c r="BG21" s="106">
        <f t="shared" si="15"/>
        <v>-10906.255745708537</v>
      </c>
      <c r="BH21" s="106">
        <f t="shared" si="15"/>
        <v>-10906.255745708537</v>
      </c>
      <c r="BI21" s="106">
        <f t="shared" si="15"/>
        <v>-10906.255745708537</v>
      </c>
      <c r="BJ21" s="106">
        <f t="shared" si="15"/>
        <v>-10906.255745708537</v>
      </c>
      <c r="BK21" s="106">
        <f t="shared" si="15"/>
        <v>-10906.255745708537</v>
      </c>
      <c r="BL21" s="106">
        <f t="shared" si="15"/>
        <v>-10906.255745708537</v>
      </c>
      <c r="BM21" s="108">
        <f t="shared" si="15"/>
        <v>-10906.255745708537</v>
      </c>
      <c r="BN21" s="107">
        <f t="shared" si="15"/>
        <v>-11593.349857688174</v>
      </c>
      <c r="BO21" s="106">
        <f t="shared" si="15"/>
        <v>-11593.349857688174</v>
      </c>
      <c r="BP21" s="106">
        <f t="shared" si="15"/>
        <v>-11593.349857688174</v>
      </c>
      <c r="BQ21" s="106">
        <f t="shared" si="15"/>
        <v>-11593.349857688174</v>
      </c>
      <c r="BR21" s="106">
        <f t="shared" si="15"/>
        <v>-11593.349857688174</v>
      </c>
      <c r="BS21" s="106">
        <f t="shared" si="15"/>
        <v>-11593.349857688174</v>
      </c>
      <c r="BT21" s="106">
        <f t="shared" si="15"/>
        <v>-11593.349857688174</v>
      </c>
      <c r="BU21" s="106">
        <f t="shared" si="15"/>
        <v>-11593.349857688174</v>
      </c>
      <c r="BV21" s="106">
        <f t="shared" si="15"/>
        <v>-11593.349857688174</v>
      </c>
      <c r="BW21" s="106">
        <f t="shared" si="15"/>
        <v>-11593.349857688174</v>
      </c>
      <c r="BX21" s="106">
        <f t="shared" si="15"/>
        <v>-11593.349857688174</v>
      </c>
      <c r="BY21" s="108">
        <f t="shared" si="15"/>
        <v>-11593.349857688174</v>
      </c>
      <c r="BZ21" s="107">
        <f t="shared" si="15"/>
        <v>-12323.73089872253</v>
      </c>
      <c r="CA21" s="106">
        <f t="shared" si="15"/>
        <v>-12323.73089872253</v>
      </c>
      <c r="CB21" s="106">
        <f t="shared" si="15"/>
        <v>-12323.73089872253</v>
      </c>
      <c r="CC21" s="106">
        <f t="shared" si="15"/>
        <v>-12323.73089872253</v>
      </c>
      <c r="CD21" s="106">
        <f t="shared" si="15"/>
        <v>-12323.73089872253</v>
      </c>
      <c r="CE21" s="106">
        <f t="shared" si="16"/>
        <v>-12323.73089872253</v>
      </c>
      <c r="CF21" s="106">
        <f t="shared" si="16"/>
        <v>-12323.73089872253</v>
      </c>
      <c r="CG21" s="106">
        <f t="shared" si="16"/>
        <v>-12323.73089872253</v>
      </c>
      <c r="CH21" s="106">
        <f t="shared" si="16"/>
        <v>-12323.73089872253</v>
      </c>
      <c r="CI21" s="106">
        <f t="shared" si="16"/>
        <v>-12323.73089872253</v>
      </c>
      <c r="CJ21" s="106">
        <f t="shared" si="16"/>
        <v>-12323.73089872253</v>
      </c>
      <c r="CK21" s="108">
        <f t="shared" si="16"/>
        <v>-12323.73089872253</v>
      </c>
      <c r="CL21" s="107">
        <f t="shared" si="16"/>
        <v>-13100.125945342048</v>
      </c>
      <c r="CM21" s="106">
        <f t="shared" si="16"/>
        <v>-13100.125945342048</v>
      </c>
      <c r="CN21" s="106">
        <f t="shared" si="16"/>
        <v>-13100.125945342048</v>
      </c>
      <c r="CO21" s="106">
        <f t="shared" si="16"/>
        <v>-13100.125945342048</v>
      </c>
      <c r="CP21" s="106">
        <f t="shared" si="16"/>
        <v>-13100.125945342048</v>
      </c>
      <c r="CQ21" s="106">
        <f t="shared" si="16"/>
        <v>-13100.125945342048</v>
      </c>
      <c r="CR21" s="106">
        <f t="shared" si="16"/>
        <v>-13100.125945342048</v>
      </c>
      <c r="CS21" s="106">
        <f t="shared" si="16"/>
        <v>-13100.125945342048</v>
      </c>
      <c r="CT21" s="106">
        <f t="shared" si="16"/>
        <v>-13100.125945342048</v>
      </c>
      <c r="CU21" s="106">
        <f t="shared" si="16"/>
        <v>-13100.125945342048</v>
      </c>
      <c r="CV21" s="106">
        <f t="shared" si="16"/>
        <v>-13100.125945342048</v>
      </c>
      <c r="CW21" s="108">
        <f t="shared" si="16"/>
        <v>-13100.125945342048</v>
      </c>
      <c r="CX21" s="107">
        <f t="shared" si="16"/>
        <v>-13925.433879898595</v>
      </c>
      <c r="CY21" s="106">
        <f t="shared" si="16"/>
        <v>-13925.433879898595</v>
      </c>
      <c r="CZ21" s="106">
        <f t="shared" si="16"/>
        <v>-13925.433879898595</v>
      </c>
      <c r="DA21" s="106">
        <f t="shared" si="16"/>
        <v>-13925.433879898595</v>
      </c>
      <c r="DB21" s="106">
        <f t="shared" si="16"/>
        <v>-13925.433879898595</v>
      </c>
      <c r="DC21" s="106">
        <f t="shared" si="16"/>
        <v>-13925.433879898595</v>
      </c>
      <c r="DD21" s="106">
        <f t="shared" si="16"/>
        <v>-13925.433879898595</v>
      </c>
      <c r="DE21" s="106">
        <f t="shared" si="16"/>
        <v>-13925.433879898595</v>
      </c>
      <c r="DF21" s="106">
        <f t="shared" si="16"/>
        <v>-13925.433879898595</v>
      </c>
      <c r="DG21" s="106">
        <f t="shared" si="16"/>
        <v>-13925.433879898595</v>
      </c>
      <c r="DH21" s="106">
        <f t="shared" si="16"/>
        <v>-13925.433879898595</v>
      </c>
      <c r="DI21" s="108">
        <f t="shared" si="16"/>
        <v>-13925.433879898595</v>
      </c>
      <c r="DJ21" s="107">
        <f t="shared" si="16"/>
        <v>-14802.736214332208</v>
      </c>
      <c r="DK21" s="106">
        <f t="shared" si="16"/>
        <v>-14802.736214332208</v>
      </c>
      <c r="DL21" s="106">
        <f t="shared" si="16"/>
        <v>-14802.736214332208</v>
      </c>
      <c r="DM21" s="106">
        <f t="shared" si="16"/>
        <v>-14802.736214332208</v>
      </c>
      <c r="DN21" s="106">
        <f t="shared" si="16"/>
        <v>-14802.736214332208</v>
      </c>
      <c r="DO21" s="106">
        <f t="shared" si="16"/>
        <v>-14802.736214332208</v>
      </c>
      <c r="DP21" s="106">
        <f t="shared" si="16"/>
        <v>-14802.736214332208</v>
      </c>
      <c r="DQ21" s="106">
        <f t="shared" si="16"/>
        <v>-14802.736214332208</v>
      </c>
      <c r="DR21" s="106">
        <f t="shared" si="16"/>
        <v>-14802.736214332208</v>
      </c>
      <c r="DS21" s="106">
        <f t="shared" si="16"/>
        <v>-14802.736214332208</v>
      </c>
      <c r="DT21" s="106">
        <f t="shared" si="16"/>
        <v>-14802.736214332208</v>
      </c>
      <c r="DU21" s="108">
        <f t="shared" si="16"/>
        <v>-14802.736214332208</v>
      </c>
    </row>
    <row r="22" spans="1:125" s="2" customFormat="1" ht="18.75" customHeight="1" x14ac:dyDescent="0.25">
      <c r="A22" s="244"/>
      <c r="B22" s="271" t="s">
        <v>245</v>
      </c>
      <c r="C22" s="271" t="s">
        <v>214</v>
      </c>
      <c r="D22" s="271">
        <v>1</v>
      </c>
      <c r="E22" s="10">
        <f t="shared" si="13"/>
        <v>-8541.6666666666661</v>
      </c>
      <c r="F22" s="738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97"/>
      <c r="R22" s="107"/>
      <c r="S22" s="107">
        <f t="shared" si="14"/>
        <v>-9079.7916666666661</v>
      </c>
      <c r="T22" s="107">
        <f t="shared" si="14"/>
        <v>-9079.7916666666661</v>
      </c>
      <c r="U22" s="107">
        <f t="shared" si="14"/>
        <v>-9079.7916666666661</v>
      </c>
      <c r="V22" s="107">
        <f t="shared" si="14"/>
        <v>-9079.7916666666661</v>
      </c>
      <c r="W22" s="107">
        <f t="shared" si="14"/>
        <v>-9079.7916666666661</v>
      </c>
      <c r="X22" s="107">
        <f t="shared" si="14"/>
        <v>-9079.7916666666661</v>
      </c>
      <c r="Y22" s="107">
        <f t="shared" si="14"/>
        <v>-9079.7916666666661</v>
      </c>
      <c r="Z22" s="107">
        <f t="shared" si="14"/>
        <v>-9079.7916666666661</v>
      </c>
      <c r="AA22" s="107">
        <f t="shared" si="14"/>
        <v>-9079.7916666666661</v>
      </c>
      <c r="AB22" s="107">
        <f t="shared" si="14"/>
        <v>-9079.7916666666661</v>
      </c>
      <c r="AC22" s="739">
        <f t="shared" si="14"/>
        <v>-9079.7916666666661</v>
      </c>
      <c r="AD22" s="107">
        <f t="shared" si="15"/>
        <v>-9651.8185416666638</v>
      </c>
      <c r="AE22" s="106">
        <f t="shared" si="15"/>
        <v>-9651.8185416666638</v>
      </c>
      <c r="AF22" s="106">
        <f t="shared" si="15"/>
        <v>-9651.8185416666638</v>
      </c>
      <c r="AG22" s="106">
        <f t="shared" si="15"/>
        <v>-9651.8185416666638</v>
      </c>
      <c r="AH22" s="106">
        <f t="shared" si="15"/>
        <v>-9651.8185416666638</v>
      </c>
      <c r="AI22" s="106">
        <f t="shared" si="15"/>
        <v>-9651.8185416666638</v>
      </c>
      <c r="AJ22" s="106">
        <f t="shared" si="15"/>
        <v>-9651.8185416666638</v>
      </c>
      <c r="AK22" s="106">
        <f t="shared" si="15"/>
        <v>-9651.8185416666638</v>
      </c>
      <c r="AL22" s="106">
        <f t="shared" si="15"/>
        <v>-9651.8185416666638</v>
      </c>
      <c r="AM22" s="106">
        <f t="shared" si="15"/>
        <v>-9651.8185416666638</v>
      </c>
      <c r="AN22" s="106">
        <f t="shared" si="15"/>
        <v>-9651.8185416666638</v>
      </c>
      <c r="AO22" s="108">
        <f t="shared" si="15"/>
        <v>-9651.8185416666638</v>
      </c>
      <c r="AP22" s="107">
        <f t="shared" si="15"/>
        <v>-10259.883109791663</v>
      </c>
      <c r="AQ22" s="106">
        <f t="shared" si="15"/>
        <v>-10259.883109791663</v>
      </c>
      <c r="AR22" s="106">
        <f t="shared" si="15"/>
        <v>-10259.883109791663</v>
      </c>
      <c r="AS22" s="106">
        <f t="shared" si="15"/>
        <v>-10259.883109791663</v>
      </c>
      <c r="AT22" s="106">
        <f t="shared" si="15"/>
        <v>-10259.883109791663</v>
      </c>
      <c r="AU22" s="106">
        <f t="shared" si="15"/>
        <v>-10259.883109791663</v>
      </c>
      <c r="AV22" s="106">
        <f t="shared" si="15"/>
        <v>-10259.883109791663</v>
      </c>
      <c r="AW22" s="106">
        <f t="shared" si="15"/>
        <v>-10259.883109791663</v>
      </c>
      <c r="AX22" s="106">
        <f t="shared" si="15"/>
        <v>-10259.883109791663</v>
      </c>
      <c r="AY22" s="106">
        <f t="shared" si="15"/>
        <v>-10259.883109791663</v>
      </c>
      <c r="AZ22" s="106">
        <f t="shared" si="15"/>
        <v>-10259.883109791663</v>
      </c>
      <c r="BA22" s="108">
        <f t="shared" si="15"/>
        <v>-10259.883109791663</v>
      </c>
      <c r="BB22" s="107">
        <f t="shared" si="15"/>
        <v>-10906.255745708537</v>
      </c>
      <c r="BC22" s="106">
        <f t="shared" si="15"/>
        <v>-10906.255745708537</v>
      </c>
      <c r="BD22" s="106">
        <f t="shared" si="15"/>
        <v>-10906.255745708537</v>
      </c>
      <c r="BE22" s="106">
        <f t="shared" si="15"/>
        <v>-10906.255745708537</v>
      </c>
      <c r="BF22" s="106">
        <f t="shared" si="15"/>
        <v>-10906.255745708537</v>
      </c>
      <c r="BG22" s="106">
        <f t="shared" si="15"/>
        <v>-10906.255745708537</v>
      </c>
      <c r="BH22" s="106">
        <f t="shared" si="15"/>
        <v>-10906.255745708537</v>
      </c>
      <c r="BI22" s="106">
        <f t="shared" si="15"/>
        <v>-10906.255745708537</v>
      </c>
      <c r="BJ22" s="106">
        <f t="shared" si="15"/>
        <v>-10906.255745708537</v>
      </c>
      <c r="BK22" s="106">
        <f t="shared" si="15"/>
        <v>-10906.255745708537</v>
      </c>
      <c r="BL22" s="106">
        <f t="shared" si="15"/>
        <v>-10906.255745708537</v>
      </c>
      <c r="BM22" s="108">
        <f t="shared" si="15"/>
        <v>-10906.255745708537</v>
      </c>
      <c r="BN22" s="107">
        <f t="shared" si="15"/>
        <v>-11593.349857688174</v>
      </c>
      <c r="BO22" s="106">
        <f t="shared" si="15"/>
        <v>-11593.349857688174</v>
      </c>
      <c r="BP22" s="106">
        <f t="shared" si="15"/>
        <v>-11593.349857688174</v>
      </c>
      <c r="BQ22" s="106">
        <f t="shared" si="15"/>
        <v>-11593.349857688174</v>
      </c>
      <c r="BR22" s="106">
        <f t="shared" si="15"/>
        <v>-11593.349857688174</v>
      </c>
      <c r="BS22" s="106">
        <f t="shared" si="15"/>
        <v>-11593.349857688174</v>
      </c>
      <c r="BT22" s="106">
        <f t="shared" si="15"/>
        <v>-11593.349857688174</v>
      </c>
      <c r="BU22" s="106">
        <f t="shared" si="15"/>
        <v>-11593.349857688174</v>
      </c>
      <c r="BV22" s="106">
        <f t="shared" si="15"/>
        <v>-11593.349857688174</v>
      </c>
      <c r="BW22" s="106">
        <f t="shared" si="15"/>
        <v>-11593.349857688174</v>
      </c>
      <c r="BX22" s="106">
        <f t="shared" si="15"/>
        <v>-11593.349857688174</v>
      </c>
      <c r="BY22" s="108">
        <f t="shared" si="15"/>
        <v>-11593.349857688174</v>
      </c>
      <c r="BZ22" s="107">
        <f t="shared" si="15"/>
        <v>-12323.73089872253</v>
      </c>
      <c r="CA22" s="106">
        <f t="shared" si="15"/>
        <v>-12323.73089872253</v>
      </c>
      <c r="CB22" s="106">
        <f t="shared" si="15"/>
        <v>-12323.73089872253</v>
      </c>
      <c r="CC22" s="106">
        <f t="shared" si="15"/>
        <v>-12323.73089872253</v>
      </c>
      <c r="CD22" s="106">
        <f t="shared" si="15"/>
        <v>-12323.73089872253</v>
      </c>
      <c r="CE22" s="106">
        <f t="shared" si="16"/>
        <v>-12323.73089872253</v>
      </c>
      <c r="CF22" s="106">
        <f t="shared" si="16"/>
        <v>-12323.73089872253</v>
      </c>
      <c r="CG22" s="106">
        <f t="shared" si="16"/>
        <v>-12323.73089872253</v>
      </c>
      <c r="CH22" s="106">
        <f t="shared" si="16"/>
        <v>-12323.73089872253</v>
      </c>
      <c r="CI22" s="106">
        <f t="shared" si="16"/>
        <v>-12323.73089872253</v>
      </c>
      <c r="CJ22" s="106">
        <f t="shared" si="16"/>
        <v>-12323.73089872253</v>
      </c>
      <c r="CK22" s="108">
        <f t="shared" si="16"/>
        <v>-12323.73089872253</v>
      </c>
      <c r="CL22" s="107">
        <f t="shared" si="16"/>
        <v>-13100.125945342048</v>
      </c>
      <c r="CM22" s="106">
        <f t="shared" si="16"/>
        <v>-13100.125945342048</v>
      </c>
      <c r="CN22" s="106">
        <f t="shared" si="16"/>
        <v>-13100.125945342048</v>
      </c>
      <c r="CO22" s="106">
        <f t="shared" si="16"/>
        <v>-13100.125945342048</v>
      </c>
      <c r="CP22" s="106">
        <f t="shared" si="16"/>
        <v>-13100.125945342048</v>
      </c>
      <c r="CQ22" s="106">
        <f t="shared" si="16"/>
        <v>-13100.125945342048</v>
      </c>
      <c r="CR22" s="106">
        <f t="shared" si="16"/>
        <v>-13100.125945342048</v>
      </c>
      <c r="CS22" s="106">
        <f t="shared" si="16"/>
        <v>-13100.125945342048</v>
      </c>
      <c r="CT22" s="106">
        <f t="shared" si="16"/>
        <v>-13100.125945342048</v>
      </c>
      <c r="CU22" s="106">
        <f t="shared" si="16"/>
        <v>-13100.125945342048</v>
      </c>
      <c r="CV22" s="106">
        <f t="shared" si="16"/>
        <v>-13100.125945342048</v>
      </c>
      <c r="CW22" s="108">
        <f t="shared" si="16"/>
        <v>-13100.125945342048</v>
      </c>
      <c r="CX22" s="107">
        <f t="shared" si="16"/>
        <v>-13925.433879898595</v>
      </c>
      <c r="CY22" s="106">
        <f t="shared" si="16"/>
        <v>-13925.433879898595</v>
      </c>
      <c r="CZ22" s="106">
        <f t="shared" si="16"/>
        <v>-13925.433879898595</v>
      </c>
      <c r="DA22" s="106">
        <f t="shared" si="16"/>
        <v>-13925.433879898595</v>
      </c>
      <c r="DB22" s="106">
        <f t="shared" si="16"/>
        <v>-13925.433879898595</v>
      </c>
      <c r="DC22" s="106">
        <f t="shared" si="16"/>
        <v>-13925.433879898595</v>
      </c>
      <c r="DD22" s="106">
        <f t="shared" si="16"/>
        <v>-13925.433879898595</v>
      </c>
      <c r="DE22" s="106">
        <f t="shared" si="16"/>
        <v>-13925.433879898595</v>
      </c>
      <c r="DF22" s="106">
        <f t="shared" si="16"/>
        <v>-13925.433879898595</v>
      </c>
      <c r="DG22" s="106">
        <f t="shared" si="16"/>
        <v>-13925.433879898595</v>
      </c>
      <c r="DH22" s="106">
        <f t="shared" si="16"/>
        <v>-13925.433879898595</v>
      </c>
      <c r="DI22" s="108">
        <f t="shared" si="16"/>
        <v>-13925.433879898595</v>
      </c>
      <c r="DJ22" s="107">
        <f t="shared" si="16"/>
        <v>-14802.736214332208</v>
      </c>
      <c r="DK22" s="106">
        <f t="shared" si="16"/>
        <v>-14802.736214332208</v>
      </c>
      <c r="DL22" s="106">
        <f t="shared" si="16"/>
        <v>-14802.736214332208</v>
      </c>
      <c r="DM22" s="106">
        <f t="shared" si="16"/>
        <v>-14802.736214332208</v>
      </c>
      <c r="DN22" s="106">
        <f t="shared" si="16"/>
        <v>-14802.736214332208</v>
      </c>
      <c r="DO22" s="106">
        <f t="shared" si="16"/>
        <v>-14802.736214332208</v>
      </c>
      <c r="DP22" s="106">
        <f t="shared" si="16"/>
        <v>-14802.736214332208</v>
      </c>
      <c r="DQ22" s="106">
        <f t="shared" si="16"/>
        <v>-14802.736214332208</v>
      </c>
      <c r="DR22" s="106">
        <f t="shared" si="16"/>
        <v>-14802.736214332208</v>
      </c>
      <c r="DS22" s="106">
        <f t="shared" si="16"/>
        <v>-14802.736214332208</v>
      </c>
      <c r="DT22" s="106">
        <f t="shared" si="16"/>
        <v>-14802.736214332208</v>
      </c>
      <c r="DU22" s="108">
        <f t="shared" si="16"/>
        <v>-14802.736214332208</v>
      </c>
    </row>
    <row r="23" spans="1:125" s="2" customFormat="1" ht="18.75" customHeight="1" x14ac:dyDescent="0.25">
      <c r="A23" s="244"/>
      <c r="B23" s="271" t="s">
        <v>591</v>
      </c>
      <c r="C23" s="271" t="s">
        <v>213</v>
      </c>
      <c r="D23" s="271">
        <f>SUM('8. Vehicles'!D4:D8)</f>
        <v>5</v>
      </c>
      <c r="E23" s="10">
        <f t="shared" si="13"/>
        <v>-6375</v>
      </c>
      <c r="F23" s="738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97"/>
      <c r="R23" s="107"/>
      <c r="S23" s="107">
        <f t="shared" si="14"/>
        <v>-33883.125</v>
      </c>
      <c r="T23" s="107">
        <f t="shared" si="14"/>
        <v>-33883.125</v>
      </c>
      <c r="U23" s="107">
        <f t="shared" si="14"/>
        <v>-33883.125</v>
      </c>
      <c r="V23" s="107">
        <f t="shared" si="14"/>
        <v>-33883.125</v>
      </c>
      <c r="W23" s="107">
        <f t="shared" si="14"/>
        <v>-33883.125</v>
      </c>
      <c r="X23" s="107">
        <f t="shared" si="14"/>
        <v>-33883.125</v>
      </c>
      <c r="Y23" s="107">
        <f t="shared" si="14"/>
        <v>-33883.125</v>
      </c>
      <c r="Z23" s="107">
        <f t="shared" si="14"/>
        <v>-33883.125</v>
      </c>
      <c r="AA23" s="107">
        <f t="shared" si="14"/>
        <v>-33883.125</v>
      </c>
      <c r="AB23" s="107">
        <f t="shared" si="14"/>
        <v>-33883.125</v>
      </c>
      <c r="AC23" s="739">
        <f t="shared" si="14"/>
        <v>-33883.125</v>
      </c>
      <c r="AD23" s="107">
        <f t="shared" si="15"/>
        <v>-36017.761874999997</v>
      </c>
      <c r="AE23" s="106">
        <f t="shared" si="15"/>
        <v>-36017.761874999997</v>
      </c>
      <c r="AF23" s="106">
        <f t="shared" si="15"/>
        <v>-36017.761874999997</v>
      </c>
      <c r="AG23" s="106">
        <f t="shared" si="15"/>
        <v>-36017.761874999997</v>
      </c>
      <c r="AH23" s="106">
        <f t="shared" si="15"/>
        <v>-36017.761874999997</v>
      </c>
      <c r="AI23" s="106">
        <f t="shared" si="15"/>
        <v>-36017.761874999997</v>
      </c>
      <c r="AJ23" s="106">
        <f t="shared" si="15"/>
        <v>-36017.761874999997</v>
      </c>
      <c r="AK23" s="106">
        <f t="shared" si="15"/>
        <v>-36017.761874999997</v>
      </c>
      <c r="AL23" s="106">
        <f t="shared" si="15"/>
        <v>-36017.761874999997</v>
      </c>
      <c r="AM23" s="106">
        <f t="shared" si="15"/>
        <v>-36017.761874999997</v>
      </c>
      <c r="AN23" s="106">
        <f t="shared" si="15"/>
        <v>-36017.761874999997</v>
      </c>
      <c r="AO23" s="108">
        <f t="shared" si="15"/>
        <v>-36017.761874999997</v>
      </c>
      <c r="AP23" s="107">
        <f t="shared" si="15"/>
        <v>-38286.880873124988</v>
      </c>
      <c r="AQ23" s="106">
        <f t="shared" si="15"/>
        <v>-38286.880873124988</v>
      </c>
      <c r="AR23" s="106">
        <f t="shared" si="15"/>
        <v>-38286.880873124988</v>
      </c>
      <c r="AS23" s="106">
        <f t="shared" si="15"/>
        <v>-38286.880873124988</v>
      </c>
      <c r="AT23" s="106">
        <f t="shared" si="15"/>
        <v>-38286.880873124988</v>
      </c>
      <c r="AU23" s="106">
        <f t="shared" si="15"/>
        <v>-38286.880873124988</v>
      </c>
      <c r="AV23" s="106">
        <f t="shared" si="15"/>
        <v>-38286.880873124988</v>
      </c>
      <c r="AW23" s="106">
        <f t="shared" si="15"/>
        <v>-38286.880873124988</v>
      </c>
      <c r="AX23" s="106">
        <f t="shared" si="15"/>
        <v>-38286.880873124988</v>
      </c>
      <c r="AY23" s="106">
        <f t="shared" si="15"/>
        <v>-38286.880873124988</v>
      </c>
      <c r="AZ23" s="106">
        <f t="shared" si="15"/>
        <v>-38286.880873124988</v>
      </c>
      <c r="BA23" s="108">
        <f t="shared" si="15"/>
        <v>-38286.880873124988</v>
      </c>
      <c r="BB23" s="107">
        <f t="shared" si="15"/>
        <v>-40698.954368131861</v>
      </c>
      <c r="BC23" s="106">
        <f t="shared" si="15"/>
        <v>-40698.954368131861</v>
      </c>
      <c r="BD23" s="106">
        <f t="shared" si="15"/>
        <v>-40698.954368131861</v>
      </c>
      <c r="BE23" s="106">
        <f t="shared" si="15"/>
        <v>-40698.954368131861</v>
      </c>
      <c r="BF23" s="106">
        <f t="shared" si="15"/>
        <v>-40698.954368131861</v>
      </c>
      <c r="BG23" s="106">
        <f t="shared" si="15"/>
        <v>-40698.954368131861</v>
      </c>
      <c r="BH23" s="106">
        <f t="shared" si="15"/>
        <v>-40698.954368131861</v>
      </c>
      <c r="BI23" s="106">
        <f t="shared" si="15"/>
        <v>-40698.954368131861</v>
      </c>
      <c r="BJ23" s="106">
        <f t="shared" si="15"/>
        <v>-40698.954368131861</v>
      </c>
      <c r="BK23" s="106">
        <f t="shared" si="15"/>
        <v>-40698.954368131861</v>
      </c>
      <c r="BL23" s="106">
        <f t="shared" si="15"/>
        <v>-40698.954368131861</v>
      </c>
      <c r="BM23" s="108">
        <f t="shared" si="15"/>
        <v>-40698.954368131861</v>
      </c>
      <c r="BN23" s="107">
        <f t="shared" si="15"/>
        <v>-43262.988493324163</v>
      </c>
      <c r="BO23" s="106">
        <f t="shared" si="15"/>
        <v>-43262.988493324163</v>
      </c>
      <c r="BP23" s="106">
        <f t="shared" si="15"/>
        <v>-43262.988493324163</v>
      </c>
      <c r="BQ23" s="106">
        <f t="shared" si="15"/>
        <v>-43262.988493324163</v>
      </c>
      <c r="BR23" s="106">
        <f t="shared" si="15"/>
        <v>-43262.988493324163</v>
      </c>
      <c r="BS23" s="106">
        <f t="shared" si="15"/>
        <v>-43262.988493324163</v>
      </c>
      <c r="BT23" s="106">
        <f t="shared" si="15"/>
        <v>-43262.988493324163</v>
      </c>
      <c r="BU23" s="106">
        <f t="shared" si="15"/>
        <v>-43262.988493324163</v>
      </c>
      <c r="BV23" s="106">
        <f t="shared" si="15"/>
        <v>-43262.988493324163</v>
      </c>
      <c r="BW23" s="106">
        <f t="shared" si="15"/>
        <v>-43262.988493324163</v>
      </c>
      <c r="BX23" s="106">
        <f t="shared" si="15"/>
        <v>-43262.988493324163</v>
      </c>
      <c r="BY23" s="108">
        <f t="shared" si="15"/>
        <v>-43262.988493324163</v>
      </c>
      <c r="BZ23" s="107">
        <f t="shared" si="15"/>
        <v>-45988.556768403585</v>
      </c>
      <c r="CA23" s="106">
        <f t="shared" si="15"/>
        <v>-45988.556768403585</v>
      </c>
      <c r="CB23" s="106">
        <f t="shared" si="15"/>
        <v>-45988.556768403585</v>
      </c>
      <c r="CC23" s="106">
        <f t="shared" si="15"/>
        <v>-45988.556768403585</v>
      </c>
      <c r="CD23" s="106">
        <f t="shared" ref="CD23:DU24" si="17">$E23*$D23*CD$5</f>
        <v>-45988.556768403585</v>
      </c>
      <c r="CE23" s="106">
        <f t="shared" si="17"/>
        <v>-45988.556768403585</v>
      </c>
      <c r="CF23" s="106">
        <f t="shared" si="17"/>
        <v>-45988.556768403585</v>
      </c>
      <c r="CG23" s="106">
        <f t="shared" si="17"/>
        <v>-45988.556768403585</v>
      </c>
      <c r="CH23" s="106">
        <f t="shared" si="17"/>
        <v>-45988.556768403585</v>
      </c>
      <c r="CI23" s="106">
        <f t="shared" si="17"/>
        <v>-45988.556768403585</v>
      </c>
      <c r="CJ23" s="106">
        <f t="shared" si="17"/>
        <v>-45988.556768403585</v>
      </c>
      <c r="CK23" s="108">
        <f t="shared" si="17"/>
        <v>-45988.556768403585</v>
      </c>
      <c r="CL23" s="107">
        <f t="shared" si="17"/>
        <v>-48885.835844813009</v>
      </c>
      <c r="CM23" s="106">
        <f t="shared" si="17"/>
        <v>-48885.835844813009</v>
      </c>
      <c r="CN23" s="106">
        <f t="shared" si="17"/>
        <v>-48885.835844813009</v>
      </c>
      <c r="CO23" s="106">
        <f t="shared" si="17"/>
        <v>-48885.835844813009</v>
      </c>
      <c r="CP23" s="106">
        <f t="shared" si="17"/>
        <v>-48885.835844813009</v>
      </c>
      <c r="CQ23" s="106">
        <f t="shared" si="17"/>
        <v>-48885.835844813009</v>
      </c>
      <c r="CR23" s="106">
        <f t="shared" si="17"/>
        <v>-48885.835844813009</v>
      </c>
      <c r="CS23" s="106">
        <f t="shared" si="17"/>
        <v>-48885.835844813009</v>
      </c>
      <c r="CT23" s="106">
        <f t="shared" si="17"/>
        <v>-48885.835844813009</v>
      </c>
      <c r="CU23" s="106">
        <f t="shared" si="17"/>
        <v>-48885.835844813009</v>
      </c>
      <c r="CV23" s="106">
        <f t="shared" si="17"/>
        <v>-48885.835844813009</v>
      </c>
      <c r="CW23" s="108">
        <f t="shared" si="17"/>
        <v>-48885.835844813009</v>
      </c>
      <c r="CX23" s="107">
        <f t="shared" si="17"/>
        <v>-51965.643503036226</v>
      </c>
      <c r="CY23" s="106">
        <f t="shared" si="17"/>
        <v>-51965.643503036226</v>
      </c>
      <c r="CZ23" s="106">
        <f t="shared" si="17"/>
        <v>-51965.643503036226</v>
      </c>
      <c r="DA23" s="106">
        <f t="shared" si="17"/>
        <v>-51965.643503036226</v>
      </c>
      <c r="DB23" s="106">
        <f t="shared" si="17"/>
        <v>-51965.643503036226</v>
      </c>
      <c r="DC23" s="106">
        <f t="shared" si="17"/>
        <v>-51965.643503036226</v>
      </c>
      <c r="DD23" s="106">
        <f t="shared" si="17"/>
        <v>-51965.643503036226</v>
      </c>
      <c r="DE23" s="106">
        <f t="shared" si="17"/>
        <v>-51965.643503036226</v>
      </c>
      <c r="DF23" s="106">
        <f t="shared" si="17"/>
        <v>-51965.643503036226</v>
      </c>
      <c r="DG23" s="106">
        <f t="shared" si="17"/>
        <v>-51965.643503036226</v>
      </c>
      <c r="DH23" s="106">
        <f t="shared" si="17"/>
        <v>-51965.643503036226</v>
      </c>
      <c r="DI23" s="108">
        <f t="shared" si="17"/>
        <v>-51965.643503036226</v>
      </c>
      <c r="DJ23" s="107">
        <f t="shared" si="17"/>
        <v>-55239.479043727508</v>
      </c>
      <c r="DK23" s="106">
        <f t="shared" si="17"/>
        <v>-55239.479043727508</v>
      </c>
      <c r="DL23" s="106">
        <f t="shared" si="17"/>
        <v>-55239.479043727508</v>
      </c>
      <c r="DM23" s="106">
        <f t="shared" si="17"/>
        <v>-55239.479043727508</v>
      </c>
      <c r="DN23" s="106">
        <f t="shared" si="17"/>
        <v>-55239.479043727508</v>
      </c>
      <c r="DO23" s="106">
        <f t="shared" si="17"/>
        <v>-55239.479043727508</v>
      </c>
      <c r="DP23" s="106">
        <f t="shared" si="17"/>
        <v>-55239.479043727508</v>
      </c>
      <c r="DQ23" s="106">
        <f t="shared" si="17"/>
        <v>-55239.479043727508</v>
      </c>
      <c r="DR23" s="106">
        <f t="shared" si="17"/>
        <v>-55239.479043727508</v>
      </c>
      <c r="DS23" s="106">
        <f t="shared" si="17"/>
        <v>-55239.479043727508</v>
      </c>
      <c r="DT23" s="106">
        <f t="shared" si="17"/>
        <v>-55239.479043727508</v>
      </c>
      <c r="DU23" s="108">
        <f t="shared" si="17"/>
        <v>-55239.479043727508</v>
      </c>
    </row>
    <row r="24" spans="1:125" s="2" customFormat="1" ht="18.75" customHeight="1" x14ac:dyDescent="0.3">
      <c r="A24" s="243"/>
      <c r="B24" s="271" t="s">
        <v>208</v>
      </c>
      <c r="C24" s="271" t="s">
        <v>213</v>
      </c>
      <c r="D24" s="271">
        <f>_xlfn.CEILING.MATH(D25/7,1)</f>
        <v>4</v>
      </c>
      <c r="E24" s="10">
        <f t="shared" si="13"/>
        <v>-6375</v>
      </c>
      <c r="F24" s="738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97"/>
      <c r="R24" s="107"/>
      <c r="S24" s="107">
        <f t="shared" si="14"/>
        <v>-27106.5</v>
      </c>
      <c r="T24" s="107">
        <f t="shared" si="14"/>
        <v>-27106.5</v>
      </c>
      <c r="U24" s="107">
        <f t="shared" si="14"/>
        <v>-27106.5</v>
      </c>
      <c r="V24" s="107">
        <f t="shared" si="14"/>
        <v>-27106.5</v>
      </c>
      <c r="W24" s="107">
        <f t="shared" si="14"/>
        <v>-27106.5</v>
      </c>
      <c r="X24" s="107">
        <f t="shared" si="14"/>
        <v>-27106.5</v>
      </c>
      <c r="Y24" s="107">
        <f t="shared" si="14"/>
        <v>-27106.5</v>
      </c>
      <c r="Z24" s="107">
        <f t="shared" si="14"/>
        <v>-27106.5</v>
      </c>
      <c r="AA24" s="107">
        <f t="shared" si="14"/>
        <v>-27106.5</v>
      </c>
      <c r="AB24" s="107">
        <f t="shared" si="14"/>
        <v>-27106.5</v>
      </c>
      <c r="AC24" s="739">
        <f t="shared" si="14"/>
        <v>-27106.5</v>
      </c>
      <c r="AD24" s="107">
        <f t="shared" ref="AD24:CD24" si="18">$E24*$D24*AD$5</f>
        <v>-28814.209499999994</v>
      </c>
      <c r="AE24" s="106">
        <f t="shared" si="18"/>
        <v>-28814.209499999994</v>
      </c>
      <c r="AF24" s="106">
        <f t="shared" si="18"/>
        <v>-28814.209499999994</v>
      </c>
      <c r="AG24" s="106">
        <f t="shared" si="18"/>
        <v>-28814.209499999994</v>
      </c>
      <c r="AH24" s="106">
        <f t="shared" si="18"/>
        <v>-28814.209499999994</v>
      </c>
      <c r="AI24" s="106">
        <f t="shared" si="18"/>
        <v>-28814.209499999994</v>
      </c>
      <c r="AJ24" s="106">
        <f t="shared" si="18"/>
        <v>-28814.209499999994</v>
      </c>
      <c r="AK24" s="106">
        <f t="shared" si="18"/>
        <v>-28814.209499999994</v>
      </c>
      <c r="AL24" s="106">
        <f t="shared" si="18"/>
        <v>-28814.209499999994</v>
      </c>
      <c r="AM24" s="106">
        <f t="shared" si="18"/>
        <v>-28814.209499999994</v>
      </c>
      <c r="AN24" s="106">
        <f t="shared" si="18"/>
        <v>-28814.209499999994</v>
      </c>
      <c r="AO24" s="108">
        <f t="shared" si="18"/>
        <v>-28814.209499999994</v>
      </c>
      <c r="AP24" s="107">
        <f t="shared" si="18"/>
        <v>-30629.504698499994</v>
      </c>
      <c r="AQ24" s="106">
        <f t="shared" si="18"/>
        <v>-30629.504698499994</v>
      </c>
      <c r="AR24" s="106">
        <f t="shared" si="18"/>
        <v>-30629.504698499994</v>
      </c>
      <c r="AS24" s="106">
        <f t="shared" si="18"/>
        <v>-30629.504698499994</v>
      </c>
      <c r="AT24" s="106">
        <f t="shared" si="18"/>
        <v>-30629.504698499994</v>
      </c>
      <c r="AU24" s="106">
        <f t="shared" si="18"/>
        <v>-30629.504698499994</v>
      </c>
      <c r="AV24" s="106">
        <f t="shared" si="18"/>
        <v>-30629.504698499994</v>
      </c>
      <c r="AW24" s="106">
        <f t="shared" si="18"/>
        <v>-30629.504698499994</v>
      </c>
      <c r="AX24" s="106">
        <f t="shared" si="18"/>
        <v>-30629.504698499994</v>
      </c>
      <c r="AY24" s="106">
        <f t="shared" si="18"/>
        <v>-30629.504698499994</v>
      </c>
      <c r="AZ24" s="106">
        <f t="shared" si="18"/>
        <v>-30629.504698499994</v>
      </c>
      <c r="BA24" s="108">
        <f t="shared" si="18"/>
        <v>-30629.504698499994</v>
      </c>
      <c r="BB24" s="107">
        <f t="shared" si="18"/>
        <v>-32559.16349450549</v>
      </c>
      <c r="BC24" s="106">
        <f t="shared" si="18"/>
        <v>-32559.16349450549</v>
      </c>
      <c r="BD24" s="106">
        <f t="shared" si="18"/>
        <v>-32559.16349450549</v>
      </c>
      <c r="BE24" s="106">
        <f t="shared" si="18"/>
        <v>-32559.16349450549</v>
      </c>
      <c r="BF24" s="106">
        <f t="shared" si="18"/>
        <v>-32559.16349450549</v>
      </c>
      <c r="BG24" s="106">
        <f t="shared" si="18"/>
        <v>-32559.16349450549</v>
      </c>
      <c r="BH24" s="106">
        <f t="shared" si="18"/>
        <v>-32559.16349450549</v>
      </c>
      <c r="BI24" s="106">
        <f t="shared" si="18"/>
        <v>-32559.16349450549</v>
      </c>
      <c r="BJ24" s="106">
        <f t="shared" si="18"/>
        <v>-32559.16349450549</v>
      </c>
      <c r="BK24" s="106">
        <f t="shared" si="18"/>
        <v>-32559.16349450549</v>
      </c>
      <c r="BL24" s="106">
        <f t="shared" si="18"/>
        <v>-32559.16349450549</v>
      </c>
      <c r="BM24" s="108">
        <f t="shared" si="18"/>
        <v>-32559.16349450549</v>
      </c>
      <c r="BN24" s="107">
        <f t="shared" si="18"/>
        <v>-34610.390794659332</v>
      </c>
      <c r="BO24" s="106">
        <f t="shared" si="18"/>
        <v>-34610.390794659332</v>
      </c>
      <c r="BP24" s="106">
        <f t="shared" si="18"/>
        <v>-34610.390794659332</v>
      </c>
      <c r="BQ24" s="106">
        <f t="shared" si="18"/>
        <v>-34610.390794659332</v>
      </c>
      <c r="BR24" s="106">
        <f t="shared" si="18"/>
        <v>-34610.390794659332</v>
      </c>
      <c r="BS24" s="106">
        <f t="shared" si="18"/>
        <v>-34610.390794659332</v>
      </c>
      <c r="BT24" s="106">
        <f t="shared" si="18"/>
        <v>-34610.390794659332</v>
      </c>
      <c r="BU24" s="106">
        <f t="shared" si="18"/>
        <v>-34610.390794659332</v>
      </c>
      <c r="BV24" s="106">
        <f t="shared" si="18"/>
        <v>-34610.390794659332</v>
      </c>
      <c r="BW24" s="106">
        <f t="shared" si="18"/>
        <v>-34610.390794659332</v>
      </c>
      <c r="BX24" s="106">
        <f t="shared" si="18"/>
        <v>-34610.390794659332</v>
      </c>
      <c r="BY24" s="108">
        <f t="shared" si="18"/>
        <v>-34610.390794659332</v>
      </c>
      <c r="BZ24" s="107">
        <f t="shared" si="18"/>
        <v>-36790.845414722869</v>
      </c>
      <c r="CA24" s="106">
        <f t="shared" si="18"/>
        <v>-36790.845414722869</v>
      </c>
      <c r="CB24" s="106">
        <f t="shared" si="18"/>
        <v>-36790.845414722869</v>
      </c>
      <c r="CC24" s="106">
        <f t="shared" si="18"/>
        <v>-36790.845414722869</v>
      </c>
      <c r="CD24" s="106">
        <f t="shared" si="18"/>
        <v>-36790.845414722869</v>
      </c>
      <c r="CE24" s="106">
        <f t="shared" si="17"/>
        <v>-36790.845414722869</v>
      </c>
      <c r="CF24" s="106">
        <f t="shared" si="17"/>
        <v>-36790.845414722869</v>
      </c>
      <c r="CG24" s="106">
        <f t="shared" si="17"/>
        <v>-36790.845414722869</v>
      </c>
      <c r="CH24" s="106">
        <f t="shared" si="17"/>
        <v>-36790.845414722869</v>
      </c>
      <c r="CI24" s="106">
        <f t="shared" si="17"/>
        <v>-36790.845414722869</v>
      </c>
      <c r="CJ24" s="106">
        <f t="shared" si="17"/>
        <v>-36790.845414722869</v>
      </c>
      <c r="CK24" s="108">
        <f t="shared" si="17"/>
        <v>-36790.845414722869</v>
      </c>
      <c r="CL24" s="107">
        <f t="shared" si="17"/>
        <v>-39108.668675850407</v>
      </c>
      <c r="CM24" s="106">
        <f t="shared" si="17"/>
        <v>-39108.668675850407</v>
      </c>
      <c r="CN24" s="106">
        <f t="shared" si="17"/>
        <v>-39108.668675850407</v>
      </c>
      <c r="CO24" s="106">
        <f t="shared" si="17"/>
        <v>-39108.668675850407</v>
      </c>
      <c r="CP24" s="106">
        <f t="shared" si="17"/>
        <v>-39108.668675850407</v>
      </c>
      <c r="CQ24" s="106">
        <f t="shared" si="17"/>
        <v>-39108.668675850407</v>
      </c>
      <c r="CR24" s="106">
        <f t="shared" si="17"/>
        <v>-39108.668675850407</v>
      </c>
      <c r="CS24" s="106">
        <f t="shared" si="17"/>
        <v>-39108.668675850407</v>
      </c>
      <c r="CT24" s="106">
        <f t="shared" si="17"/>
        <v>-39108.668675850407</v>
      </c>
      <c r="CU24" s="106">
        <f t="shared" si="17"/>
        <v>-39108.668675850407</v>
      </c>
      <c r="CV24" s="106">
        <f t="shared" si="17"/>
        <v>-39108.668675850407</v>
      </c>
      <c r="CW24" s="108">
        <f t="shared" si="17"/>
        <v>-39108.668675850407</v>
      </c>
      <c r="CX24" s="107">
        <f t="shared" si="17"/>
        <v>-41572.514802428981</v>
      </c>
      <c r="CY24" s="106">
        <f t="shared" si="17"/>
        <v>-41572.514802428981</v>
      </c>
      <c r="CZ24" s="106">
        <f t="shared" si="17"/>
        <v>-41572.514802428981</v>
      </c>
      <c r="DA24" s="106">
        <f t="shared" si="17"/>
        <v>-41572.514802428981</v>
      </c>
      <c r="DB24" s="106">
        <f t="shared" si="17"/>
        <v>-41572.514802428981</v>
      </c>
      <c r="DC24" s="106">
        <f t="shared" si="17"/>
        <v>-41572.514802428981</v>
      </c>
      <c r="DD24" s="106">
        <f t="shared" si="17"/>
        <v>-41572.514802428981</v>
      </c>
      <c r="DE24" s="106">
        <f t="shared" si="17"/>
        <v>-41572.514802428981</v>
      </c>
      <c r="DF24" s="106">
        <f t="shared" si="17"/>
        <v>-41572.514802428981</v>
      </c>
      <c r="DG24" s="106">
        <f t="shared" si="17"/>
        <v>-41572.514802428981</v>
      </c>
      <c r="DH24" s="106">
        <f t="shared" si="17"/>
        <v>-41572.514802428981</v>
      </c>
      <c r="DI24" s="108">
        <f t="shared" si="17"/>
        <v>-41572.514802428981</v>
      </c>
      <c r="DJ24" s="107">
        <f t="shared" si="17"/>
        <v>-44191.583234982005</v>
      </c>
      <c r="DK24" s="106">
        <f t="shared" si="17"/>
        <v>-44191.583234982005</v>
      </c>
      <c r="DL24" s="106">
        <f t="shared" si="17"/>
        <v>-44191.583234982005</v>
      </c>
      <c r="DM24" s="106">
        <f t="shared" si="17"/>
        <v>-44191.583234982005</v>
      </c>
      <c r="DN24" s="106">
        <f t="shared" si="17"/>
        <v>-44191.583234982005</v>
      </c>
      <c r="DO24" s="106">
        <f t="shared" si="17"/>
        <v>-44191.583234982005</v>
      </c>
      <c r="DP24" s="106">
        <f t="shared" si="17"/>
        <v>-44191.583234982005</v>
      </c>
      <c r="DQ24" s="106">
        <f t="shared" si="17"/>
        <v>-44191.583234982005</v>
      </c>
      <c r="DR24" s="106">
        <f t="shared" si="17"/>
        <v>-44191.583234982005</v>
      </c>
      <c r="DS24" s="106">
        <f t="shared" si="17"/>
        <v>-44191.583234982005</v>
      </c>
      <c r="DT24" s="106">
        <f t="shared" si="17"/>
        <v>-44191.583234982005</v>
      </c>
      <c r="DU24" s="108">
        <f t="shared" si="17"/>
        <v>-44191.583234982005</v>
      </c>
    </row>
    <row r="25" spans="1:125" s="2" customFormat="1" ht="18.75" customHeight="1" x14ac:dyDescent="0.25">
      <c r="A25" s="244"/>
      <c r="B25" s="271" t="s">
        <v>209</v>
      </c>
      <c r="C25" s="271" t="s">
        <v>211</v>
      </c>
      <c r="D25" s="271">
        <f>'7. Aquaculture system - Cages'!D5</f>
        <v>22</v>
      </c>
      <c r="E25" s="10">
        <f t="shared" si="13"/>
        <v>-4208.333333333333</v>
      </c>
      <c r="F25" s="738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97"/>
      <c r="R25" s="107"/>
      <c r="S25" s="107">
        <f t="shared" ref="S25:AC25" si="19">$E25*($D25)*S$5</f>
        <v>-98416.083333333328</v>
      </c>
      <c r="T25" s="107">
        <f t="shared" si="19"/>
        <v>-98416.083333333328</v>
      </c>
      <c r="U25" s="107">
        <f t="shared" si="19"/>
        <v>-98416.083333333328</v>
      </c>
      <c r="V25" s="107">
        <f t="shared" si="19"/>
        <v>-98416.083333333328</v>
      </c>
      <c r="W25" s="107">
        <f t="shared" si="19"/>
        <v>-98416.083333333328</v>
      </c>
      <c r="X25" s="107">
        <f t="shared" si="19"/>
        <v>-98416.083333333328</v>
      </c>
      <c r="Y25" s="107">
        <f t="shared" si="19"/>
        <v>-98416.083333333328</v>
      </c>
      <c r="Z25" s="107">
        <f t="shared" si="19"/>
        <v>-98416.083333333328</v>
      </c>
      <c r="AA25" s="107">
        <f t="shared" si="19"/>
        <v>-98416.083333333328</v>
      </c>
      <c r="AB25" s="107">
        <f t="shared" si="19"/>
        <v>-98416.083333333328</v>
      </c>
      <c r="AC25" s="739">
        <f t="shared" si="19"/>
        <v>-98416.083333333328</v>
      </c>
      <c r="AD25" s="107">
        <f>$E25*($D25)*AD$5</f>
        <v>-104616.29658333331</v>
      </c>
      <c r="AE25" s="107">
        <f t="shared" ref="AE25:AO25" si="20">$E25*($D25)*AE$5</f>
        <v>-104616.29658333331</v>
      </c>
      <c r="AF25" s="107">
        <f t="shared" si="20"/>
        <v>-104616.29658333331</v>
      </c>
      <c r="AG25" s="107">
        <f t="shared" si="20"/>
        <v>-104616.29658333331</v>
      </c>
      <c r="AH25" s="107">
        <f t="shared" si="20"/>
        <v>-104616.29658333331</v>
      </c>
      <c r="AI25" s="107">
        <f t="shared" si="20"/>
        <v>-104616.29658333331</v>
      </c>
      <c r="AJ25" s="107">
        <f t="shared" si="20"/>
        <v>-104616.29658333331</v>
      </c>
      <c r="AK25" s="107">
        <f t="shared" si="20"/>
        <v>-104616.29658333331</v>
      </c>
      <c r="AL25" s="107">
        <f t="shared" si="20"/>
        <v>-104616.29658333331</v>
      </c>
      <c r="AM25" s="107">
        <f t="shared" si="20"/>
        <v>-104616.29658333331</v>
      </c>
      <c r="AN25" s="107">
        <f t="shared" si="20"/>
        <v>-104616.29658333331</v>
      </c>
      <c r="AO25" s="739">
        <f t="shared" si="20"/>
        <v>-104616.29658333331</v>
      </c>
      <c r="AP25" s="107">
        <f>$E25*($D25+6)*AP$5</f>
        <v>-141536.3387048333</v>
      </c>
      <c r="AQ25" s="107">
        <f t="shared" ref="AQ25:BA25" si="21">$E25*($D25+6)*AQ$5</f>
        <v>-141536.3387048333</v>
      </c>
      <c r="AR25" s="107">
        <f t="shared" si="21"/>
        <v>-141536.3387048333</v>
      </c>
      <c r="AS25" s="107">
        <f t="shared" si="21"/>
        <v>-141536.3387048333</v>
      </c>
      <c r="AT25" s="107">
        <f t="shared" si="21"/>
        <v>-141536.3387048333</v>
      </c>
      <c r="AU25" s="107">
        <f t="shared" si="21"/>
        <v>-141536.3387048333</v>
      </c>
      <c r="AV25" s="107">
        <f t="shared" si="21"/>
        <v>-141536.3387048333</v>
      </c>
      <c r="AW25" s="107">
        <f t="shared" si="21"/>
        <v>-141536.3387048333</v>
      </c>
      <c r="AX25" s="107">
        <f t="shared" si="21"/>
        <v>-141536.3387048333</v>
      </c>
      <c r="AY25" s="107">
        <f t="shared" si="21"/>
        <v>-141536.3387048333</v>
      </c>
      <c r="AZ25" s="107">
        <f t="shared" si="21"/>
        <v>-141536.3387048333</v>
      </c>
      <c r="BA25" s="739">
        <f t="shared" si="21"/>
        <v>-141536.3387048333</v>
      </c>
      <c r="BB25" s="107">
        <f t="shared" ref="BB25:DB25" si="22">$E25*($D25+12)*BB$5</f>
        <v>-182693.08405250299</v>
      </c>
      <c r="BC25" s="106">
        <f t="shared" si="22"/>
        <v>-182693.08405250299</v>
      </c>
      <c r="BD25" s="106">
        <f t="shared" si="22"/>
        <v>-182693.08405250299</v>
      </c>
      <c r="BE25" s="106">
        <f t="shared" si="22"/>
        <v>-182693.08405250299</v>
      </c>
      <c r="BF25" s="106">
        <f t="shared" si="22"/>
        <v>-182693.08405250299</v>
      </c>
      <c r="BG25" s="106">
        <f t="shared" si="22"/>
        <v>-182693.08405250299</v>
      </c>
      <c r="BH25" s="106">
        <f t="shared" si="22"/>
        <v>-182693.08405250299</v>
      </c>
      <c r="BI25" s="106">
        <f t="shared" si="22"/>
        <v>-182693.08405250299</v>
      </c>
      <c r="BJ25" s="106">
        <f t="shared" si="22"/>
        <v>-182693.08405250299</v>
      </c>
      <c r="BK25" s="106">
        <f t="shared" si="22"/>
        <v>-182693.08405250299</v>
      </c>
      <c r="BL25" s="106">
        <f t="shared" si="22"/>
        <v>-182693.08405250299</v>
      </c>
      <c r="BM25" s="108">
        <f t="shared" si="22"/>
        <v>-182693.08405250299</v>
      </c>
      <c r="BN25" s="107">
        <f t="shared" si="22"/>
        <v>-194202.74834781067</v>
      </c>
      <c r="BO25" s="106">
        <f t="shared" si="22"/>
        <v>-194202.74834781067</v>
      </c>
      <c r="BP25" s="106">
        <f t="shared" si="22"/>
        <v>-194202.74834781067</v>
      </c>
      <c r="BQ25" s="106">
        <f t="shared" si="22"/>
        <v>-194202.74834781067</v>
      </c>
      <c r="BR25" s="106">
        <f t="shared" si="22"/>
        <v>-194202.74834781067</v>
      </c>
      <c r="BS25" s="106">
        <f t="shared" si="22"/>
        <v>-194202.74834781067</v>
      </c>
      <c r="BT25" s="106">
        <f t="shared" si="22"/>
        <v>-194202.74834781067</v>
      </c>
      <c r="BU25" s="106">
        <f t="shared" si="22"/>
        <v>-194202.74834781067</v>
      </c>
      <c r="BV25" s="106">
        <f t="shared" si="22"/>
        <v>-194202.74834781067</v>
      </c>
      <c r="BW25" s="106">
        <f t="shared" si="22"/>
        <v>-194202.74834781067</v>
      </c>
      <c r="BX25" s="106">
        <f t="shared" si="22"/>
        <v>-194202.74834781067</v>
      </c>
      <c r="BY25" s="108">
        <f t="shared" si="22"/>
        <v>-194202.74834781067</v>
      </c>
      <c r="BZ25" s="107">
        <f t="shared" si="22"/>
        <v>-206437.52149372274</v>
      </c>
      <c r="CA25" s="106">
        <f t="shared" si="22"/>
        <v>-206437.52149372274</v>
      </c>
      <c r="CB25" s="106">
        <f t="shared" si="22"/>
        <v>-206437.52149372274</v>
      </c>
      <c r="CC25" s="106">
        <f t="shared" si="22"/>
        <v>-206437.52149372274</v>
      </c>
      <c r="CD25" s="106">
        <f t="shared" si="22"/>
        <v>-206437.52149372274</v>
      </c>
      <c r="CE25" s="106">
        <f t="shared" si="22"/>
        <v>-206437.52149372274</v>
      </c>
      <c r="CF25" s="106">
        <f t="shared" si="22"/>
        <v>-206437.52149372274</v>
      </c>
      <c r="CG25" s="106">
        <f t="shared" si="22"/>
        <v>-206437.52149372274</v>
      </c>
      <c r="CH25" s="106">
        <f t="shared" si="22"/>
        <v>-206437.52149372274</v>
      </c>
      <c r="CI25" s="106">
        <f t="shared" si="22"/>
        <v>-206437.52149372274</v>
      </c>
      <c r="CJ25" s="106">
        <f t="shared" si="22"/>
        <v>-206437.52149372274</v>
      </c>
      <c r="CK25" s="108">
        <f t="shared" si="22"/>
        <v>-206437.52149372274</v>
      </c>
      <c r="CL25" s="107">
        <f t="shared" si="22"/>
        <v>-219443.08534782726</v>
      </c>
      <c r="CM25" s="106">
        <f t="shared" si="22"/>
        <v>-219443.08534782726</v>
      </c>
      <c r="CN25" s="106">
        <f t="shared" si="22"/>
        <v>-219443.08534782726</v>
      </c>
      <c r="CO25" s="106">
        <f t="shared" si="22"/>
        <v>-219443.08534782726</v>
      </c>
      <c r="CP25" s="106">
        <f t="shared" si="22"/>
        <v>-219443.08534782726</v>
      </c>
      <c r="CQ25" s="106">
        <f t="shared" si="22"/>
        <v>-219443.08534782726</v>
      </c>
      <c r="CR25" s="106">
        <f t="shared" si="22"/>
        <v>-219443.08534782726</v>
      </c>
      <c r="CS25" s="106">
        <f t="shared" si="22"/>
        <v>-219443.08534782726</v>
      </c>
      <c r="CT25" s="106">
        <f t="shared" si="22"/>
        <v>-219443.08534782726</v>
      </c>
      <c r="CU25" s="106">
        <f t="shared" si="22"/>
        <v>-219443.08534782726</v>
      </c>
      <c r="CV25" s="106">
        <f t="shared" si="22"/>
        <v>-219443.08534782726</v>
      </c>
      <c r="CW25" s="108">
        <f t="shared" si="22"/>
        <v>-219443.08534782726</v>
      </c>
      <c r="CX25" s="107">
        <f t="shared" si="22"/>
        <v>-233267.99972474037</v>
      </c>
      <c r="CY25" s="106">
        <f t="shared" si="22"/>
        <v>-233267.99972474037</v>
      </c>
      <c r="CZ25" s="106">
        <f t="shared" si="22"/>
        <v>-233267.99972474037</v>
      </c>
      <c r="DA25" s="106">
        <f t="shared" si="22"/>
        <v>-233267.99972474037</v>
      </c>
      <c r="DB25" s="106">
        <f t="shared" si="22"/>
        <v>-233267.99972474037</v>
      </c>
      <c r="DC25" s="106">
        <f t="shared" ref="DC25:DU25" si="23">$E25*($D25+12)*DC$5</f>
        <v>-233267.99972474037</v>
      </c>
      <c r="DD25" s="106">
        <f t="shared" si="23"/>
        <v>-233267.99972474037</v>
      </c>
      <c r="DE25" s="106">
        <f t="shared" si="23"/>
        <v>-233267.99972474037</v>
      </c>
      <c r="DF25" s="106">
        <f t="shared" si="23"/>
        <v>-233267.99972474037</v>
      </c>
      <c r="DG25" s="106">
        <f t="shared" si="23"/>
        <v>-233267.99972474037</v>
      </c>
      <c r="DH25" s="106">
        <f t="shared" si="23"/>
        <v>-233267.99972474037</v>
      </c>
      <c r="DI25" s="108">
        <f t="shared" si="23"/>
        <v>-233267.99972474037</v>
      </c>
      <c r="DJ25" s="107">
        <f t="shared" si="23"/>
        <v>-247963.88370739901</v>
      </c>
      <c r="DK25" s="106">
        <f t="shared" si="23"/>
        <v>-247963.88370739901</v>
      </c>
      <c r="DL25" s="106">
        <f t="shared" si="23"/>
        <v>-247963.88370739901</v>
      </c>
      <c r="DM25" s="106">
        <f t="shared" si="23"/>
        <v>-247963.88370739901</v>
      </c>
      <c r="DN25" s="106">
        <f t="shared" si="23"/>
        <v>-247963.88370739901</v>
      </c>
      <c r="DO25" s="106">
        <f t="shared" si="23"/>
        <v>-247963.88370739901</v>
      </c>
      <c r="DP25" s="106">
        <f t="shared" si="23"/>
        <v>-247963.88370739901</v>
      </c>
      <c r="DQ25" s="106">
        <f t="shared" si="23"/>
        <v>-247963.88370739901</v>
      </c>
      <c r="DR25" s="106">
        <f t="shared" si="23"/>
        <v>-247963.88370739901</v>
      </c>
      <c r="DS25" s="106">
        <f t="shared" si="23"/>
        <v>-247963.88370739901</v>
      </c>
      <c r="DT25" s="106">
        <f t="shared" si="23"/>
        <v>-247963.88370739901</v>
      </c>
      <c r="DU25" s="108">
        <f t="shared" si="23"/>
        <v>-247963.88370739901</v>
      </c>
    </row>
    <row r="26" spans="1:125" s="2" customFormat="1" ht="18.75" customHeight="1" x14ac:dyDescent="0.3">
      <c r="A26" s="243"/>
      <c r="B26" s="272" t="s">
        <v>195</v>
      </c>
      <c r="C26" s="272"/>
      <c r="D26" s="272"/>
      <c r="E26" s="10"/>
      <c r="F26" s="738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12"/>
      <c r="R26" s="107"/>
      <c r="S26" s="837"/>
      <c r="T26" s="837"/>
      <c r="U26" s="837"/>
      <c r="V26" s="837"/>
      <c r="W26" s="837"/>
      <c r="X26" s="837"/>
      <c r="Y26" s="837"/>
      <c r="Z26" s="837"/>
      <c r="AA26" s="837"/>
      <c r="AB26" s="837"/>
      <c r="AC26" s="850"/>
      <c r="AD26" s="837"/>
      <c r="AE26" s="837"/>
      <c r="AF26" s="837"/>
      <c r="AG26" s="837"/>
      <c r="AH26" s="837"/>
      <c r="AI26" s="837"/>
      <c r="AJ26" s="837"/>
      <c r="AK26" s="837"/>
      <c r="AL26" s="837"/>
      <c r="AM26" s="837"/>
      <c r="AN26" s="837"/>
      <c r="AO26" s="850"/>
      <c r="AP26" s="837"/>
      <c r="AQ26" s="837"/>
      <c r="AR26" s="837"/>
      <c r="AS26" s="837"/>
      <c r="AT26" s="837"/>
      <c r="AU26" s="837"/>
      <c r="AV26" s="837"/>
      <c r="AW26" s="837"/>
      <c r="AX26" s="837"/>
      <c r="AY26" s="837"/>
      <c r="AZ26" s="837"/>
      <c r="BA26" s="850"/>
      <c r="BB26" s="837"/>
      <c r="BC26" s="837"/>
      <c r="BD26" s="837"/>
      <c r="BE26" s="837"/>
      <c r="BF26" s="837"/>
      <c r="BG26" s="837"/>
      <c r="BH26" s="837"/>
      <c r="BI26" s="837"/>
      <c r="BJ26" s="837"/>
      <c r="BK26" s="837"/>
      <c r="BL26" s="837"/>
      <c r="BM26" s="850"/>
      <c r="BN26" s="837"/>
      <c r="BO26" s="837"/>
      <c r="BP26" s="837"/>
      <c r="BQ26" s="837"/>
      <c r="BR26" s="837"/>
      <c r="BS26" s="837"/>
      <c r="BT26" s="837"/>
      <c r="BU26" s="837"/>
      <c r="BV26" s="837"/>
      <c r="BW26" s="837"/>
      <c r="BX26" s="837"/>
      <c r="BY26" s="850"/>
      <c r="BZ26" s="837"/>
      <c r="CA26" s="837"/>
      <c r="CB26" s="837"/>
      <c r="CC26" s="837"/>
      <c r="CD26" s="837"/>
      <c r="CE26" s="837"/>
      <c r="CF26" s="837"/>
      <c r="CG26" s="837"/>
      <c r="CH26" s="837"/>
      <c r="CI26" s="837"/>
      <c r="CJ26" s="837"/>
      <c r="CK26" s="850"/>
      <c r="CL26" s="837"/>
      <c r="CM26" s="837"/>
      <c r="CN26" s="837"/>
      <c r="CO26" s="837"/>
      <c r="CP26" s="837"/>
      <c r="CQ26" s="837"/>
      <c r="CR26" s="837"/>
      <c r="CS26" s="837"/>
      <c r="CT26" s="837"/>
      <c r="CU26" s="837"/>
      <c r="CV26" s="837"/>
      <c r="CW26" s="850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594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594"/>
    </row>
    <row r="27" spans="1:125" s="2" customFormat="1" ht="18.75" customHeight="1" x14ac:dyDescent="0.25">
      <c r="A27" s="244"/>
      <c r="B27" s="271" t="s">
        <v>242</v>
      </c>
      <c r="C27" s="271" t="s">
        <v>214</v>
      </c>
      <c r="D27" s="271">
        <v>1</v>
      </c>
      <c r="E27" s="10">
        <f>-VLOOKUP(C27,$C$51:$W$59,8,FALSE)</f>
        <v>-8541.6666666666661</v>
      </c>
      <c r="F27" s="738"/>
      <c r="G27" s="404"/>
      <c r="H27" s="404"/>
      <c r="I27" s="404"/>
      <c r="J27" s="404"/>
      <c r="K27" s="404"/>
      <c r="L27" s="404"/>
      <c r="M27" s="404"/>
      <c r="N27" s="404"/>
      <c r="O27" s="404"/>
      <c r="P27" s="404">
        <f t="shared" ref="P27:Q29" si="24">$E27*$D27*P$5</f>
        <v>-8541.6666666666661</v>
      </c>
      <c r="Q27" s="497">
        <f t="shared" si="24"/>
        <v>-8541.6666666666661</v>
      </c>
      <c r="R27" s="107">
        <f>$E27*$D27*R$5</f>
        <v>-9079.7916666666661</v>
      </c>
      <c r="S27" s="106">
        <f t="shared" ref="S27:CD29" si="25">$E27*$D27*S$5</f>
        <v>-9079.7916666666661</v>
      </c>
      <c r="T27" s="106">
        <f t="shared" si="25"/>
        <v>-9079.7916666666661</v>
      </c>
      <c r="U27" s="106">
        <f t="shared" si="25"/>
        <v>-9079.7916666666661</v>
      </c>
      <c r="V27" s="106">
        <f t="shared" si="25"/>
        <v>-9079.7916666666661</v>
      </c>
      <c r="W27" s="106">
        <f t="shared" si="25"/>
        <v>-9079.7916666666661</v>
      </c>
      <c r="X27" s="106">
        <f t="shared" si="25"/>
        <v>-9079.7916666666661</v>
      </c>
      <c r="Y27" s="106">
        <f t="shared" si="25"/>
        <v>-9079.7916666666661</v>
      </c>
      <c r="Z27" s="106">
        <f t="shared" si="25"/>
        <v>-9079.7916666666661</v>
      </c>
      <c r="AA27" s="106">
        <f t="shared" si="25"/>
        <v>-9079.7916666666661</v>
      </c>
      <c r="AB27" s="106">
        <f t="shared" si="25"/>
        <v>-9079.7916666666661</v>
      </c>
      <c r="AC27" s="108">
        <f t="shared" si="25"/>
        <v>-9079.7916666666661</v>
      </c>
      <c r="AD27" s="107">
        <f t="shared" si="25"/>
        <v>-9651.8185416666638</v>
      </c>
      <c r="AE27" s="106">
        <f t="shared" si="25"/>
        <v>-9651.8185416666638</v>
      </c>
      <c r="AF27" s="106">
        <f t="shared" si="25"/>
        <v>-9651.8185416666638</v>
      </c>
      <c r="AG27" s="106">
        <f t="shared" si="25"/>
        <v>-9651.8185416666638</v>
      </c>
      <c r="AH27" s="106">
        <f t="shared" si="25"/>
        <v>-9651.8185416666638</v>
      </c>
      <c r="AI27" s="106">
        <f t="shared" si="25"/>
        <v>-9651.8185416666638</v>
      </c>
      <c r="AJ27" s="106">
        <f t="shared" si="25"/>
        <v>-9651.8185416666638</v>
      </c>
      <c r="AK27" s="106">
        <f t="shared" si="25"/>
        <v>-9651.8185416666638</v>
      </c>
      <c r="AL27" s="106">
        <f t="shared" si="25"/>
        <v>-9651.8185416666638</v>
      </c>
      <c r="AM27" s="106">
        <f t="shared" si="25"/>
        <v>-9651.8185416666638</v>
      </c>
      <c r="AN27" s="106">
        <f t="shared" si="25"/>
        <v>-9651.8185416666638</v>
      </c>
      <c r="AO27" s="108">
        <f t="shared" si="25"/>
        <v>-9651.8185416666638</v>
      </c>
      <c r="AP27" s="107">
        <f t="shared" si="25"/>
        <v>-10259.883109791663</v>
      </c>
      <c r="AQ27" s="106">
        <f t="shared" si="25"/>
        <v>-10259.883109791663</v>
      </c>
      <c r="AR27" s="106">
        <f t="shared" si="25"/>
        <v>-10259.883109791663</v>
      </c>
      <c r="AS27" s="106">
        <f t="shared" si="25"/>
        <v>-10259.883109791663</v>
      </c>
      <c r="AT27" s="106">
        <f t="shared" si="25"/>
        <v>-10259.883109791663</v>
      </c>
      <c r="AU27" s="106">
        <f t="shared" si="25"/>
        <v>-10259.883109791663</v>
      </c>
      <c r="AV27" s="106">
        <f t="shared" si="25"/>
        <v>-10259.883109791663</v>
      </c>
      <c r="AW27" s="106">
        <f t="shared" si="25"/>
        <v>-10259.883109791663</v>
      </c>
      <c r="AX27" s="106">
        <f t="shared" si="25"/>
        <v>-10259.883109791663</v>
      </c>
      <c r="AY27" s="106">
        <f t="shared" si="25"/>
        <v>-10259.883109791663</v>
      </c>
      <c r="AZ27" s="106">
        <f t="shared" si="25"/>
        <v>-10259.883109791663</v>
      </c>
      <c r="BA27" s="108">
        <f t="shared" si="25"/>
        <v>-10259.883109791663</v>
      </c>
      <c r="BB27" s="107">
        <f t="shared" si="25"/>
        <v>-10906.255745708537</v>
      </c>
      <c r="BC27" s="106">
        <f t="shared" si="25"/>
        <v>-10906.255745708537</v>
      </c>
      <c r="BD27" s="106">
        <f t="shared" si="25"/>
        <v>-10906.255745708537</v>
      </c>
      <c r="BE27" s="106">
        <f t="shared" si="25"/>
        <v>-10906.255745708537</v>
      </c>
      <c r="BF27" s="106">
        <f t="shared" si="25"/>
        <v>-10906.255745708537</v>
      </c>
      <c r="BG27" s="106">
        <f t="shared" si="25"/>
        <v>-10906.255745708537</v>
      </c>
      <c r="BH27" s="106">
        <f t="shared" si="25"/>
        <v>-10906.255745708537</v>
      </c>
      <c r="BI27" s="106">
        <f t="shared" si="25"/>
        <v>-10906.255745708537</v>
      </c>
      <c r="BJ27" s="106">
        <f t="shared" si="25"/>
        <v>-10906.255745708537</v>
      </c>
      <c r="BK27" s="106">
        <f t="shared" si="25"/>
        <v>-10906.255745708537</v>
      </c>
      <c r="BL27" s="106">
        <f t="shared" si="25"/>
        <v>-10906.255745708537</v>
      </c>
      <c r="BM27" s="108">
        <f t="shared" si="25"/>
        <v>-10906.255745708537</v>
      </c>
      <c r="BN27" s="107">
        <f t="shared" si="25"/>
        <v>-11593.349857688174</v>
      </c>
      <c r="BO27" s="106">
        <f t="shared" si="25"/>
        <v>-11593.349857688174</v>
      </c>
      <c r="BP27" s="106">
        <f t="shared" si="25"/>
        <v>-11593.349857688174</v>
      </c>
      <c r="BQ27" s="106">
        <f t="shared" si="25"/>
        <v>-11593.349857688174</v>
      </c>
      <c r="BR27" s="106">
        <f t="shared" si="25"/>
        <v>-11593.349857688174</v>
      </c>
      <c r="BS27" s="106">
        <f t="shared" si="25"/>
        <v>-11593.349857688174</v>
      </c>
      <c r="BT27" s="106">
        <f t="shared" si="25"/>
        <v>-11593.349857688174</v>
      </c>
      <c r="BU27" s="106">
        <f t="shared" si="25"/>
        <v>-11593.349857688174</v>
      </c>
      <c r="BV27" s="106">
        <f t="shared" si="25"/>
        <v>-11593.349857688174</v>
      </c>
      <c r="BW27" s="106">
        <f t="shared" si="25"/>
        <v>-11593.349857688174</v>
      </c>
      <c r="BX27" s="106">
        <f t="shared" si="25"/>
        <v>-11593.349857688174</v>
      </c>
      <c r="BY27" s="108">
        <f t="shared" si="25"/>
        <v>-11593.349857688174</v>
      </c>
      <c r="BZ27" s="107">
        <f t="shared" si="25"/>
        <v>-12323.73089872253</v>
      </c>
      <c r="CA27" s="106">
        <f t="shared" si="25"/>
        <v>-12323.73089872253</v>
      </c>
      <c r="CB27" s="106">
        <f t="shared" si="25"/>
        <v>-12323.73089872253</v>
      </c>
      <c r="CC27" s="106">
        <f t="shared" si="25"/>
        <v>-12323.73089872253</v>
      </c>
      <c r="CD27" s="106">
        <f t="shared" si="25"/>
        <v>-12323.73089872253</v>
      </c>
      <c r="CE27" s="106">
        <f t="shared" ref="CE27:DU29" si="26">$E27*$D27*CE$5</f>
        <v>-12323.73089872253</v>
      </c>
      <c r="CF27" s="106">
        <f t="shared" si="26"/>
        <v>-12323.73089872253</v>
      </c>
      <c r="CG27" s="106">
        <f t="shared" si="26"/>
        <v>-12323.73089872253</v>
      </c>
      <c r="CH27" s="106">
        <f t="shared" si="26"/>
        <v>-12323.73089872253</v>
      </c>
      <c r="CI27" s="106">
        <f t="shared" si="26"/>
        <v>-12323.73089872253</v>
      </c>
      <c r="CJ27" s="106">
        <f t="shared" si="26"/>
        <v>-12323.73089872253</v>
      </c>
      <c r="CK27" s="108">
        <f t="shared" si="26"/>
        <v>-12323.73089872253</v>
      </c>
      <c r="CL27" s="107">
        <f t="shared" si="26"/>
        <v>-13100.125945342048</v>
      </c>
      <c r="CM27" s="106">
        <f t="shared" si="26"/>
        <v>-13100.125945342048</v>
      </c>
      <c r="CN27" s="106">
        <f t="shared" si="26"/>
        <v>-13100.125945342048</v>
      </c>
      <c r="CO27" s="106">
        <f t="shared" si="26"/>
        <v>-13100.125945342048</v>
      </c>
      <c r="CP27" s="106">
        <f t="shared" si="26"/>
        <v>-13100.125945342048</v>
      </c>
      <c r="CQ27" s="106">
        <f t="shared" si="26"/>
        <v>-13100.125945342048</v>
      </c>
      <c r="CR27" s="106">
        <f t="shared" si="26"/>
        <v>-13100.125945342048</v>
      </c>
      <c r="CS27" s="106">
        <f t="shared" si="26"/>
        <v>-13100.125945342048</v>
      </c>
      <c r="CT27" s="106">
        <f t="shared" si="26"/>
        <v>-13100.125945342048</v>
      </c>
      <c r="CU27" s="106">
        <f t="shared" si="26"/>
        <v>-13100.125945342048</v>
      </c>
      <c r="CV27" s="106">
        <f t="shared" si="26"/>
        <v>-13100.125945342048</v>
      </c>
      <c r="CW27" s="108">
        <f t="shared" si="26"/>
        <v>-13100.125945342048</v>
      </c>
      <c r="CX27" s="107">
        <f t="shared" si="26"/>
        <v>-13925.433879898595</v>
      </c>
      <c r="CY27" s="106">
        <f t="shared" si="26"/>
        <v>-13925.433879898595</v>
      </c>
      <c r="CZ27" s="106">
        <f t="shared" si="26"/>
        <v>-13925.433879898595</v>
      </c>
      <c r="DA27" s="106">
        <f t="shared" si="26"/>
        <v>-13925.433879898595</v>
      </c>
      <c r="DB27" s="106">
        <f t="shared" si="26"/>
        <v>-13925.433879898595</v>
      </c>
      <c r="DC27" s="106">
        <f t="shared" si="26"/>
        <v>-13925.433879898595</v>
      </c>
      <c r="DD27" s="106">
        <f t="shared" si="26"/>
        <v>-13925.433879898595</v>
      </c>
      <c r="DE27" s="106">
        <f t="shared" si="26"/>
        <v>-13925.433879898595</v>
      </c>
      <c r="DF27" s="106">
        <f t="shared" si="26"/>
        <v>-13925.433879898595</v>
      </c>
      <c r="DG27" s="106">
        <f t="shared" si="26"/>
        <v>-13925.433879898595</v>
      </c>
      <c r="DH27" s="106">
        <f t="shared" si="26"/>
        <v>-13925.433879898595</v>
      </c>
      <c r="DI27" s="108">
        <f t="shared" si="26"/>
        <v>-13925.433879898595</v>
      </c>
      <c r="DJ27" s="107">
        <f t="shared" si="26"/>
        <v>-14802.736214332208</v>
      </c>
      <c r="DK27" s="106">
        <f t="shared" si="26"/>
        <v>-14802.736214332208</v>
      </c>
      <c r="DL27" s="106">
        <f t="shared" si="26"/>
        <v>-14802.736214332208</v>
      </c>
      <c r="DM27" s="106">
        <f t="shared" si="26"/>
        <v>-14802.736214332208</v>
      </c>
      <c r="DN27" s="106">
        <f t="shared" si="26"/>
        <v>-14802.736214332208</v>
      </c>
      <c r="DO27" s="106">
        <f t="shared" si="26"/>
        <v>-14802.736214332208</v>
      </c>
      <c r="DP27" s="106">
        <f t="shared" si="26"/>
        <v>-14802.736214332208</v>
      </c>
      <c r="DQ27" s="106">
        <f t="shared" si="26"/>
        <v>-14802.736214332208</v>
      </c>
      <c r="DR27" s="106">
        <f t="shared" si="26"/>
        <v>-14802.736214332208</v>
      </c>
      <c r="DS27" s="106">
        <f t="shared" si="26"/>
        <v>-14802.736214332208</v>
      </c>
      <c r="DT27" s="106">
        <f t="shared" si="26"/>
        <v>-14802.736214332208</v>
      </c>
      <c r="DU27" s="108">
        <f t="shared" si="26"/>
        <v>-14802.736214332208</v>
      </c>
    </row>
    <row r="28" spans="1:125" s="2" customFormat="1" ht="18.75" customHeight="1" x14ac:dyDescent="0.3">
      <c r="A28" s="243"/>
      <c r="B28" s="271" t="s">
        <v>208</v>
      </c>
      <c r="C28" s="271" t="s">
        <v>213</v>
      </c>
      <c r="D28" s="271">
        <f>_xlfn.CEILING.MATH(D29/7,1)</f>
        <v>1</v>
      </c>
      <c r="E28" s="10">
        <f>-VLOOKUP(C28,$C$51:$W$59,8,FALSE)</f>
        <v>-6375</v>
      </c>
      <c r="F28" s="738"/>
      <c r="G28" s="404"/>
      <c r="H28" s="404"/>
      <c r="I28" s="404"/>
      <c r="J28" s="404"/>
      <c r="K28" s="404"/>
      <c r="L28" s="404"/>
      <c r="M28" s="404"/>
      <c r="N28" s="404"/>
      <c r="O28" s="404"/>
      <c r="P28" s="404">
        <f t="shared" si="24"/>
        <v>-6375</v>
      </c>
      <c r="Q28" s="497">
        <f t="shared" si="24"/>
        <v>-6375</v>
      </c>
      <c r="R28" s="107">
        <f>$E28*$D28*R$5</f>
        <v>-6776.625</v>
      </c>
      <c r="S28" s="106">
        <f t="shared" si="25"/>
        <v>-6776.625</v>
      </c>
      <c r="T28" s="106">
        <f t="shared" si="25"/>
        <v>-6776.625</v>
      </c>
      <c r="U28" s="106">
        <f t="shared" si="25"/>
        <v>-6776.625</v>
      </c>
      <c r="V28" s="106">
        <f t="shared" si="25"/>
        <v>-6776.625</v>
      </c>
      <c r="W28" s="106">
        <f t="shared" si="25"/>
        <v>-6776.625</v>
      </c>
      <c r="X28" s="106">
        <f t="shared" si="25"/>
        <v>-6776.625</v>
      </c>
      <c r="Y28" s="106">
        <f t="shared" si="25"/>
        <v>-6776.625</v>
      </c>
      <c r="Z28" s="106">
        <f t="shared" si="25"/>
        <v>-6776.625</v>
      </c>
      <c r="AA28" s="106">
        <f t="shared" si="25"/>
        <v>-6776.625</v>
      </c>
      <c r="AB28" s="106">
        <f t="shared" si="25"/>
        <v>-6776.625</v>
      </c>
      <c r="AC28" s="108">
        <f t="shared" si="25"/>
        <v>-6776.625</v>
      </c>
      <c r="AD28" s="107">
        <f t="shared" si="25"/>
        <v>-7203.5523749999984</v>
      </c>
      <c r="AE28" s="106">
        <f t="shared" si="25"/>
        <v>-7203.5523749999984</v>
      </c>
      <c r="AF28" s="106">
        <f t="shared" si="25"/>
        <v>-7203.5523749999984</v>
      </c>
      <c r="AG28" s="106">
        <f t="shared" si="25"/>
        <v>-7203.5523749999984</v>
      </c>
      <c r="AH28" s="106">
        <f t="shared" si="25"/>
        <v>-7203.5523749999984</v>
      </c>
      <c r="AI28" s="106">
        <f t="shared" si="25"/>
        <v>-7203.5523749999984</v>
      </c>
      <c r="AJ28" s="106">
        <f t="shared" si="25"/>
        <v>-7203.5523749999984</v>
      </c>
      <c r="AK28" s="106">
        <f t="shared" si="25"/>
        <v>-7203.5523749999984</v>
      </c>
      <c r="AL28" s="106">
        <f t="shared" si="25"/>
        <v>-7203.5523749999984</v>
      </c>
      <c r="AM28" s="106">
        <f t="shared" si="25"/>
        <v>-7203.5523749999984</v>
      </c>
      <c r="AN28" s="106">
        <f t="shared" si="25"/>
        <v>-7203.5523749999984</v>
      </c>
      <c r="AO28" s="108">
        <f t="shared" si="25"/>
        <v>-7203.5523749999984</v>
      </c>
      <c r="AP28" s="107">
        <f t="shared" si="25"/>
        <v>-7657.3761746249984</v>
      </c>
      <c r="AQ28" s="106">
        <f t="shared" si="25"/>
        <v>-7657.3761746249984</v>
      </c>
      <c r="AR28" s="106">
        <f t="shared" si="25"/>
        <v>-7657.3761746249984</v>
      </c>
      <c r="AS28" s="106">
        <f t="shared" si="25"/>
        <v>-7657.3761746249984</v>
      </c>
      <c r="AT28" s="106">
        <f t="shared" si="25"/>
        <v>-7657.3761746249984</v>
      </c>
      <c r="AU28" s="106">
        <f t="shared" si="25"/>
        <v>-7657.3761746249984</v>
      </c>
      <c r="AV28" s="106">
        <f t="shared" si="25"/>
        <v>-7657.3761746249984</v>
      </c>
      <c r="AW28" s="106">
        <f t="shared" si="25"/>
        <v>-7657.3761746249984</v>
      </c>
      <c r="AX28" s="106">
        <f t="shared" si="25"/>
        <v>-7657.3761746249984</v>
      </c>
      <c r="AY28" s="106">
        <f t="shared" si="25"/>
        <v>-7657.3761746249984</v>
      </c>
      <c r="AZ28" s="106">
        <f t="shared" si="25"/>
        <v>-7657.3761746249984</v>
      </c>
      <c r="BA28" s="108">
        <f t="shared" si="25"/>
        <v>-7657.3761746249984</v>
      </c>
      <c r="BB28" s="107">
        <f t="shared" si="25"/>
        <v>-8139.7908736263726</v>
      </c>
      <c r="BC28" s="106">
        <f t="shared" si="25"/>
        <v>-8139.7908736263726</v>
      </c>
      <c r="BD28" s="106">
        <f t="shared" si="25"/>
        <v>-8139.7908736263726</v>
      </c>
      <c r="BE28" s="106">
        <f t="shared" si="25"/>
        <v>-8139.7908736263726</v>
      </c>
      <c r="BF28" s="106">
        <f t="shared" si="25"/>
        <v>-8139.7908736263726</v>
      </c>
      <c r="BG28" s="106">
        <f t="shared" si="25"/>
        <v>-8139.7908736263726</v>
      </c>
      <c r="BH28" s="106">
        <f t="shared" si="25"/>
        <v>-8139.7908736263726</v>
      </c>
      <c r="BI28" s="106">
        <f t="shared" si="25"/>
        <v>-8139.7908736263726</v>
      </c>
      <c r="BJ28" s="106">
        <f t="shared" si="25"/>
        <v>-8139.7908736263726</v>
      </c>
      <c r="BK28" s="106">
        <f t="shared" si="25"/>
        <v>-8139.7908736263726</v>
      </c>
      <c r="BL28" s="106">
        <f t="shared" si="25"/>
        <v>-8139.7908736263726</v>
      </c>
      <c r="BM28" s="108">
        <f t="shared" si="25"/>
        <v>-8139.7908736263726</v>
      </c>
      <c r="BN28" s="107">
        <f t="shared" si="25"/>
        <v>-8652.5976986648329</v>
      </c>
      <c r="BO28" s="106">
        <f t="shared" si="25"/>
        <v>-8652.5976986648329</v>
      </c>
      <c r="BP28" s="106">
        <f t="shared" si="25"/>
        <v>-8652.5976986648329</v>
      </c>
      <c r="BQ28" s="106">
        <f t="shared" si="25"/>
        <v>-8652.5976986648329</v>
      </c>
      <c r="BR28" s="106">
        <f t="shared" si="25"/>
        <v>-8652.5976986648329</v>
      </c>
      <c r="BS28" s="106">
        <f t="shared" si="25"/>
        <v>-8652.5976986648329</v>
      </c>
      <c r="BT28" s="106">
        <f t="shared" si="25"/>
        <v>-8652.5976986648329</v>
      </c>
      <c r="BU28" s="106">
        <f t="shared" si="25"/>
        <v>-8652.5976986648329</v>
      </c>
      <c r="BV28" s="106">
        <f t="shared" si="25"/>
        <v>-8652.5976986648329</v>
      </c>
      <c r="BW28" s="106">
        <f t="shared" si="25"/>
        <v>-8652.5976986648329</v>
      </c>
      <c r="BX28" s="106">
        <f t="shared" si="25"/>
        <v>-8652.5976986648329</v>
      </c>
      <c r="BY28" s="108">
        <f t="shared" si="25"/>
        <v>-8652.5976986648329</v>
      </c>
      <c r="BZ28" s="107">
        <f t="shared" si="25"/>
        <v>-9197.7113536807174</v>
      </c>
      <c r="CA28" s="106">
        <f t="shared" si="25"/>
        <v>-9197.7113536807174</v>
      </c>
      <c r="CB28" s="106">
        <f t="shared" si="25"/>
        <v>-9197.7113536807174</v>
      </c>
      <c r="CC28" s="106">
        <f t="shared" si="25"/>
        <v>-9197.7113536807174</v>
      </c>
      <c r="CD28" s="106">
        <f t="shared" si="25"/>
        <v>-9197.7113536807174</v>
      </c>
      <c r="CE28" s="106">
        <f t="shared" si="26"/>
        <v>-9197.7113536807174</v>
      </c>
      <c r="CF28" s="106">
        <f t="shared" si="26"/>
        <v>-9197.7113536807174</v>
      </c>
      <c r="CG28" s="106">
        <f t="shared" si="26"/>
        <v>-9197.7113536807174</v>
      </c>
      <c r="CH28" s="106">
        <f t="shared" si="26"/>
        <v>-9197.7113536807174</v>
      </c>
      <c r="CI28" s="106">
        <f t="shared" si="26"/>
        <v>-9197.7113536807174</v>
      </c>
      <c r="CJ28" s="106">
        <f t="shared" si="26"/>
        <v>-9197.7113536807174</v>
      </c>
      <c r="CK28" s="108">
        <f t="shared" si="26"/>
        <v>-9197.7113536807174</v>
      </c>
      <c r="CL28" s="107">
        <f t="shared" si="26"/>
        <v>-9777.1671689626019</v>
      </c>
      <c r="CM28" s="106">
        <f t="shared" si="26"/>
        <v>-9777.1671689626019</v>
      </c>
      <c r="CN28" s="106">
        <f t="shared" si="26"/>
        <v>-9777.1671689626019</v>
      </c>
      <c r="CO28" s="106">
        <f t="shared" si="26"/>
        <v>-9777.1671689626019</v>
      </c>
      <c r="CP28" s="106">
        <f t="shared" si="26"/>
        <v>-9777.1671689626019</v>
      </c>
      <c r="CQ28" s="106">
        <f t="shared" si="26"/>
        <v>-9777.1671689626019</v>
      </c>
      <c r="CR28" s="106">
        <f t="shared" si="26"/>
        <v>-9777.1671689626019</v>
      </c>
      <c r="CS28" s="106">
        <f t="shared" si="26"/>
        <v>-9777.1671689626019</v>
      </c>
      <c r="CT28" s="106">
        <f t="shared" si="26"/>
        <v>-9777.1671689626019</v>
      </c>
      <c r="CU28" s="106">
        <f t="shared" si="26"/>
        <v>-9777.1671689626019</v>
      </c>
      <c r="CV28" s="106">
        <f t="shared" si="26"/>
        <v>-9777.1671689626019</v>
      </c>
      <c r="CW28" s="108">
        <f t="shared" si="26"/>
        <v>-9777.1671689626019</v>
      </c>
      <c r="CX28" s="107">
        <f t="shared" si="26"/>
        <v>-10393.128700607245</v>
      </c>
      <c r="CY28" s="106">
        <f t="shared" si="26"/>
        <v>-10393.128700607245</v>
      </c>
      <c r="CZ28" s="106">
        <f t="shared" si="26"/>
        <v>-10393.128700607245</v>
      </c>
      <c r="DA28" s="106">
        <f t="shared" si="26"/>
        <v>-10393.128700607245</v>
      </c>
      <c r="DB28" s="106">
        <f t="shared" si="26"/>
        <v>-10393.128700607245</v>
      </c>
      <c r="DC28" s="106">
        <f t="shared" si="26"/>
        <v>-10393.128700607245</v>
      </c>
      <c r="DD28" s="106">
        <f t="shared" si="26"/>
        <v>-10393.128700607245</v>
      </c>
      <c r="DE28" s="106">
        <f t="shared" si="26"/>
        <v>-10393.128700607245</v>
      </c>
      <c r="DF28" s="106">
        <f t="shared" si="26"/>
        <v>-10393.128700607245</v>
      </c>
      <c r="DG28" s="106">
        <f t="shared" si="26"/>
        <v>-10393.128700607245</v>
      </c>
      <c r="DH28" s="106">
        <f t="shared" si="26"/>
        <v>-10393.128700607245</v>
      </c>
      <c r="DI28" s="108">
        <f t="shared" si="26"/>
        <v>-10393.128700607245</v>
      </c>
      <c r="DJ28" s="107">
        <f t="shared" si="26"/>
        <v>-11047.895808745501</v>
      </c>
      <c r="DK28" s="106">
        <f t="shared" si="26"/>
        <v>-11047.895808745501</v>
      </c>
      <c r="DL28" s="106">
        <f t="shared" si="26"/>
        <v>-11047.895808745501</v>
      </c>
      <c r="DM28" s="106">
        <f t="shared" si="26"/>
        <v>-11047.895808745501</v>
      </c>
      <c r="DN28" s="106">
        <f t="shared" si="26"/>
        <v>-11047.895808745501</v>
      </c>
      <c r="DO28" s="106">
        <f t="shared" si="26"/>
        <v>-11047.895808745501</v>
      </c>
      <c r="DP28" s="106">
        <f t="shared" si="26"/>
        <v>-11047.895808745501</v>
      </c>
      <c r="DQ28" s="106">
        <f t="shared" si="26"/>
        <v>-11047.895808745501</v>
      </c>
      <c r="DR28" s="106">
        <f t="shared" si="26"/>
        <v>-11047.895808745501</v>
      </c>
      <c r="DS28" s="106">
        <f t="shared" si="26"/>
        <v>-11047.895808745501</v>
      </c>
      <c r="DT28" s="106">
        <f t="shared" si="26"/>
        <v>-11047.895808745501</v>
      </c>
      <c r="DU28" s="108">
        <f t="shared" si="26"/>
        <v>-11047.895808745501</v>
      </c>
    </row>
    <row r="29" spans="1:125" s="2" customFormat="1" ht="18.75" customHeight="1" x14ac:dyDescent="0.25">
      <c r="A29" s="244"/>
      <c r="B29" s="271" t="s">
        <v>209</v>
      </c>
      <c r="C29" s="271" t="s">
        <v>211</v>
      </c>
      <c r="D29" s="271">
        <f>'6.Aquaculture system - Hatchery'!D67/3</f>
        <v>4</v>
      </c>
      <c r="E29" s="10">
        <f>-VLOOKUP(C29,$C$51:$W$59,8,FALSE)</f>
        <v>-4208.333333333333</v>
      </c>
      <c r="F29" s="738"/>
      <c r="G29" s="404"/>
      <c r="H29" s="404"/>
      <c r="I29" s="404"/>
      <c r="J29" s="404"/>
      <c r="K29" s="404"/>
      <c r="L29" s="404"/>
      <c r="M29" s="404"/>
      <c r="N29" s="404"/>
      <c r="O29" s="404"/>
      <c r="P29" s="404">
        <f t="shared" si="24"/>
        <v>-16833.333333333332</v>
      </c>
      <c r="Q29" s="497">
        <f t="shared" si="24"/>
        <v>-16833.333333333332</v>
      </c>
      <c r="R29" s="107">
        <f>$E29*$D29*R$5</f>
        <v>-17893.833333333332</v>
      </c>
      <c r="S29" s="106">
        <f t="shared" si="25"/>
        <v>-17893.833333333332</v>
      </c>
      <c r="T29" s="106">
        <f t="shared" si="25"/>
        <v>-17893.833333333332</v>
      </c>
      <c r="U29" s="106">
        <f t="shared" si="25"/>
        <v>-17893.833333333332</v>
      </c>
      <c r="V29" s="106">
        <f t="shared" si="25"/>
        <v>-17893.833333333332</v>
      </c>
      <c r="W29" s="106">
        <f t="shared" si="25"/>
        <v>-17893.833333333332</v>
      </c>
      <c r="X29" s="106">
        <f t="shared" si="25"/>
        <v>-17893.833333333332</v>
      </c>
      <c r="Y29" s="106">
        <f t="shared" si="25"/>
        <v>-17893.833333333332</v>
      </c>
      <c r="Z29" s="106">
        <f t="shared" si="25"/>
        <v>-17893.833333333332</v>
      </c>
      <c r="AA29" s="106">
        <f t="shared" si="25"/>
        <v>-17893.833333333332</v>
      </c>
      <c r="AB29" s="106">
        <f t="shared" si="25"/>
        <v>-17893.833333333332</v>
      </c>
      <c r="AC29" s="108">
        <f t="shared" si="25"/>
        <v>-17893.833333333332</v>
      </c>
      <c r="AD29" s="107">
        <f t="shared" si="25"/>
        <v>-19021.144833333328</v>
      </c>
      <c r="AE29" s="106">
        <f t="shared" si="25"/>
        <v>-19021.144833333328</v>
      </c>
      <c r="AF29" s="106">
        <f t="shared" si="25"/>
        <v>-19021.144833333328</v>
      </c>
      <c r="AG29" s="106">
        <f t="shared" si="25"/>
        <v>-19021.144833333328</v>
      </c>
      <c r="AH29" s="106">
        <f t="shared" si="25"/>
        <v>-19021.144833333328</v>
      </c>
      <c r="AI29" s="106">
        <f t="shared" si="25"/>
        <v>-19021.144833333328</v>
      </c>
      <c r="AJ29" s="106">
        <f t="shared" si="25"/>
        <v>-19021.144833333328</v>
      </c>
      <c r="AK29" s="106">
        <f t="shared" si="25"/>
        <v>-19021.144833333328</v>
      </c>
      <c r="AL29" s="106">
        <f t="shared" si="25"/>
        <v>-19021.144833333328</v>
      </c>
      <c r="AM29" s="106">
        <f t="shared" si="25"/>
        <v>-19021.144833333328</v>
      </c>
      <c r="AN29" s="106">
        <f t="shared" si="25"/>
        <v>-19021.144833333328</v>
      </c>
      <c r="AO29" s="108">
        <f t="shared" si="25"/>
        <v>-19021.144833333328</v>
      </c>
      <c r="AP29" s="107">
        <f t="shared" si="25"/>
        <v>-20219.476957833325</v>
      </c>
      <c r="AQ29" s="106">
        <f t="shared" si="25"/>
        <v>-20219.476957833325</v>
      </c>
      <c r="AR29" s="106">
        <f t="shared" si="25"/>
        <v>-20219.476957833325</v>
      </c>
      <c r="AS29" s="106">
        <f t="shared" si="25"/>
        <v>-20219.476957833325</v>
      </c>
      <c r="AT29" s="106">
        <f t="shared" si="25"/>
        <v>-20219.476957833325</v>
      </c>
      <c r="AU29" s="106">
        <f t="shared" si="25"/>
        <v>-20219.476957833325</v>
      </c>
      <c r="AV29" s="106">
        <f t="shared" si="25"/>
        <v>-20219.476957833325</v>
      </c>
      <c r="AW29" s="106">
        <f t="shared" si="25"/>
        <v>-20219.476957833325</v>
      </c>
      <c r="AX29" s="106">
        <f t="shared" si="25"/>
        <v>-20219.476957833325</v>
      </c>
      <c r="AY29" s="106">
        <f t="shared" si="25"/>
        <v>-20219.476957833325</v>
      </c>
      <c r="AZ29" s="106">
        <f t="shared" si="25"/>
        <v>-20219.476957833325</v>
      </c>
      <c r="BA29" s="108">
        <f t="shared" si="25"/>
        <v>-20219.476957833325</v>
      </c>
      <c r="BB29" s="107">
        <f t="shared" si="25"/>
        <v>-21493.304006176826</v>
      </c>
      <c r="BC29" s="106">
        <f t="shared" si="25"/>
        <v>-21493.304006176826</v>
      </c>
      <c r="BD29" s="106">
        <f t="shared" si="25"/>
        <v>-21493.304006176826</v>
      </c>
      <c r="BE29" s="106">
        <f t="shared" si="25"/>
        <v>-21493.304006176826</v>
      </c>
      <c r="BF29" s="106">
        <f t="shared" si="25"/>
        <v>-21493.304006176826</v>
      </c>
      <c r="BG29" s="106">
        <f t="shared" si="25"/>
        <v>-21493.304006176826</v>
      </c>
      <c r="BH29" s="106">
        <f t="shared" si="25"/>
        <v>-21493.304006176826</v>
      </c>
      <c r="BI29" s="106">
        <f t="shared" si="25"/>
        <v>-21493.304006176826</v>
      </c>
      <c r="BJ29" s="106">
        <f t="shared" si="25"/>
        <v>-21493.304006176826</v>
      </c>
      <c r="BK29" s="106">
        <f t="shared" si="25"/>
        <v>-21493.304006176826</v>
      </c>
      <c r="BL29" s="106">
        <f t="shared" si="25"/>
        <v>-21493.304006176826</v>
      </c>
      <c r="BM29" s="108">
        <f t="shared" si="25"/>
        <v>-21493.304006176826</v>
      </c>
      <c r="BN29" s="107">
        <f t="shared" si="25"/>
        <v>-22847.382158565964</v>
      </c>
      <c r="BO29" s="106">
        <f t="shared" si="25"/>
        <v>-22847.382158565964</v>
      </c>
      <c r="BP29" s="106">
        <f t="shared" si="25"/>
        <v>-22847.382158565964</v>
      </c>
      <c r="BQ29" s="106">
        <f t="shared" si="25"/>
        <v>-22847.382158565964</v>
      </c>
      <c r="BR29" s="106">
        <f t="shared" si="25"/>
        <v>-22847.382158565964</v>
      </c>
      <c r="BS29" s="106">
        <f t="shared" si="25"/>
        <v>-22847.382158565964</v>
      </c>
      <c r="BT29" s="106">
        <f t="shared" si="25"/>
        <v>-22847.382158565964</v>
      </c>
      <c r="BU29" s="106">
        <f t="shared" si="25"/>
        <v>-22847.382158565964</v>
      </c>
      <c r="BV29" s="106">
        <f t="shared" si="25"/>
        <v>-22847.382158565964</v>
      </c>
      <c r="BW29" s="106">
        <f t="shared" si="25"/>
        <v>-22847.382158565964</v>
      </c>
      <c r="BX29" s="106">
        <f t="shared" si="25"/>
        <v>-22847.382158565964</v>
      </c>
      <c r="BY29" s="108">
        <f t="shared" si="25"/>
        <v>-22847.382158565964</v>
      </c>
      <c r="BZ29" s="107">
        <f t="shared" si="25"/>
        <v>-24286.76723455562</v>
      </c>
      <c r="CA29" s="106">
        <f t="shared" si="25"/>
        <v>-24286.76723455562</v>
      </c>
      <c r="CB29" s="106">
        <f t="shared" si="25"/>
        <v>-24286.76723455562</v>
      </c>
      <c r="CC29" s="106">
        <f t="shared" si="25"/>
        <v>-24286.76723455562</v>
      </c>
      <c r="CD29" s="106">
        <f t="shared" si="25"/>
        <v>-24286.76723455562</v>
      </c>
      <c r="CE29" s="106">
        <f t="shared" si="26"/>
        <v>-24286.76723455562</v>
      </c>
      <c r="CF29" s="106">
        <f t="shared" si="26"/>
        <v>-24286.76723455562</v>
      </c>
      <c r="CG29" s="106">
        <f t="shared" si="26"/>
        <v>-24286.76723455562</v>
      </c>
      <c r="CH29" s="106">
        <f t="shared" si="26"/>
        <v>-24286.76723455562</v>
      </c>
      <c r="CI29" s="106">
        <f t="shared" si="26"/>
        <v>-24286.76723455562</v>
      </c>
      <c r="CJ29" s="106">
        <f t="shared" si="26"/>
        <v>-24286.76723455562</v>
      </c>
      <c r="CK29" s="108">
        <f t="shared" si="26"/>
        <v>-24286.76723455562</v>
      </c>
      <c r="CL29" s="107">
        <f t="shared" si="26"/>
        <v>-25816.833570332623</v>
      </c>
      <c r="CM29" s="106">
        <f t="shared" si="26"/>
        <v>-25816.833570332623</v>
      </c>
      <c r="CN29" s="106">
        <f t="shared" si="26"/>
        <v>-25816.833570332623</v>
      </c>
      <c r="CO29" s="106">
        <f t="shared" si="26"/>
        <v>-25816.833570332623</v>
      </c>
      <c r="CP29" s="106">
        <f t="shared" si="26"/>
        <v>-25816.833570332623</v>
      </c>
      <c r="CQ29" s="106">
        <f t="shared" si="26"/>
        <v>-25816.833570332623</v>
      </c>
      <c r="CR29" s="106">
        <f t="shared" si="26"/>
        <v>-25816.833570332623</v>
      </c>
      <c r="CS29" s="106">
        <f t="shared" si="26"/>
        <v>-25816.833570332623</v>
      </c>
      <c r="CT29" s="106">
        <f t="shared" si="26"/>
        <v>-25816.833570332623</v>
      </c>
      <c r="CU29" s="106">
        <f t="shared" si="26"/>
        <v>-25816.833570332623</v>
      </c>
      <c r="CV29" s="106">
        <f t="shared" si="26"/>
        <v>-25816.833570332623</v>
      </c>
      <c r="CW29" s="108">
        <f t="shared" si="26"/>
        <v>-25816.833570332623</v>
      </c>
      <c r="CX29" s="107">
        <f t="shared" si="26"/>
        <v>-27443.294085263577</v>
      </c>
      <c r="CY29" s="106">
        <f t="shared" si="26"/>
        <v>-27443.294085263577</v>
      </c>
      <c r="CZ29" s="106">
        <f t="shared" si="26"/>
        <v>-27443.294085263577</v>
      </c>
      <c r="DA29" s="106">
        <f t="shared" si="26"/>
        <v>-27443.294085263577</v>
      </c>
      <c r="DB29" s="106">
        <f t="shared" si="26"/>
        <v>-27443.294085263577</v>
      </c>
      <c r="DC29" s="106">
        <f t="shared" si="26"/>
        <v>-27443.294085263577</v>
      </c>
      <c r="DD29" s="106">
        <f t="shared" si="26"/>
        <v>-27443.294085263577</v>
      </c>
      <c r="DE29" s="106">
        <f t="shared" si="26"/>
        <v>-27443.294085263577</v>
      </c>
      <c r="DF29" s="106">
        <f t="shared" si="26"/>
        <v>-27443.294085263577</v>
      </c>
      <c r="DG29" s="106">
        <f t="shared" si="26"/>
        <v>-27443.294085263577</v>
      </c>
      <c r="DH29" s="106">
        <f t="shared" si="26"/>
        <v>-27443.294085263577</v>
      </c>
      <c r="DI29" s="108">
        <f t="shared" si="26"/>
        <v>-27443.294085263577</v>
      </c>
      <c r="DJ29" s="107">
        <f t="shared" si="26"/>
        <v>-29172.221612635181</v>
      </c>
      <c r="DK29" s="106">
        <f t="shared" si="26"/>
        <v>-29172.221612635181</v>
      </c>
      <c r="DL29" s="106">
        <f t="shared" si="26"/>
        <v>-29172.221612635181</v>
      </c>
      <c r="DM29" s="106">
        <f t="shared" si="26"/>
        <v>-29172.221612635181</v>
      </c>
      <c r="DN29" s="106">
        <f t="shared" si="26"/>
        <v>-29172.221612635181</v>
      </c>
      <c r="DO29" s="106">
        <f t="shared" si="26"/>
        <v>-29172.221612635181</v>
      </c>
      <c r="DP29" s="106">
        <f t="shared" si="26"/>
        <v>-29172.221612635181</v>
      </c>
      <c r="DQ29" s="106">
        <f t="shared" si="26"/>
        <v>-29172.221612635181</v>
      </c>
      <c r="DR29" s="106">
        <f t="shared" si="26"/>
        <v>-29172.221612635181</v>
      </c>
      <c r="DS29" s="106">
        <f t="shared" si="26"/>
        <v>-29172.221612635181</v>
      </c>
      <c r="DT29" s="106">
        <f t="shared" si="26"/>
        <v>-29172.221612635181</v>
      </c>
      <c r="DU29" s="108">
        <f t="shared" si="26"/>
        <v>-29172.221612635181</v>
      </c>
    </row>
    <row r="30" spans="1:125" s="2" customFormat="1" ht="18.75" customHeight="1" x14ac:dyDescent="0.3">
      <c r="A30" s="243"/>
      <c r="B30" s="272" t="s">
        <v>588</v>
      </c>
      <c r="C30" s="272"/>
      <c r="D30" s="272"/>
      <c r="E30" s="10"/>
      <c r="F30" s="738"/>
      <c r="G30" s="709"/>
      <c r="H30" s="709"/>
      <c r="I30" s="709"/>
      <c r="J30" s="709"/>
      <c r="K30" s="709"/>
      <c r="L30" s="709"/>
      <c r="M30" s="709"/>
      <c r="N30" s="709"/>
      <c r="O30" s="709"/>
      <c r="P30" s="404"/>
      <c r="Q30" s="497"/>
      <c r="R30" s="107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595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595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595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595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595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595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595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595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595"/>
    </row>
    <row r="31" spans="1:125" s="2" customFormat="1" ht="18.75" customHeight="1" x14ac:dyDescent="0.25">
      <c r="A31" s="244"/>
      <c r="B31" s="271" t="s">
        <v>242</v>
      </c>
      <c r="C31" s="271" t="s">
        <v>214</v>
      </c>
      <c r="D31" s="271">
        <v>1</v>
      </c>
      <c r="E31" s="10">
        <f>-VLOOKUP(C31,$C$51:$W$59,8,FALSE)</f>
        <v>-8541.6666666666661</v>
      </c>
      <c r="F31" s="738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97"/>
      <c r="R31" s="107"/>
      <c r="S31" s="107"/>
      <c r="T31" s="107"/>
      <c r="U31" s="107"/>
      <c r="V31" s="107"/>
      <c r="W31" s="107"/>
      <c r="X31" s="107"/>
      <c r="Y31" s="107"/>
      <c r="Z31" s="107"/>
      <c r="AA31" s="107">
        <f t="shared" ref="AA31:AE31" si="27">$E31*$D31*AA$5</f>
        <v>-9079.7916666666661</v>
      </c>
      <c r="AB31" s="107">
        <f t="shared" si="27"/>
        <v>-9079.7916666666661</v>
      </c>
      <c r="AC31" s="739">
        <f t="shared" si="27"/>
        <v>-9079.7916666666661</v>
      </c>
      <c r="AD31" s="107">
        <f t="shared" si="27"/>
        <v>-9651.8185416666638</v>
      </c>
      <c r="AE31" s="107">
        <f t="shared" si="27"/>
        <v>-9651.8185416666638</v>
      </c>
      <c r="AF31" s="107">
        <f t="shared" ref="AF31:CQ33" si="28">$E31*$D31*AF$5</f>
        <v>-9651.8185416666638</v>
      </c>
      <c r="AG31" s="107">
        <f t="shared" si="28"/>
        <v>-9651.8185416666638</v>
      </c>
      <c r="AH31" s="107">
        <f t="shared" si="28"/>
        <v>-9651.8185416666638</v>
      </c>
      <c r="AI31" s="107">
        <f t="shared" si="28"/>
        <v>-9651.8185416666638</v>
      </c>
      <c r="AJ31" s="107">
        <f t="shared" si="28"/>
        <v>-9651.8185416666638</v>
      </c>
      <c r="AK31" s="107">
        <f t="shared" si="28"/>
        <v>-9651.8185416666638</v>
      </c>
      <c r="AL31" s="107">
        <f t="shared" si="28"/>
        <v>-9651.8185416666638</v>
      </c>
      <c r="AM31" s="107">
        <f t="shared" si="28"/>
        <v>-9651.8185416666638</v>
      </c>
      <c r="AN31" s="107">
        <f t="shared" si="28"/>
        <v>-9651.8185416666638</v>
      </c>
      <c r="AO31" s="739">
        <f t="shared" si="28"/>
        <v>-9651.8185416666638</v>
      </c>
      <c r="AP31" s="107">
        <f t="shared" si="28"/>
        <v>-10259.883109791663</v>
      </c>
      <c r="AQ31" s="107">
        <f t="shared" si="28"/>
        <v>-10259.883109791663</v>
      </c>
      <c r="AR31" s="107">
        <f t="shared" si="28"/>
        <v>-10259.883109791663</v>
      </c>
      <c r="AS31" s="107">
        <f t="shared" si="28"/>
        <v>-10259.883109791663</v>
      </c>
      <c r="AT31" s="107">
        <f t="shared" si="28"/>
        <v>-10259.883109791663</v>
      </c>
      <c r="AU31" s="107">
        <f t="shared" si="28"/>
        <v>-10259.883109791663</v>
      </c>
      <c r="AV31" s="107">
        <f t="shared" si="28"/>
        <v>-10259.883109791663</v>
      </c>
      <c r="AW31" s="107">
        <f t="shared" si="28"/>
        <v>-10259.883109791663</v>
      </c>
      <c r="AX31" s="107">
        <f t="shared" si="28"/>
        <v>-10259.883109791663</v>
      </c>
      <c r="AY31" s="107">
        <f t="shared" si="28"/>
        <v>-10259.883109791663</v>
      </c>
      <c r="AZ31" s="107">
        <f t="shared" si="28"/>
        <v>-10259.883109791663</v>
      </c>
      <c r="BA31" s="739">
        <f t="shared" si="28"/>
        <v>-10259.883109791663</v>
      </c>
      <c r="BB31" s="107">
        <f t="shared" si="28"/>
        <v>-10906.255745708537</v>
      </c>
      <c r="BC31" s="107">
        <f t="shared" si="28"/>
        <v>-10906.255745708537</v>
      </c>
      <c r="BD31" s="107">
        <f t="shared" si="28"/>
        <v>-10906.255745708537</v>
      </c>
      <c r="BE31" s="107">
        <f t="shared" si="28"/>
        <v>-10906.255745708537</v>
      </c>
      <c r="BF31" s="107">
        <f t="shared" si="28"/>
        <v>-10906.255745708537</v>
      </c>
      <c r="BG31" s="107">
        <f t="shared" si="28"/>
        <v>-10906.255745708537</v>
      </c>
      <c r="BH31" s="107">
        <f t="shared" si="28"/>
        <v>-10906.255745708537</v>
      </c>
      <c r="BI31" s="107">
        <f t="shared" si="28"/>
        <v>-10906.255745708537</v>
      </c>
      <c r="BJ31" s="107">
        <f t="shared" si="28"/>
        <v>-10906.255745708537</v>
      </c>
      <c r="BK31" s="107">
        <f t="shared" si="28"/>
        <v>-10906.255745708537</v>
      </c>
      <c r="BL31" s="107">
        <f t="shared" si="28"/>
        <v>-10906.255745708537</v>
      </c>
      <c r="BM31" s="739">
        <f t="shared" si="28"/>
        <v>-10906.255745708537</v>
      </c>
      <c r="BN31" s="107">
        <f t="shared" si="28"/>
        <v>-11593.349857688174</v>
      </c>
      <c r="BO31" s="107">
        <f t="shared" si="28"/>
        <v>-11593.349857688174</v>
      </c>
      <c r="BP31" s="107">
        <f t="shared" si="28"/>
        <v>-11593.349857688174</v>
      </c>
      <c r="BQ31" s="107">
        <f t="shared" si="28"/>
        <v>-11593.349857688174</v>
      </c>
      <c r="BR31" s="107">
        <f t="shared" si="28"/>
        <v>-11593.349857688174</v>
      </c>
      <c r="BS31" s="107">
        <f t="shared" si="28"/>
        <v>-11593.349857688174</v>
      </c>
      <c r="BT31" s="107">
        <f t="shared" si="28"/>
        <v>-11593.349857688174</v>
      </c>
      <c r="BU31" s="107">
        <f t="shared" si="28"/>
        <v>-11593.349857688174</v>
      </c>
      <c r="BV31" s="107">
        <f t="shared" si="28"/>
        <v>-11593.349857688174</v>
      </c>
      <c r="BW31" s="107">
        <f t="shared" si="28"/>
        <v>-11593.349857688174</v>
      </c>
      <c r="BX31" s="107">
        <f t="shared" si="28"/>
        <v>-11593.349857688174</v>
      </c>
      <c r="BY31" s="739">
        <f t="shared" si="28"/>
        <v>-11593.349857688174</v>
      </c>
      <c r="BZ31" s="107">
        <f t="shared" si="28"/>
        <v>-12323.73089872253</v>
      </c>
      <c r="CA31" s="107">
        <f t="shared" si="28"/>
        <v>-12323.73089872253</v>
      </c>
      <c r="CB31" s="107">
        <f t="shared" si="28"/>
        <v>-12323.73089872253</v>
      </c>
      <c r="CC31" s="107">
        <f t="shared" si="28"/>
        <v>-12323.73089872253</v>
      </c>
      <c r="CD31" s="107">
        <f t="shared" si="28"/>
        <v>-12323.73089872253</v>
      </c>
      <c r="CE31" s="107">
        <f t="shared" si="28"/>
        <v>-12323.73089872253</v>
      </c>
      <c r="CF31" s="107">
        <f t="shared" si="28"/>
        <v>-12323.73089872253</v>
      </c>
      <c r="CG31" s="107">
        <f t="shared" si="28"/>
        <v>-12323.73089872253</v>
      </c>
      <c r="CH31" s="107">
        <f t="shared" si="28"/>
        <v>-12323.73089872253</v>
      </c>
      <c r="CI31" s="107">
        <f t="shared" si="28"/>
        <v>-12323.73089872253</v>
      </c>
      <c r="CJ31" s="107">
        <f t="shared" si="28"/>
        <v>-12323.73089872253</v>
      </c>
      <c r="CK31" s="739">
        <f t="shared" si="28"/>
        <v>-12323.73089872253</v>
      </c>
      <c r="CL31" s="107">
        <f t="shared" si="28"/>
        <v>-13100.125945342048</v>
      </c>
      <c r="CM31" s="107">
        <f t="shared" si="28"/>
        <v>-13100.125945342048</v>
      </c>
      <c r="CN31" s="107">
        <f t="shared" si="28"/>
        <v>-13100.125945342048</v>
      </c>
      <c r="CO31" s="107">
        <f t="shared" si="28"/>
        <v>-13100.125945342048</v>
      </c>
      <c r="CP31" s="107">
        <f t="shared" si="28"/>
        <v>-13100.125945342048</v>
      </c>
      <c r="CQ31" s="107">
        <f t="shared" si="28"/>
        <v>-13100.125945342048</v>
      </c>
      <c r="CR31" s="107">
        <f t="shared" ref="CR31:DU33" si="29">$E31*$D31*CR$5</f>
        <v>-13100.125945342048</v>
      </c>
      <c r="CS31" s="107">
        <f t="shared" si="29"/>
        <v>-13100.125945342048</v>
      </c>
      <c r="CT31" s="107">
        <f t="shared" si="29"/>
        <v>-13100.125945342048</v>
      </c>
      <c r="CU31" s="107">
        <f t="shared" si="29"/>
        <v>-13100.125945342048</v>
      </c>
      <c r="CV31" s="107">
        <f t="shared" si="29"/>
        <v>-13100.125945342048</v>
      </c>
      <c r="CW31" s="739">
        <f t="shared" si="29"/>
        <v>-13100.125945342048</v>
      </c>
      <c r="CX31" s="107">
        <f t="shared" si="29"/>
        <v>-13925.433879898595</v>
      </c>
      <c r="CY31" s="107">
        <f t="shared" si="29"/>
        <v>-13925.433879898595</v>
      </c>
      <c r="CZ31" s="107">
        <f t="shared" si="29"/>
        <v>-13925.433879898595</v>
      </c>
      <c r="DA31" s="107">
        <f t="shared" si="29"/>
        <v>-13925.433879898595</v>
      </c>
      <c r="DB31" s="107">
        <f t="shared" si="29"/>
        <v>-13925.433879898595</v>
      </c>
      <c r="DC31" s="107">
        <f t="shared" si="29"/>
        <v>-13925.433879898595</v>
      </c>
      <c r="DD31" s="107">
        <f t="shared" si="29"/>
        <v>-13925.433879898595</v>
      </c>
      <c r="DE31" s="107">
        <f t="shared" si="29"/>
        <v>-13925.433879898595</v>
      </c>
      <c r="DF31" s="107">
        <f t="shared" si="29"/>
        <v>-13925.433879898595</v>
      </c>
      <c r="DG31" s="107">
        <f t="shared" si="29"/>
        <v>-13925.433879898595</v>
      </c>
      <c r="DH31" s="107">
        <f t="shared" si="29"/>
        <v>-13925.433879898595</v>
      </c>
      <c r="DI31" s="739">
        <f t="shared" si="29"/>
        <v>-13925.433879898595</v>
      </c>
      <c r="DJ31" s="107">
        <f t="shared" si="29"/>
        <v>-14802.736214332208</v>
      </c>
      <c r="DK31" s="107">
        <f t="shared" si="29"/>
        <v>-14802.736214332208</v>
      </c>
      <c r="DL31" s="107">
        <f t="shared" si="29"/>
        <v>-14802.736214332208</v>
      </c>
      <c r="DM31" s="107">
        <f t="shared" si="29"/>
        <v>-14802.736214332208</v>
      </c>
      <c r="DN31" s="107">
        <f t="shared" si="29"/>
        <v>-14802.736214332208</v>
      </c>
      <c r="DO31" s="107">
        <f t="shared" si="29"/>
        <v>-14802.736214332208</v>
      </c>
      <c r="DP31" s="107">
        <f t="shared" si="29"/>
        <v>-14802.736214332208</v>
      </c>
      <c r="DQ31" s="107">
        <f t="shared" si="29"/>
        <v>-14802.736214332208</v>
      </c>
      <c r="DR31" s="107">
        <f t="shared" si="29"/>
        <v>-14802.736214332208</v>
      </c>
      <c r="DS31" s="107">
        <f t="shared" si="29"/>
        <v>-14802.736214332208</v>
      </c>
      <c r="DT31" s="107">
        <f t="shared" si="29"/>
        <v>-14802.736214332208</v>
      </c>
      <c r="DU31" s="739">
        <f t="shared" si="29"/>
        <v>-14802.736214332208</v>
      </c>
    </row>
    <row r="32" spans="1:125" s="2" customFormat="1" ht="18.75" customHeight="1" x14ac:dyDescent="0.3">
      <c r="A32" s="243"/>
      <c r="B32" s="271" t="s">
        <v>208</v>
      </c>
      <c r="C32" s="271" t="s">
        <v>213</v>
      </c>
      <c r="D32" s="271">
        <f>_xlfn.CEILING.MATH(D33/7,1)</f>
        <v>1</v>
      </c>
      <c r="E32" s="10">
        <f t="shared" ref="E32:E33" si="30">-VLOOKUP(C32,$C$51:$W$59,8,FALSE)</f>
        <v>-6375</v>
      </c>
      <c r="F32" s="738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97"/>
      <c r="R32" s="107"/>
      <c r="S32" s="107"/>
      <c r="T32" s="107"/>
      <c r="U32" s="107"/>
      <c r="V32" s="107"/>
      <c r="W32" s="107"/>
      <c r="X32" s="107"/>
      <c r="Y32" s="107"/>
      <c r="Z32" s="107"/>
      <c r="AA32" s="107">
        <f t="shared" ref="AA32:CB33" si="31">$E32*$D32*AA$5</f>
        <v>-6776.625</v>
      </c>
      <c r="AB32" s="107">
        <f t="shared" si="31"/>
        <v>-6776.625</v>
      </c>
      <c r="AC32" s="739">
        <f t="shared" si="31"/>
        <v>-6776.625</v>
      </c>
      <c r="AD32" s="107">
        <f t="shared" si="31"/>
        <v>-7203.5523749999984</v>
      </c>
      <c r="AE32" s="107">
        <f t="shared" si="31"/>
        <v>-7203.5523749999984</v>
      </c>
      <c r="AF32" s="107">
        <f t="shared" si="31"/>
        <v>-7203.5523749999984</v>
      </c>
      <c r="AG32" s="107">
        <f t="shared" si="31"/>
        <v>-7203.5523749999984</v>
      </c>
      <c r="AH32" s="107">
        <f t="shared" si="31"/>
        <v>-7203.5523749999984</v>
      </c>
      <c r="AI32" s="107">
        <f t="shared" si="31"/>
        <v>-7203.5523749999984</v>
      </c>
      <c r="AJ32" s="107">
        <f t="shared" si="31"/>
        <v>-7203.5523749999984</v>
      </c>
      <c r="AK32" s="107">
        <f t="shared" si="31"/>
        <v>-7203.5523749999984</v>
      </c>
      <c r="AL32" s="107">
        <f t="shared" si="31"/>
        <v>-7203.5523749999984</v>
      </c>
      <c r="AM32" s="107">
        <f t="shared" si="31"/>
        <v>-7203.5523749999984</v>
      </c>
      <c r="AN32" s="107">
        <f t="shared" si="31"/>
        <v>-7203.5523749999984</v>
      </c>
      <c r="AO32" s="739">
        <f t="shared" si="31"/>
        <v>-7203.5523749999984</v>
      </c>
      <c r="AP32" s="107">
        <f t="shared" si="31"/>
        <v>-7657.3761746249984</v>
      </c>
      <c r="AQ32" s="107">
        <f t="shared" si="31"/>
        <v>-7657.3761746249984</v>
      </c>
      <c r="AR32" s="107">
        <f t="shared" si="31"/>
        <v>-7657.3761746249984</v>
      </c>
      <c r="AS32" s="107">
        <f t="shared" si="31"/>
        <v>-7657.3761746249984</v>
      </c>
      <c r="AT32" s="107">
        <f t="shared" si="31"/>
        <v>-7657.3761746249984</v>
      </c>
      <c r="AU32" s="107">
        <f t="shared" si="31"/>
        <v>-7657.3761746249984</v>
      </c>
      <c r="AV32" s="107">
        <f t="shared" si="31"/>
        <v>-7657.3761746249984</v>
      </c>
      <c r="AW32" s="107">
        <f t="shared" si="31"/>
        <v>-7657.3761746249984</v>
      </c>
      <c r="AX32" s="107">
        <f t="shared" si="31"/>
        <v>-7657.3761746249984</v>
      </c>
      <c r="AY32" s="107">
        <f t="shared" si="31"/>
        <v>-7657.3761746249984</v>
      </c>
      <c r="AZ32" s="107">
        <f t="shared" si="31"/>
        <v>-7657.3761746249984</v>
      </c>
      <c r="BA32" s="739">
        <f t="shared" si="31"/>
        <v>-7657.3761746249984</v>
      </c>
      <c r="BB32" s="107">
        <f t="shared" si="31"/>
        <v>-8139.7908736263726</v>
      </c>
      <c r="BC32" s="107">
        <f t="shared" si="31"/>
        <v>-8139.7908736263726</v>
      </c>
      <c r="BD32" s="107">
        <f t="shared" si="31"/>
        <v>-8139.7908736263726</v>
      </c>
      <c r="BE32" s="107">
        <f t="shared" si="31"/>
        <v>-8139.7908736263726</v>
      </c>
      <c r="BF32" s="107">
        <f t="shared" si="31"/>
        <v>-8139.7908736263726</v>
      </c>
      <c r="BG32" s="107">
        <f t="shared" si="31"/>
        <v>-8139.7908736263726</v>
      </c>
      <c r="BH32" s="107">
        <f t="shared" si="31"/>
        <v>-8139.7908736263726</v>
      </c>
      <c r="BI32" s="107">
        <f t="shared" si="31"/>
        <v>-8139.7908736263726</v>
      </c>
      <c r="BJ32" s="107">
        <f t="shared" si="31"/>
        <v>-8139.7908736263726</v>
      </c>
      <c r="BK32" s="107">
        <f t="shared" si="31"/>
        <v>-8139.7908736263726</v>
      </c>
      <c r="BL32" s="107">
        <f t="shared" si="31"/>
        <v>-8139.7908736263726</v>
      </c>
      <c r="BM32" s="739">
        <f t="shared" si="31"/>
        <v>-8139.7908736263726</v>
      </c>
      <c r="BN32" s="107">
        <f t="shared" si="31"/>
        <v>-8652.5976986648329</v>
      </c>
      <c r="BO32" s="107">
        <f t="shared" si="31"/>
        <v>-8652.5976986648329</v>
      </c>
      <c r="BP32" s="107">
        <f t="shared" si="31"/>
        <v>-8652.5976986648329</v>
      </c>
      <c r="BQ32" s="107">
        <f t="shared" si="31"/>
        <v>-8652.5976986648329</v>
      </c>
      <c r="BR32" s="107">
        <f t="shared" si="31"/>
        <v>-8652.5976986648329</v>
      </c>
      <c r="BS32" s="107">
        <f t="shared" si="31"/>
        <v>-8652.5976986648329</v>
      </c>
      <c r="BT32" s="107">
        <f t="shared" si="31"/>
        <v>-8652.5976986648329</v>
      </c>
      <c r="BU32" s="107">
        <f t="shared" si="31"/>
        <v>-8652.5976986648329</v>
      </c>
      <c r="BV32" s="107">
        <f t="shared" si="31"/>
        <v>-8652.5976986648329</v>
      </c>
      <c r="BW32" s="107">
        <f t="shared" si="31"/>
        <v>-8652.5976986648329</v>
      </c>
      <c r="BX32" s="107">
        <f t="shared" si="31"/>
        <v>-8652.5976986648329</v>
      </c>
      <c r="BY32" s="739">
        <f t="shared" si="31"/>
        <v>-8652.5976986648329</v>
      </c>
      <c r="BZ32" s="107">
        <f t="shared" si="31"/>
        <v>-9197.7113536807174</v>
      </c>
      <c r="CA32" s="107">
        <f t="shared" si="31"/>
        <v>-9197.7113536807174</v>
      </c>
      <c r="CB32" s="107">
        <f t="shared" si="31"/>
        <v>-9197.7113536807174</v>
      </c>
      <c r="CC32" s="107">
        <f t="shared" si="28"/>
        <v>-9197.7113536807174</v>
      </c>
      <c r="CD32" s="107">
        <f t="shared" si="28"/>
        <v>-9197.7113536807174</v>
      </c>
      <c r="CE32" s="107">
        <f t="shared" si="28"/>
        <v>-9197.7113536807174</v>
      </c>
      <c r="CF32" s="107">
        <f t="shared" si="28"/>
        <v>-9197.7113536807174</v>
      </c>
      <c r="CG32" s="107">
        <f t="shared" si="28"/>
        <v>-9197.7113536807174</v>
      </c>
      <c r="CH32" s="107">
        <f t="shared" si="28"/>
        <v>-9197.7113536807174</v>
      </c>
      <c r="CI32" s="107">
        <f t="shared" si="28"/>
        <v>-9197.7113536807174</v>
      </c>
      <c r="CJ32" s="107">
        <f t="shared" si="28"/>
        <v>-9197.7113536807174</v>
      </c>
      <c r="CK32" s="739">
        <f t="shared" si="28"/>
        <v>-9197.7113536807174</v>
      </c>
      <c r="CL32" s="107">
        <f t="shared" si="28"/>
        <v>-9777.1671689626019</v>
      </c>
      <c r="CM32" s="107">
        <f t="shared" si="28"/>
        <v>-9777.1671689626019</v>
      </c>
      <c r="CN32" s="107">
        <f t="shared" si="28"/>
        <v>-9777.1671689626019</v>
      </c>
      <c r="CO32" s="107">
        <f t="shared" si="28"/>
        <v>-9777.1671689626019</v>
      </c>
      <c r="CP32" s="107">
        <f t="shared" si="28"/>
        <v>-9777.1671689626019</v>
      </c>
      <c r="CQ32" s="107">
        <f t="shared" si="28"/>
        <v>-9777.1671689626019</v>
      </c>
      <c r="CR32" s="107">
        <f t="shared" si="29"/>
        <v>-9777.1671689626019</v>
      </c>
      <c r="CS32" s="107">
        <f t="shared" si="29"/>
        <v>-9777.1671689626019</v>
      </c>
      <c r="CT32" s="107">
        <f t="shared" si="29"/>
        <v>-9777.1671689626019</v>
      </c>
      <c r="CU32" s="107">
        <f t="shared" si="29"/>
        <v>-9777.1671689626019</v>
      </c>
      <c r="CV32" s="107">
        <f t="shared" si="29"/>
        <v>-9777.1671689626019</v>
      </c>
      <c r="CW32" s="739">
        <f t="shared" si="29"/>
        <v>-9777.1671689626019</v>
      </c>
      <c r="CX32" s="107">
        <f t="shared" si="29"/>
        <v>-10393.128700607245</v>
      </c>
      <c r="CY32" s="107">
        <f t="shared" si="29"/>
        <v>-10393.128700607245</v>
      </c>
      <c r="CZ32" s="107">
        <f t="shared" si="29"/>
        <v>-10393.128700607245</v>
      </c>
      <c r="DA32" s="107">
        <f t="shared" si="29"/>
        <v>-10393.128700607245</v>
      </c>
      <c r="DB32" s="107">
        <f t="shared" si="29"/>
        <v>-10393.128700607245</v>
      </c>
      <c r="DC32" s="107">
        <f t="shared" si="29"/>
        <v>-10393.128700607245</v>
      </c>
      <c r="DD32" s="107">
        <f t="shared" si="29"/>
        <v>-10393.128700607245</v>
      </c>
      <c r="DE32" s="107">
        <f t="shared" si="29"/>
        <v>-10393.128700607245</v>
      </c>
      <c r="DF32" s="107">
        <f t="shared" si="29"/>
        <v>-10393.128700607245</v>
      </c>
      <c r="DG32" s="107">
        <f t="shared" si="29"/>
        <v>-10393.128700607245</v>
      </c>
      <c r="DH32" s="107">
        <f t="shared" si="29"/>
        <v>-10393.128700607245</v>
      </c>
      <c r="DI32" s="739">
        <f t="shared" si="29"/>
        <v>-10393.128700607245</v>
      </c>
      <c r="DJ32" s="107">
        <f t="shared" si="29"/>
        <v>-11047.895808745501</v>
      </c>
      <c r="DK32" s="107">
        <f t="shared" si="29"/>
        <v>-11047.895808745501</v>
      </c>
      <c r="DL32" s="107">
        <f t="shared" si="29"/>
        <v>-11047.895808745501</v>
      </c>
      <c r="DM32" s="107">
        <f t="shared" si="29"/>
        <v>-11047.895808745501</v>
      </c>
      <c r="DN32" s="107">
        <f t="shared" si="29"/>
        <v>-11047.895808745501</v>
      </c>
      <c r="DO32" s="107">
        <f t="shared" si="29"/>
        <v>-11047.895808745501</v>
      </c>
      <c r="DP32" s="107">
        <f t="shared" si="29"/>
        <v>-11047.895808745501</v>
      </c>
      <c r="DQ32" s="107">
        <f t="shared" si="29"/>
        <v>-11047.895808745501</v>
      </c>
      <c r="DR32" s="107">
        <f t="shared" si="29"/>
        <v>-11047.895808745501</v>
      </c>
      <c r="DS32" s="107">
        <f t="shared" si="29"/>
        <v>-11047.895808745501</v>
      </c>
      <c r="DT32" s="107">
        <f t="shared" si="29"/>
        <v>-11047.895808745501</v>
      </c>
      <c r="DU32" s="739">
        <f t="shared" si="29"/>
        <v>-11047.895808745501</v>
      </c>
    </row>
    <row r="33" spans="1:125" s="2" customFormat="1" ht="18.75" customHeight="1" x14ac:dyDescent="0.25">
      <c r="A33" s="244"/>
      <c r="B33" s="271" t="s">
        <v>209</v>
      </c>
      <c r="C33" s="271" t="s">
        <v>211</v>
      </c>
      <c r="D33" s="271">
        <f>_xlfn.CEILING.MATH('6.Aquaculture system - Hatchery'!D53/3,1)</f>
        <v>3</v>
      </c>
      <c r="E33" s="10">
        <f t="shared" si="30"/>
        <v>-4208.333333333333</v>
      </c>
      <c r="F33" s="738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97"/>
      <c r="R33" s="107"/>
      <c r="S33" s="107"/>
      <c r="T33" s="107"/>
      <c r="U33" s="107"/>
      <c r="V33" s="107"/>
      <c r="W33" s="107"/>
      <c r="X33" s="107"/>
      <c r="Y33" s="107"/>
      <c r="Z33" s="107"/>
      <c r="AA33" s="107">
        <f t="shared" si="31"/>
        <v>-13420.375</v>
      </c>
      <c r="AB33" s="107">
        <f t="shared" si="31"/>
        <v>-13420.375</v>
      </c>
      <c r="AC33" s="739">
        <f t="shared" si="31"/>
        <v>-13420.375</v>
      </c>
      <c r="AD33" s="107">
        <f t="shared" si="31"/>
        <v>-14265.858624999997</v>
      </c>
      <c r="AE33" s="107">
        <f t="shared" si="31"/>
        <v>-14265.858624999997</v>
      </c>
      <c r="AF33" s="107">
        <f t="shared" si="31"/>
        <v>-14265.858624999997</v>
      </c>
      <c r="AG33" s="107">
        <f t="shared" si="31"/>
        <v>-14265.858624999997</v>
      </c>
      <c r="AH33" s="107">
        <f t="shared" si="31"/>
        <v>-14265.858624999997</v>
      </c>
      <c r="AI33" s="107">
        <f t="shared" si="31"/>
        <v>-14265.858624999997</v>
      </c>
      <c r="AJ33" s="107">
        <f t="shared" si="31"/>
        <v>-14265.858624999997</v>
      </c>
      <c r="AK33" s="107">
        <f t="shared" si="31"/>
        <v>-14265.858624999997</v>
      </c>
      <c r="AL33" s="107">
        <f t="shared" si="31"/>
        <v>-14265.858624999997</v>
      </c>
      <c r="AM33" s="107">
        <f t="shared" si="31"/>
        <v>-14265.858624999997</v>
      </c>
      <c r="AN33" s="107">
        <f t="shared" si="31"/>
        <v>-14265.858624999997</v>
      </c>
      <c r="AO33" s="739">
        <f t="shared" si="31"/>
        <v>-14265.858624999997</v>
      </c>
      <c r="AP33" s="107">
        <f t="shared" si="31"/>
        <v>-15164.607718374997</v>
      </c>
      <c r="AQ33" s="107">
        <f t="shared" si="31"/>
        <v>-15164.607718374997</v>
      </c>
      <c r="AR33" s="107">
        <f t="shared" si="31"/>
        <v>-15164.607718374997</v>
      </c>
      <c r="AS33" s="107">
        <f t="shared" si="31"/>
        <v>-15164.607718374997</v>
      </c>
      <c r="AT33" s="107">
        <f t="shared" si="31"/>
        <v>-15164.607718374997</v>
      </c>
      <c r="AU33" s="107">
        <f t="shared" si="31"/>
        <v>-15164.607718374997</v>
      </c>
      <c r="AV33" s="107">
        <f t="shared" si="31"/>
        <v>-15164.607718374997</v>
      </c>
      <c r="AW33" s="107">
        <f t="shared" si="31"/>
        <v>-15164.607718374997</v>
      </c>
      <c r="AX33" s="107">
        <f t="shared" si="31"/>
        <v>-15164.607718374997</v>
      </c>
      <c r="AY33" s="107">
        <f t="shared" si="31"/>
        <v>-15164.607718374997</v>
      </c>
      <c r="AZ33" s="107">
        <f t="shared" si="31"/>
        <v>-15164.607718374997</v>
      </c>
      <c r="BA33" s="739">
        <f t="shared" si="31"/>
        <v>-15164.607718374997</v>
      </c>
      <c r="BB33" s="107">
        <f t="shared" si="31"/>
        <v>-16119.97800463262</v>
      </c>
      <c r="BC33" s="107">
        <f t="shared" si="31"/>
        <v>-16119.97800463262</v>
      </c>
      <c r="BD33" s="107">
        <f t="shared" si="31"/>
        <v>-16119.97800463262</v>
      </c>
      <c r="BE33" s="107">
        <f t="shared" si="31"/>
        <v>-16119.97800463262</v>
      </c>
      <c r="BF33" s="107">
        <f t="shared" si="31"/>
        <v>-16119.97800463262</v>
      </c>
      <c r="BG33" s="107">
        <f t="shared" si="31"/>
        <v>-16119.97800463262</v>
      </c>
      <c r="BH33" s="107">
        <f t="shared" si="31"/>
        <v>-16119.97800463262</v>
      </c>
      <c r="BI33" s="107">
        <f t="shared" si="31"/>
        <v>-16119.97800463262</v>
      </c>
      <c r="BJ33" s="107">
        <f t="shared" si="31"/>
        <v>-16119.97800463262</v>
      </c>
      <c r="BK33" s="107">
        <f t="shared" si="31"/>
        <v>-16119.97800463262</v>
      </c>
      <c r="BL33" s="107">
        <f t="shared" si="31"/>
        <v>-16119.97800463262</v>
      </c>
      <c r="BM33" s="739">
        <f t="shared" si="31"/>
        <v>-16119.97800463262</v>
      </c>
      <c r="BN33" s="107">
        <f t="shared" si="31"/>
        <v>-17135.536618924474</v>
      </c>
      <c r="BO33" s="107">
        <f t="shared" si="31"/>
        <v>-17135.536618924474</v>
      </c>
      <c r="BP33" s="107">
        <f t="shared" si="31"/>
        <v>-17135.536618924474</v>
      </c>
      <c r="BQ33" s="107">
        <f t="shared" si="31"/>
        <v>-17135.536618924474</v>
      </c>
      <c r="BR33" s="107">
        <f t="shared" si="31"/>
        <v>-17135.536618924474</v>
      </c>
      <c r="BS33" s="107">
        <f t="shared" si="31"/>
        <v>-17135.536618924474</v>
      </c>
      <c r="BT33" s="107">
        <f t="shared" si="31"/>
        <v>-17135.536618924474</v>
      </c>
      <c r="BU33" s="107">
        <f t="shared" si="31"/>
        <v>-17135.536618924474</v>
      </c>
      <c r="BV33" s="107">
        <f t="shared" si="31"/>
        <v>-17135.536618924474</v>
      </c>
      <c r="BW33" s="107">
        <f t="shared" si="31"/>
        <v>-17135.536618924474</v>
      </c>
      <c r="BX33" s="107">
        <f t="shared" si="31"/>
        <v>-17135.536618924474</v>
      </c>
      <c r="BY33" s="739">
        <f t="shared" si="31"/>
        <v>-17135.536618924474</v>
      </c>
      <c r="BZ33" s="107">
        <f t="shared" si="31"/>
        <v>-18215.075425916715</v>
      </c>
      <c r="CA33" s="107">
        <f t="shared" si="31"/>
        <v>-18215.075425916715</v>
      </c>
      <c r="CB33" s="107">
        <f t="shared" si="31"/>
        <v>-18215.075425916715</v>
      </c>
      <c r="CC33" s="107">
        <f t="shared" si="28"/>
        <v>-18215.075425916715</v>
      </c>
      <c r="CD33" s="107">
        <f t="shared" si="28"/>
        <v>-18215.075425916715</v>
      </c>
      <c r="CE33" s="107">
        <f t="shared" si="28"/>
        <v>-18215.075425916715</v>
      </c>
      <c r="CF33" s="107">
        <f t="shared" si="28"/>
        <v>-18215.075425916715</v>
      </c>
      <c r="CG33" s="107">
        <f t="shared" si="28"/>
        <v>-18215.075425916715</v>
      </c>
      <c r="CH33" s="107">
        <f t="shared" si="28"/>
        <v>-18215.075425916715</v>
      </c>
      <c r="CI33" s="107">
        <f t="shared" si="28"/>
        <v>-18215.075425916715</v>
      </c>
      <c r="CJ33" s="107">
        <f t="shared" si="28"/>
        <v>-18215.075425916715</v>
      </c>
      <c r="CK33" s="739">
        <f t="shared" si="28"/>
        <v>-18215.075425916715</v>
      </c>
      <c r="CL33" s="107">
        <f t="shared" si="28"/>
        <v>-19362.625177749469</v>
      </c>
      <c r="CM33" s="107">
        <f t="shared" si="28"/>
        <v>-19362.625177749469</v>
      </c>
      <c r="CN33" s="107">
        <f t="shared" si="28"/>
        <v>-19362.625177749469</v>
      </c>
      <c r="CO33" s="107">
        <f t="shared" si="28"/>
        <v>-19362.625177749469</v>
      </c>
      <c r="CP33" s="107">
        <f t="shared" si="28"/>
        <v>-19362.625177749469</v>
      </c>
      <c r="CQ33" s="107">
        <f t="shared" si="28"/>
        <v>-19362.625177749469</v>
      </c>
      <c r="CR33" s="107">
        <f t="shared" si="29"/>
        <v>-19362.625177749469</v>
      </c>
      <c r="CS33" s="107">
        <f t="shared" si="29"/>
        <v>-19362.625177749469</v>
      </c>
      <c r="CT33" s="107">
        <f t="shared" si="29"/>
        <v>-19362.625177749469</v>
      </c>
      <c r="CU33" s="107">
        <f t="shared" si="29"/>
        <v>-19362.625177749469</v>
      </c>
      <c r="CV33" s="107">
        <f t="shared" si="29"/>
        <v>-19362.625177749469</v>
      </c>
      <c r="CW33" s="739">
        <f t="shared" si="29"/>
        <v>-19362.625177749469</v>
      </c>
      <c r="CX33" s="107">
        <f t="shared" si="29"/>
        <v>-20582.470563947682</v>
      </c>
      <c r="CY33" s="107">
        <f t="shared" si="29"/>
        <v>-20582.470563947682</v>
      </c>
      <c r="CZ33" s="107">
        <f t="shared" si="29"/>
        <v>-20582.470563947682</v>
      </c>
      <c r="DA33" s="107">
        <f t="shared" si="29"/>
        <v>-20582.470563947682</v>
      </c>
      <c r="DB33" s="107">
        <f t="shared" si="29"/>
        <v>-20582.470563947682</v>
      </c>
      <c r="DC33" s="107">
        <f t="shared" si="29"/>
        <v>-20582.470563947682</v>
      </c>
      <c r="DD33" s="107">
        <f t="shared" si="29"/>
        <v>-20582.470563947682</v>
      </c>
      <c r="DE33" s="107">
        <f t="shared" si="29"/>
        <v>-20582.470563947682</v>
      </c>
      <c r="DF33" s="107">
        <f t="shared" si="29"/>
        <v>-20582.470563947682</v>
      </c>
      <c r="DG33" s="107">
        <f t="shared" si="29"/>
        <v>-20582.470563947682</v>
      </c>
      <c r="DH33" s="107">
        <f t="shared" si="29"/>
        <v>-20582.470563947682</v>
      </c>
      <c r="DI33" s="739">
        <f t="shared" si="29"/>
        <v>-20582.470563947682</v>
      </c>
      <c r="DJ33" s="107">
        <f t="shared" si="29"/>
        <v>-21879.166209476385</v>
      </c>
      <c r="DK33" s="107">
        <f t="shared" si="29"/>
        <v>-21879.166209476385</v>
      </c>
      <c r="DL33" s="107">
        <f t="shared" si="29"/>
        <v>-21879.166209476385</v>
      </c>
      <c r="DM33" s="107">
        <f t="shared" si="29"/>
        <v>-21879.166209476385</v>
      </c>
      <c r="DN33" s="107">
        <f t="shared" si="29"/>
        <v>-21879.166209476385</v>
      </c>
      <c r="DO33" s="107">
        <f t="shared" si="29"/>
        <v>-21879.166209476385</v>
      </c>
      <c r="DP33" s="107">
        <f t="shared" si="29"/>
        <v>-21879.166209476385</v>
      </c>
      <c r="DQ33" s="107">
        <f t="shared" si="29"/>
        <v>-21879.166209476385</v>
      </c>
      <c r="DR33" s="107">
        <f t="shared" si="29"/>
        <v>-21879.166209476385</v>
      </c>
      <c r="DS33" s="107">
        <f t="shared" si="29"/>
        <v>-21879.166209476385</v>
      </c>
      <c r="DT33" s="107">
        <f t="shared" si="29"/>
        <v>-21879.166209476385</v>
      </c>
      <c r="DU33" s="739">
        <f t="shared" si="29"/>
        <v>-21879.166209476385</v>
      </c>
    </row>
    <row r="34" spans="1:125" s="2" customFormat="1" ht="18.75" customHeight="1" x14ac:dyDescent="0.3">
      <c r="A34" s="243"/>
      <c r="B34" s="272" t="s">
        <v>378</v>
      </c>
      <c r="C34" s="272"/>
      <c r="D34" s="272"/>
      <c r="E34" s="10"/>
      <c r="F34" s="738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12"/>
      <c r="R34" s="107"/>
      <c r="S34" s="837"/>
      <c r="T34" s="837"/>
      <c r="U34" s="837"/>
      <c r="V34" s="837"/>
      <c r="W34" s="837"/>
      <c r="X34" s="837"/>
      <c r="Y34" s="837"/>
      <c r="Z34" s="837"/>
      <c r="AA34" s="837"/>
      <c r="AB34" s="837"/>
      <c r="AC34" s="850"/>
      <c r="AD34" s="837"/>
      <c r="AE34" s="837"/>
      <c r="AF34" s="837"/>
      <c r="AG34" s="837"/>
      <c r="AH34" s="837"/>
      <c r="AI34" s="837"/>
      <c r="AJ34" s="837"/>
      <c r="AK34" s="837"/>
      <c r="AL34" s="837"/>
      <c r="AM34" s="837"/>
      <c r="AN34" s="837"/>
      <c r="AO34" s="850"/>
      <c r="AP34" s="837"/>
      <c r="AQ34" s="837"/>
      <c r="AR34" s="837"/>
      <c r="AS34" s="837"/>
      <c r="AT34" s="837"/>
      <c r="AU34" s="837"/>
      <c r="AV34" s="837"/>
      <c r="AW34" s="837"/>
      <c r="AX34" s="837"/>
      <c r="AY34" s="837"/>
      <c r="AZ34" s="837"/>
      <c r="BA34" s="850"/>
      <c r="BB34" s="837"/>
      <c r="BC34" s="837"/>
      <c r="BD34" s="837"/>
      <c r="BE34" s="837"/>
      <c r="BF34" s="837"/>
      <c r="BG34" s="837"/>
      <c r="BH34" s="837"/>
      <c r="BI34" s="837"/>
      <c r="BJ34" s="837"/>
      <c r="BK34" s="837"/>
      <c r="BL34" s="837"/>
      <c r="BM34" s="850"/>
      <c r="BN34" s="837"/>
      <c r="BO34" s="837"/>
      <c r="BP34" s="837"/>
      <c r="BQ34" s="837"/>
      <c r="BR34" s="837"/>
      <c r="BS34" s="837"/>
      <c r="BT34" s="837"/>
      <c r="BU34" s="837"/>
      <c r="BV34" s="837"/>
      <c r="BW34" s="837"/>
      <c r="BX34" s="837"/>
      <c r="BY34" s="850"/>
      <c r="BZ34" s="837"/>
      <c r="CA34" s="837"/>
      <c r="CB34" s="837"/>
      <c r="CC34" s="837"/>
      <c r="CD34" s="837"/>
      <c r="CE34" s="837"/>
      <c r="CF34" s="837"/>
      <c r="CG34" s="837"/>
      <c r="CH34" s="837"/>
      <c r="CI34" s="837"/>
      <c r="CJ34" s="837"/>
      <c r="CK34" s="850"/>
      <c r="CL34" s="837"/>
      <c r="CM34" s="837"/>
      <c r="CN34" s="837"/>
      <c r="CO34" s="837"/>
      <c r="CP34" s="837"/>
      <c r="CQ34" s="837"/>
      <c r="CR34" s="837"/>
      <c r="CS34" s="837"/>
      <c r="CT34" s="837"/>
      <c r="CU34" s="837"/>
      <c r="CV34" s="837"/>
      <c r="CW34" s="850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594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594"/>
    </row>
    <row r="35" spans="1:125" s="2" customFormat="1" ht="18.75" customHeight="1" x14ac:dyDescent="0.25">
      <c r="A35" s="244"/>
      <c r="B35" s="271" t="s">
        <v>379</v>
      </c>
      <c r="C35" s="271" t="s">
        <v>214</v>
      </c>
      <c r="D35" s="271">
        <f>IF(Assumptions!C57&gt;1000,1,0)</f>
        <v>0</v>
      </c>
      <c r="E35" s="10">
        <f>-VLOOKUP(C35,$C$51:$W$59,8,FALSE)</f>
        <v>-8541.6666666666661</v>
      </c>
      <c r="F35" s="738"/>
      <c r="G35" s="404"/>
      <c r="H35" s="404"/>
      <c r="I35" s="404"/>
      <c r="J35" s="404"/>
      <c r="K35" s="404"/>
      <c r="L35" s="404"/>
      <c r="M35" s="404"/>
      <c r="N35" s="404"/>
      <c r="O35" s="404"/>
      <c r="P35" s="404">
        <f t="shared" ref="P35:Q37" si="32">$E35*$D35*P$5</f>
        <v>0</v>
      </c>
      <c r="Q35" s="497">
        <f t="shared" si="32"/>
        <v>0</v>
      </c>
      <c r="R35" s="107">
        <f>$E35*$D35*R$5</f>
        <v>0</v>
      </c>
      <c r="S35" s="106">
        <f t="shared" ref="S35:CD39" si="33">$E35*$D35*S$5</f>
        <v>0</v>
      </c>
      <c r="T35" s="106">
        <f t="shared" si="33"/>
        <v>0</v>
      </c>
      <c r="U35" s="106">
        <f t="shared" si="33"/>
        <v>0</v>
      </c>
      <c r="V35" s="106">
        <f t="shared" si="33"/>
        <v>0</v>
      </c>
      <c r="W35" s="106">
        <f t="shared" si="33"/>
        <v>0</v>
      </c>
      <c r="X35" s="106">
        <f t="shared" si="33"/>
        <v>0</v>
      </c>
      <c r="Y35" s="106">
        <f t="shared" si="33"/>
        <v>0</v>
      </c>
      <c r="Z35" s="106">
        <f t="shared" si="33"/>
        <v>0</v>
      </c>
      <c r="AA35" s="106">
        <f t="shared" si="33"/>
        <v>0</v>
      </c>
      <c r="AB35" s="106">
        <f t="shared" si="33"/>
        <v>0</v>
      </c>
      <c r="AC35" s="108">
        <f t="shared" si="33"/>
        <v>0</v>
      </c>
      <c r="AD35" s="107">
        <f t="shared" si="33"/>
        <v>0</v>
      </c>
      <c r="AE35" s="106">
        <f t="shared" si="33"/>
        <v>0</v>
      </c>
      <c r="AF35" s="106">
        <f t="shared" si="33"/>
        <v>0</v>
      </c>
      <c r="AG35" s="106">
        <f t="shared" si="33"/>
        <v>0</v>
      </c>
      <c r="AH35" s="106">
        <f t="shared" si="33"/>
        <v>0</v>
      </c>
      <c r="AI35" s="106">
        <f t="shared" si="33"/>
        <v>0</v>
      </c>
      <c r="AJ35" s="106">
        <f t="shared" si="33"/>
        <v>0</v>
      </c>
      <c r="AK35" s="106">
        <f t="shared" si="33"/>
        <v>0</v>
      </c>
      <c r="AL35" s="106">
        <f t="shared" si="33"/>
        <v>0</v>
      </c>
      <c r="AM35" s="106">
        <f t="shared" si="33"/>
        <v>0</v>
      </c>
      <c r="AN35" s="106">
        <f t="shared" si="33"/>
        <v>0</v>
      </c>
      <c r="AO35" s="108">
        <f t="shared" si="33"/>
        <v>0</v>
      </c>
      <c r="AP35" s="107">
        <f t="shared" si="33"/>
        <v>0</v>
      </c>
      <c r="AQ35" s="106">
        <f t="shared" si="33"/>
        <v>0</v>
      </c>
      <c r="AR35" s="106">
        <f t="shared" si="33"/>
        <v>0</v>
      </c>
      <c r="AS35" s="106">
        <f t="shared" si="33"/>
        <v>0</v>
      </c>
      <c r="AT35" s="106">
        <f t="shared" si="33"/>
        <v>0</v>
      </c>
      <c r="AU35" s="106">
        <f t="shared" si="33"/>
        <v>0</v>
      </c>
      <c r="AV35" s="106">
        <f t="shared" si="33"/>
        <v>0</v>
      </c>
      <c r="AW35" s="106">
        <f t="shared" si="33"/>
        <v>0</v>
      </c>
      <c r="AX35" s="106">
        <f t="shared" si="33"/>
        <v>0</v>
      </c>
      <c r="AY35" s="106">
        <f t="shared" si="33"/>
        <v>0</v>
      </c>
      <c r="AZ35" s="106">
        <f t="shared" si="33"/>
        <v>0</v>
      </c>
      <c r="BA35" s="108">
        <f t="shared" si="33"/>
        <v>0</v>
      </c>
      <c r="BB35" s="107">
        <f t="shared" si="33"/>
        <v>0</v>
      </c>
      <c r="BC35" s="106">
        <f t="shared" si="33"/>
        <v>0</v>
      </c>
      <c r="BD35" s="106">
        <f t="shared" si="33"/>
        <v>0</v>
      </c>
      <c r="BE35" s="106">
        <f t="shared" si="33"/>
        <v>0</v>
      </c>
      <c r="BF35" s="106">
        <f t="shared" si="33"/>
        <v>0</v>
      </c>
      <c r="BG35" s="106">
        <f t="shared" si="33"/>
        <v>0</v>
      </c>
      <c r="BH35" s="106">
        <f t="shared" si="33"/>
        <v>0</v>
      </c>
      <c r="BI35" s="106">
        <f t="shared" si="33"/>
        <v>0</v>
      </c>
      <c r="BJ35" s="106">
        <f t="shared" si="33"/>
        <v>0</v>
      </c>
      <c r="BK35" s="106">
        <f t="shared" si="33"/>
        <v>0</v>
      </c>
      <c r="BL35" s="106">
        <f t="shared" si="33"/>
        <v>0</v>
      </c>
      <c r="BM35" s="108">
        <f t="shared" si="33"/>
        <v>0</v>
      </c>
      <c r="BN35" s="107">
        <f t="shared" si="33"/>
        <v>0</v>
      </c>
      <c r="BO35" s="106">
        <f t="shared" si="33"/>
        <v>0</v>
      </c>
      <c r="BP35" s="106">
        <f t="shared" si="33"/>
        <v>0</v>
      </c>
      <c r="BQ35" s="106">
        <f t="shared" si="33"/>
        <v>0</v>
      </c>
      <c r="BR35" s="106">
        <f t="shared" si="33"/>
        <v>0</v>
      </c>
      <c r="BS35" s="106">
        <f t="shared" si="33"/>
        <v>0</v>
      </c>
      <c r="BT35" s="106">
        <f t="shared" si="33"/>
        <v>0</v>
      </c>
      <c r="BU35" s="106">
        <f t="shared" si="33"/>
        <v>0</v>
      </c>
      <c r="BV35" s="106">
        <f t="shared" si="33"/>
        <v>0</v>
      </c>
      <c r="BW35" s="106">
        <f t="shared" si="33"/>
        <v>0</v>
      </c>
      <c r="BX35" s="106">
        <f t="shared" si="33"/>
        <v>0</v>
      </c>
      <c r="BY35" s="108">
        <f t="shared" si="33"/>
        <v>0</v>
      </c>
      <c r="BZ35" s="107">
        <f t="shared" si="33"/>
        <v>0</v>
      </c>
      <c r="CA35" s="106">
        <f t="shared" si="33"/>
        <v>0</v>
      </c>
      <c r="CB35" s="106">
        <f t="shared" si="33"/>
        <v>0</v>
      </c>
      <c r="CC35" s="106">
        <f t="shared" si="33"/>
        <v>0</v>
      </c>
      <c r="CD35" s="106">
        <f t="shared" si="33"/>
        <v>0</v>
      </c>
      <c r="CE35" s="106">
        <f t="shared" ref="CE35:DU40" si="34">$E35*$D35*CE$5</f>
        <v>0</v>
      </c>
      <c r="CF35" s="106">
        <f t="shared" si="34"/>
        <v>0</v>
      </c>
      <c r="CG35" s="106">
        <f t="shared" si="34"/>
        <v>0</v>
      </c>
      <c r="CH35" s="106">
        <f t="shared" si="34"/>
        <v>0</v>
      </c>
      <c r="CI35" s="106">
        <f t="shared" si="34"/>
        <v>0</v>
      </c>
      <c r="CJ35" s="106">
        <f t="shared" si="34"/>
        <v>0</v>
      </c>
      <c r="CK35" s="108">
        <f t="shared" si="34"/>
        <v>0</v>
      </c>
      <c r="CL35" s="107">
        <f t="shared" si="34"/>
        <v>0</v>
      </c>
      <c r="CM35" s="106">
        <f t="shared" si="34"/>
        <v>0</v>
      </c>
      <c r="CN35" s="106">
        <f t="shared" si="34"/>
        <v>0</v>
      </c>
      <c r="CO35" s="106">
        <f t="shared" si="34"/>
        <v>0</v>
      </c>
      <c r="CP35" s="106">
        <f t="shared" si="34"/>
        <v>0</v>
      </c>
      <c r="CQ35" s="106">
        <f t="shared" si="34"/>
        <v>0</v>
      </c>
      <c r="CR35" s="106">
        <f t="shared" si="34"/>
        <v>0</v>
      </c>
      <c r="CS35" s="106">
        <f t="shared" si="34"/>
        <v>0</v>
      </c>
      <c r="CT35" s="106">
        <f t="shared" si="34"/>
        <v>0</v>
      </c>
      <c r="CU35" s="106">
        <f t="shared" si="34"/>
        <v>0</v>
      </c>
      <c r="CV35" s="106">
        <f t="shared" si="34"/>
        <v>0</v>
      </c>
      <c r="CW35" s="108">
        <f t="shared" si="34"/>
        <v>0</v>
      </c>
      <c r="CX35" s="107">
        <f t="shared" si="34"/>
        <v>0</v>
      </c>
      <c r="CY35" s="106">
        <f t="shared" si="34"/>
        <v>0</v>
      </c>
      <c r="CZ35" s="106">
        <f t="shared" si="34"/>
        <v>0</v>
      </c>
      <c r="DA35" s="106">
        <f t="shared" si="34"/>
        <v>0</v>
      </c>
      <c r="DB35" s="106">
        <f t="shared" si="34"/>
        <v>0</v>
      </c>
      <c r="DC35" s="106">
        <f t="shared" si="34"/>
        <v>0</v>
      </c>
      <c r="DD35" s="106">
        <f t="shared" si="34"/>
        <v>0</v>
      </c>
      <c r="DE35" s="106">
        <f t="shared" si="34"/>
        <v>0</v>
      </c>
      <c r="DF35" s="106">
        <f t="shared" si="34"/>
        <v>0</v>
      </c>
      <c r="DG35" s="106">
        <f t="shared" si="34"/>
        <v>0</v>
      </c>
      <c r="DH35" s="106">
        <f t="shared" si="34"/>
        <v>0</v>
      </c>
      <c r="DI35" s="108">
        <f t="shared" si="34"/>
        <v>0</v>
      </c>
      <c r="DJ35" s="107">
        <f t="shared" si="34"/>
        <v>0</v>
      </c>
      <c r="DK35" s="106">
        <f t="shared" si="34"/>
        <v>0</v>
      </c>
      <c r="DL35" s="106">
        <f t="shared" si="34"/>
        <v>0</v>
      </c>
      <c r="DM35" s="106">
        <f t="shared" si="34"/>
        <v>0</v>
      </c>
      <c r="DN35" s="106">
        <f t="shared" si="34"/>
        <v>0</v>
      </c>
      <c r="DO35" s="106">
        <f t="shared" si="34"/>
        <v>0</v>
      </c>
      <c r="DP35" s="106">
        <f t="shared" si="34"/>
        <v>0</v>
      </c>
      <c r="DQ35" s="106">
        <f t="shared" si="34"/>
        <v>0</v>
      </c>
      <c r="DR35" s="106">
        <f t="shared" si="34"/>
        <v>0</v>
      </c>
      <c r="DS35" s="106">
        <f t="shared" si="34"/>
        <v>0</v>
      </c>
      <c r="DT35" s="106">
        <f t="shared" si="34"/>
        <v>0</v>
      </c>
      <c r="DU35" s="108">
        <f t="shared" si="34"/>
        <v>0</v>
      </c>
    </row>
    <row r="36" spans="1:125" s="2" customFormat="1" ht="18.75" customHeight="1" x14ac:dyDescent="0.3">
      <c r="A36" s="243"/>
      <c r="B36" s="271" t="s">
        <v>243</v>
      </c>
      <c r="C36" s="271" t="s">
        <v>213</v>
      </c>
      <c r="D36" s="271">
        <f>IF(Assumptions!C57&gt;1000,2,1)</f>
        <v>1</v>
      </c>
      <c r="E36" s="10">
        <f>-VLOOKUP(C36,$C$51:$W$59,8,FALSE)</f>
        <v>-6375</v>
      </c>
      <c r="F36" s="738"/>
      <c r="G36" s="404"/>
      <c r="H36" s="404"/>
      <c r="I36" s="404"/>
      <c r="J36" s="404"/>
      <c r="K36" s="404"/>
      <c r="L36" s="404"/>
      <c r="M36" s="404"/>
      <c r="N36" s="404"/>
      <c r="O36" s="404"/>
      <c r="P36" s="404">
        <f t="shared" si="32"/>
        <v>-6375</v>
      </c>
      <c r="Q36" s="497">
        <f t="shared" si="32"/>
        <v>-6375</v>
      </c>
      <c r="R36" s="107">
        <f>$E36*$D36*R$5</f>
        <v>-6776.625</v>
      </c>
      <c r="S36" s="106">
        <f t="shared" si="33"/>
        <v>-6776.625</v>
      </c>
      <c r="T36" s="106">
        <f t="shared" si="33"/>
        <v>-6776.625</v>
      </c>
      <c r="U36" s="106">
        <f t="shared" si="33"/>
        <v>-6776.625</v>
      </c>
      <c r="V36" s="106">
        <f t="shared" si="33"/>
        <v>-6776.625</v>
      </c>
      <c r="W36" s="106">
        <f t="shared" si="33"/>
        <v>-6776.625</v>
      </c>
      <c r="X36" s="106">
        <f t="shared" si="33"/>
        <v>-6776.625</v>
      </c>
      <c r="Y36" s="106">
        <f t="shared" si="33"/>
        <v>-6776.625</v>
      </c>
      <c r="Z36" s="106">
        <f t="shared" si="33"/>
        <v>-6776.625</v>
      </c>
      <c r="AA36" s="106">
        <f t="shared" si="33"/>
        <v>-6776.625</v>
      </c>
      <c r="AB36" s="106">
        <f t="shared" si="33"/>
        <v>-6776.625</v>
      </c>
      <c r="AC36" s="108">
        <f t="shared" si="33"/>
        <v>-6776.625</v>
      </c>
      <c r="AD36" s="107">
        <f t="shared" si="33"/>
        <v>-7203.5523749999984</v>
      </c>
      <c r="AE36" s="106">
        <f t="shared" si="33"/>
        <v>-7203.5523749999984</v>
      </c>
      <c r="AF36" s="106">
        <f t="shared" si="33"/>
        <v>-7203.5523749999984</v>
      </c>
      <c r="AG36" s="106">
        <f t="shared" si="33"/>
        <v>-7203.5523749999984</v>
      </c>
      <c r="AH36" s="106">
        <f t="shared" si="33"/>
        <v>-7203.5523749999984</v>
      </c>
      <c r="AI36" s="106">
        <f t="shared" si="33"/>
        <v>-7203.5523749999984</v>
      </c>
      <c r="AJ36" s="106">
        <f t="shared" si="33"/>
        <v>-7203.5523749999984</v>
      </c>
      <c r="AK36" s="106">
        <f t="shared" si="33"/>
        <v>-7203.5523749999984</v>
      </c>
      <c r="AL36" s="106">
        <f t="shared" si="33"/>
        <v>-7203.5523749999984</v>
      </c>
      <c r="AM36" s="106">
        <f t="shared" si="33"/>
        <v>-7203.5523749999984</v>
      </c>
      <c r="AN36" s="106">
        <f t="shared" si="33"/>
        <v>-7203.5523749999984</v>
      </c>
      <c r="AO36" s="108">
        <f t="shared" si="33"/>
        <v>-7203.5523749999984</v>
      </c>
      <c r="AP36" s="107">
        <f t="shared" si="33"/>
        <v>-7657.3761746249984</v>
      </c>
      <c r="AQ36" s="106">
        <f t="shared" si="33"/>
        <v>-7657.3761746249984</v>
      </c>
      <c r="AR36" s="106">
        <f t="shared" si="33"/>
        <v>-7657.3761746249984</v>
      </c>
      <c r="AS36" s="106">
        <f t="shared" si="33"/>
        <v>-7657.3761746249984</v>
      </c>
      <c r="AT36" s="106">
        <f t="shared" si="33"/>
        <v>-7657.3761746249984</v>
      </c>
      <c r="AU36" s="106">
        <f t="shared" si="33"/>
        <v>-7657.3761746249984</v>
      </c>
      <c r="AV36" s="106">
        <f t="shared" si="33"/>
        <v>-7657.3761746249984</v>
      </c>
      <c r="AW36" s="106">
        <f t="shared" si="33"/>
        <v>-7657.3761746249984</v>
      </c>
      <c r="AX36" s="106">
        <f t="shared" si="33"/>
        <v>-7657.3761746249984</v>
      </c>
      <c r="AY36" s="106">
        <f t="shared" si="33"/>
        <v>-7657.3761746249984</v>
      </c>
      <c r="AZ36" s="106">
        <f t="shared" si="33"/>
        <v>-7657.3761746249984</v>
      </c>
      <c r="BA36" s="108">
        <f t="shared" si="33"/>
        <v>-7657.3761746249984</v>
      </c>
      <c r="BB36" s="107">
        <f t="shared" si="33"/>
        <v>-8139.7908736263726</v>
      </c>
      <c r="BC36" s="106">
        <f t="shared" si="33"/>
        <v>-8139.7908736263726</v>
      </c>
      <c r="BD36" s="106">
        <f t="shared" si="33"/>
        <v>-8139.7908736263726</v>
      </c>
      <c r="BE36" s="106">
        <f t="shared" si="33"/>
        <v>-8139.7908736263726</v>
      </c>
      <c r="BF36" s="106">
        <f t="shared" si="33"/>
        <v>-8139.7908736263726</v>
      </c>
      <c r="BG36" s="106">
        <f t="shared" si="33"/>
        <v>-8139.7908736263726</v>
      </c>
      <c r="BH36" s="106">
        <f t="shared" si="33"/>
        <v>-8139.7908736263726</v>
      </c>
      <c r="BI36" s="106">
        <f t="shared" si="33"/>
        <v>-8139.7908736263726</v>
      </c>
      <c r="BJ36" s="106">
        <f t="shared" si="33"/>
        <v>-8139.7908736263726</v>
      </c>
      <c r="BK36" s="106">
        <f t="shared" si="33"/>
        <v>-8139.7908736263726</v>
      </c>
      <c r="BL36" s="106">
        <f t="shared" si="33"/>
        <v>-8139.7908736263726</v>
      </c>
      <c r="BM36" s="108">
        <f t="shared" si="33"/>
        <v>-8139.7908736263726</v>
      </c>
      <c r="BN36" s="107">
        <f t="shared" si="33"/>
        <v>-8652.5976986648329</v>
      </c>
      <c r="BO36" s="106">
        <f t="shared" si="33"/>
        <v>-8652.5976986648329</v>
      </c>
      <c r="BP36" s="106">
        <f t="shared" si="33"/>
        <v>-8652.5976986648329</v>
      </c>
      <c r="BQ36" s="106">
        <f t="shared" si="33"/>
        <v>-8652.5976986648329</v>
      </c>
      <c r="BR36" s="106">
        <f t="shared" si="33"/>
        <v>-8652.5976986648329</v>
      </c>
      <c r="BS36" s="106">
        <f t="shared" si="33"/>
        <v>-8652.5976986648329</v>
      </c>
      <c r="BT36" s="106">
        <f t="shared" si="33"/>
        <v>-8652.5976986648329</v>
      </c>
      <c r="BU36" s="106">
        <f t="shared" si="33"/>
        <v>-8652.5976986648329</v>
      </c>
      <c r="BV36" s="106">
        <f t="shared" si="33"/>
        <v>-8652.5976986648329</v>
      </c>
      <c r="BW36" s="106">
        <f t="shared" si="33"/>
        <v>-8652.5976986648329</v>
      </c>
      <c r="BX36" s="106">
        <f t="shared" si="33"/>
        <v>-8652.5976986648329</v>
      </c>
      <c r="BY36" s="108">
        <f t="shared" si="33"/>
        <v>-8652.5976986648329</v>
      </c>
      <c r="BZ36" s="107">
        <f t="shared" si="33"/>
        <v>-9197.7113536807174</v>
      </c>
      <c r="CA36" s="106">
        <f t="shared" si="33"/>
        <v>-9197.7113536807174</v>
      </c>
      <c r="CB36" s="106">
        <f t="shared" si="33"/>
        <v>-9197.7113536807174</v>
      </c>
      <c r="CC36" s="106">
        <f t="shared" si="33"/>
        <v>-9197.7113536807174</v>
      </c>
      <c r="CD36" s="106">
        <f t="shared" si="33"/>
        <v>-9197.7113536807174</v>
      </c>
      <c r="CE36" s="106">
        <f t="shared" si="34"/>
        <v>-9197.7113536807174</v>
      </c>
      <c r="CF36" s="106">
        <f t="shared" si="34"/>
        <v>-9197.7113536807174</v>
      </c>
      <c r="CG36" s="106">
        <f t="shared" si="34"/>
        <v>-9197.7113536807174</v>
      </c>
      <c r="CH36" s="106">
        <f t="shared" si="34"/>
        <v>-9197.7113536807174</v>
      </c>
      <c r="CI36" s="106">
        <f t="shared" si="34"/>
        <v>-9197.7113536807174</v>
      </c>
      <c r="CJ36" s="106">
        <f t="shared" si="34"/>
        <v>-9197.7113536807174</v>
      </c>
      <c r="CK36" s="108">
        <f t="shared" si="34"/>
        <v>-9197.7113536807174</v>
      </c>
      <c r="CL36" s="107">
        <f t="shared" si="34"/>
        <v>-9777.1671689626019</v>
      </c>
      <c r="CM36" s="106">
        <f t="shared" si="34"/>
        <v>-9777.1671689626019</v>
      </c>
      <c r="CN36" s="106">
        <f t="shared" si="34"/>
        <v>-9777.1671689626019</v>
      </c>
      <c r="CO36" s="106">
        <f t="shared" si="34"/>
        <v>-9777.1671689626019</v>
      </c>
      <c r="CP36" s="106">
        <f t="shared" si="34"/>
        <v>-9777.1671689626019</v>
      </c>
      <c r="CQ36" s="106">
        <f t="shared" si="34"/>
        <v>-9777.1671689626019</v>
      </c>
      <c r="CR36" s="106">
        <f t="shared" si="34"/>
        <v>-9777.1671689626019</v>
      </c>
      <c r="CS36" s="106">
        <f t="shared" si="34"/>
        <v>-9777.1671689626019</v>
      </c>
      <c r="CT36" s="106">
        <f t="shared" si="34"/>
        <v>-9777.1671689626019</v>
      </c>
      <c r="CU36" s="106">
        <f t="shared" si="34"/>
        <v>-9777.1671689626019</v>
      </c>
      <c r="CV36" s="106">
        <f t="shared" si="34"/>
        <v>-9777.1671689626019</v>
      </c>
      <c r="CW36" s="108">
        <f t="shared" si="34"/>
        <v>-9777.1671689626019</v>
      </c>
      <c r="CX36" s="107">
        <f t="shared" si="34"/>
        <v>-10393.128700607245</v>
      </c>
      <c r="CY36" s="106">
        <f t="shared" si="34"/>
        <v>-10393.128700607245</v>
      </c>
      <c r="CZ36" s="106">
        <f t="shared" si="34"/>
        <v>-10393.128700607245</v>
      </c>
      <c r="DA36" s="106">
        <f t="shared" si="34"/>
        <v>-10393.128700607245</v>
      </c>
      <c r="DB36" s="106">
        <f t="shared" si="34"/>
        <v>-10393.128700607245</v>
      </c>
      <c r="DC36" s="106">
        <f t="shared" si="34"/>
        <v>-10393.128700607245</v>
      </c>
      <c r="DD36" s="106">
        <f t="shared" si="34"/>
        <v>-10393.128700607245</v>
      </c>
      <c r="DE36" s="106">
        <f t="shared" si="34"/>
        <v>-10393.128700607245</v>
      </c>
      <c r="DF36" s="106">
        <f t="shared" si="34"/>
        <v>-10393.128700607245</v>
      </c>
      <c r="DG36" s="106">
        <f t="shared" si="34"/>
        <v>-10393.128700607245</v>
      </c>
      <c r="DH36" s="106">
        <f t="shared" si="34"/>
        <v>-10393.128700607245</v>
      </c>
      <c r="DI36" s="108">
        <f t="shared" si="34"/>
        <v>-10393.128700607245</v>
      </c>
      <c r="DJ36" s="107">
        <f t="shared" si="34"/>
        <v>-11047.895808745501</v>
      </c>
      <c r="DK36" s="106">
        <f t="shared" si="34"/>
        <v>-11047.895808745501</v>
      </c>
      <c r="DL36" s="106">
        <f t="shared" si="34"/>
        <v>-11047.895808745501</v>
      </c>
      <c r="DM36" s="106">
        <f t="shared" si="34"/>
        <v>-11047.895808745501</v>
      </c>
      <c r="DN36" s="106">
        <f t="shared" si="34"/>
        <v>-11047.895808745501</v>
      </c>
      <c r="DO36" s="106">
        <f t="shared" si="34"/>
        <v>-11047.895808745501</v>
      </c>
      <c r="DP36" s="106">
        <f t="shared" si="34"/>
        <v>-11047.895808745501</v>
      </c>
      <c r="DQ36" s="106">
        <f t="shared" si="34"/>
        <v>-11047.895808745501</v>
      </c>
      <c r="DR36" s="106">
        <f t="shared" si="34"/>
        <v>-11047.895808745501</v>
      </c>
      <c r="DS36" s="106">
        <f t="shared" si="34"/>
        <v>-11047.895808745501</v>
      </c>
      <c r="DT36" s="106">
        <f t="shared" si="34"/>
        <v>-11047.895808745501</v>
      </c>
      <c r="DU36" s="108">
        <f t="shared" si="34"/>
        <v>-11047.895808745501</v>
      </c>
    </row>
    <row r="37" spans="1:125" s="2" customFormat="1" ht="18.75" customHeight="1" x14ac:dyDescent="0.25">
      <c r="A37" s="244"/>
      <c r="B37" s="271" t="s">
        <v>209</v>
      </c>
      <c r="C37" s="271" t="s">
        <v>211</v>
      </c>
      <c r="D37" s="271">
        <f>IF(Assumptions!C57&gt;1000,2,1)</f>
        <v>1</v>
      </c>
      <c r="E37" s="10">
        <f>-VLOOKUP(C37,$C$51:$W$59,8,FALSE)</f>
        <v>-4208.333333333333</v>
      </c>
      <c r="F37" s="738"/>
      <c r="G37" s="404"/>
      <c r="H37" s="404"/>
      <c r="I37" s="404"/>
      <c r="J37" s="404"/>
      <c r="K37" s="404"/>
      <c r="L37" s="404"/>
      <c r="M37" s="404"/>
      <c r="N37" s="404"/>
      <c r="O37" s="404"/>
      <c r="P37" s="404">
        <f t="shared" si="32"/>
        <v>-4208.333333333333</v>
      </c>
      <c r="Q37" s="497">
        <f t="shared" si="32"/>
        <v>-4208.333333333333</v>
      </c>
      <c r="R37" s="107">
        <f>$E37*$D37*R$5</f>
        <v>-4473.458333333333</v>
      </c>
      <c r="S37" s="106">
        <f t="shared" si="33"/>
        <v>-4473.458333333333</v>
      </c>
      <c r="T37" s="106">
        <f t="shared" si="33"/>
        <v>-4473.458333333333</v>
      </c>
      <c r="U37" s="106">
        <f t="shared" si="33"/>
        <v>-4473.458333333333</v>
      </c>
      <c r="V37" s="106">
        <f t="shared" si="33"/>
        <v>-4473.458333333333</v>
      </c>
      <c r="W37" s="106">
        <f t="shared" si="33"/>
        <v>-4473.458333333333</v>
      </c>
      <c r="X37" s="106">
        <f t="shared" si="33"/>
        <v>-4473.458333333333</v>
      </c>
      <c r="Y37" s="106">
        <f t="shared" si="33"/>
        <v>-4473.458333333333</v>
      </c>
      <c r="Z37" s="106">
        <f t="shared" si="33"/>
        <v>-4473.458333333333</v>
      </c>
      <c r="AA37" s="106">
        <f t="shared" si="33"/>
        <v>-4473.458333333333</v>
      </c>
      <c r="AB37" s="106">
        <f t="shared" si="33"/>
        <v>-4473.458333333333</v>
      </c>
      <c r="AC37" s="108">
        <f t="shared" si="33"/>
        <v>-4473.458333333333</v>
      </c>
      <c r="AD37" s="107">
        <f t="shared" si="33"/>
        <v>-4755.2862083333321</v>
      </c>
      <c r="AE37" s="106">
        <f t="shared" si="33"/>
        <v>-4755.2862083333321</v>
      </c>
      <c r="AF37" s="106">
        <f t="shared" si="33"/>
        <v>-4755.2862083333321</v>
      </c>
      <c r="AG37" s="106">
        <f t="shared" si="33"/>
        <v>-4755.2862083333321</v>
      </c>
      <c r="AH37" s="106">
        <f t="shared" si="33"/>
        <v>-4755.2862083333321</v>
      </c>
      <c r="AI37" s="106">
        <f t="shared" si="33"/>
        <v>-4755.2862083333321</v>
      </c>
      <c r="AJ37" s="106">
        <f t="shared" si="33"/>
        <v>-4755.2862083333321</v>
      </c>
      <c r="AK37" s="106">
        <f t="shared" si="33"/>
        <v>-4755.2862083333321</v>
      </c>
      <c r="AL37" s="106">
        <f t="shared" si="33"/>
        <v>-4755.2862083333321</v>
      </c>
      <c r="AM37" s="106">
        <f t="shared" si="33"/>
        <v>-4755.2862083333321</v>
      </c>
      <c r="AN37" s="106">
        <f t="shared" si="33"/>
        <v>-4755.2862083333321</v>
      </c>
      <c r="AO37" s="108">
        <f t="shared" si="33"/>
        <v>-4755.2862083333321</v>
      </c>
      <c r="AP37" s="107">
        <f t="shared" si="33"/>
        <v>-5054.8692394583313</v>
      </c>
      <c r="AQ37" s="106">
        <f t="shared" si="33"/>
        <v>-5054.8692394583313</v>
      </c>
      <c r="AR37" s="106">
        <f t="shared" si="33"/>
        <v>-5054.8692394583313</v>
      </c>
      <c r="AS37" s="106">
        <f t="shared" si="33"/>
        <v>-5054.8692394583313</v>
      </c>
      <c r="AT37" s="106">
        <f t="shared" si="33"/>
        <v>-5054.8692394583313</v>
      </c>
      <c r="AU37" s="106">
        <f t="shared" si="33"/>
        <v>-5054.8692394583313</v>
      </c>
      <c r="AV37" s="106">
        <f t="shared" si="33"/>
        <v>-5054.8692394583313</v>
      </c>
      <c r="AW37" s="106">
        <f t="shared" si="33"/>
        <v>-5054.8692394583313</v>
      </c>
      <c r="AX37" s="106">
        <f t="shared" si="33"/>
        <v>-5054.8692394583313</v>
      </c>
      <c r="AY37" s="106">
        <f t="shared" si="33"/>
        <v>-5054.8692394583313</v>
      </c>
      <c r="AZ37" s="106">
        <f t="shared" si="33"/>
        <v>-5054.8692394583313</v>
      </c>
      <c r="BA37" s="108">
        <f t="shared" si="33"/>
        <v>-5054.8692394583313</v>
      </c>
      <c r="BB37" s="107">
        <f t="shared" si="33"/>
        <v>-5373.3260015442065</v>
      </c>
      <c r="BC37" s="106">
        <f t="shared" si="33"/>
        <v>-5373.3260015442065</v>
      </c>
      <c r="BD37" s="106">
        <f t="shared" si="33"/>
        <v>-5373.3260015442065</v>
      </c>
      <c r="BE37" s="106">
        <f t="shared" si="33"/>
        <v>-5373.3260015442065</v>
      </c>
      <c r="BF37" s="106">
        <f t="shared" si="33"/>
        <v>-5373.3260015442065</v>
      </c>
      <c r="BG37" s="106">
        <f t="shared" si="33"/>
        <v>-5373.3260015442065</v>
      </c>
      <c r="BH37" s="106">
        <f t="shared" si="33"/>
        <v>-5373.3260015442065</v>
      </c>
      <c r="BI37" s="106">
        <f t="shared" si="33"/>
        <v>-5373.3260015442065</v>
      </c>
      <c r="BJ37" s="106">
        <f t="shared" si="33"/>
        <v>-5373.3260015442065</v>
      </c>
      <c r="BK37" s="106">
        <f t="shared" si="33"/>
        <v>-5373.3260015442065</v>
      </c>
      <c r="BL37" s="106">
        <f t="shared" si="33"/>
        <v>-5373.3260015442065</v>
      </c>
      <c r="BM37" s="108">
        <f t="shared" si="33"/>
        <v>-5373.3260015442065</v>
      </c>
      <c r="BN37" s="107">
        <f t="shared" si="33"/>
        <v>-5711.8455396414911</v>
      </c>
      <c r="BO37" s="106">
        <f t="shared" si="33"/>
        <v>-5711.8455396414911</v>
      </c>
      <c r="BP37" s="106">
        <f t="shared" si="33"/>
        <v>-5711.8455396414911</v>
      </c>
      <c r="BQ37" s="106">
        <f t="shared" si="33"/>
        <v>-5711.8455396414911</v>
      </c>
      <c r="BR37" s="106">
        <f t="shared" si="33"/>
        <v>-5711.8455396414911</v>
      </c>
      <c r="BS37" s="106">
        <f t="shared" si="33"/>
        <v>-5711.8455396414911</v>
      </c>
      <c r="BT37" s="106">
        <f t="shared" si="33"/>
        <v>-5711.8455396414911</v>
      </c>
      <c r="BU37" s="106">
        <f t="shared" si="33"/>
        <v>-5711.8455396414911</v>
      </c>
      <c r="BV37" s="106">
        <f t="shared" si="33"/>
        <v>-5711.8455396414911</v>
      </c>
      <c r="BW37" s="106">
        <f t="shared" si="33"/>
        <v>-5711.8455396414911</v>
      </c>
      <c r="BX37" s="106">
        <f t="shared" si="33"/>
        <v>-5711.8455396414911</v>
      </c>
      <c r="BY37" s="108">
        <f t="shared" si="33"/>
        <v>-5711.8455396414911</v>
      </c>
      <c r="BZ37" s="107">
        <f t="shared" si="33"/>
        <v>-6071.6918086389051</v>
      </c>
      <c r="CA37" s="106">
        <f t="shared" si="33"/>
        <v>-6071.6918086389051</v>
      </c>
      <c r="CB37" s="106">
        <f t="shared" si="33"/>
        <v>-6071.6918086389051</v>
      </c>
      <c r="CC37" s="106">
        <f t="shared" si="33"/>
        <v>-6071.6918086389051</v>
      </c>
      <c r="CD37" s="106">
        <f t="shared" si="33"/>
        <v>-6071.6918086389051</v>
      </c>
      <c r="CE37" s="106">
        <f t="shared" si="34"/>
        <v>-6071.6918086389051</v>
      </c>
      <c r="CF37" s="106">
        <f t="shared" si="34"/>
        <v>-6071.6918086389051</v>
      </c>
      <c r="CG37" s="106">
        <f t="shared" si="34"/>
        <v>-6071.6918086389051</v>
      </c>
      <c r="CH37" s="106">
        <f t="shared" si="34"/>
        <v>-6071.6918086389051</v>
      </c>
      <c r="CI37" s="106">
        <f t="shared" si="34"/>
        <v>-6071.6918086389051</v>
      </c>
      <c r="CJ37" s="106">
        <f t="shared" si="34"/>
        <v>-6071.6918086389051</v>
      </c>
      <c r="CK37" s="108">
        <f t="shared" si="34"/>
        <v>-6071.6918086389051</v>
      </c>
      <c r="CL37" s="107">
        <f t="shared" si="34"/>
        <v>-6454.2083925831557</v>
      </c>
      <c r="CM37" s="106">
        <f t="shared" si="34"/>
        <v>-6454.2083925831557</v>
      </c>
      <c r="CN37" s="106">
        <f t="shared" si="34"/>
        <v>-6454.2083925831557</v>
      </c>
      <c r="CO37" s="106">
        <f t="shared" si="34"/>
        <v>-6454.2083925831557</v>
      </c>
      <c r="CP37" s="106">
        <f t="shared" si="34"/>
        <v>-6454.2083925831557</v>
      </c>
      <c r="CQ37" s="106">
        <f t="shared" si="34"/>
        <v>-6454.2083925831557</v>
      </c>
      <c r="CR37" s="106">
        <f t="shared" si="34"/>
        <v>-6454.2083925831557</v>
      </c>
      <c r="CS37" s="106">
        <f t="shared" si="34"/>
        <v>-6454.2083925831557</v>
      </c>
      <c r="CT37" s="106">
        <f t="shared" si="34"/>
        <v>-6454.2083925831557</v>
      </c>
      <c r="CU37" s="106">
        <f t="shared" si="34"/>
        <v>-6454.2083925831557</v>
      </c>
      <c r="CV37" s="106">
        <f t="shared" si="34"/>
        <v>-6454.2083925831557</v>
      </c>
      <c r="CW37" s="108">
        <f t="shared" si="34"/>
        <v>-6454.2083925831557</v>
      </c>
      <c r="CX37" s="107">
        <f t="shared" si="34"/>
        <v>-6860.8235213158941</v>
      </c>
      <c r="CY37" s="106">
        <f t="shared" si="34"/>
        <v>-6860.8235213158941</v>
      </c>
      <c r="CZ37" s="106">
        <f t="shared" si="34"/>
        <v>-6860.8235213158941</v>
      </c>
      <c r="DA37" s="106">
        <f t="shared" si="34"/>
        <v>-6860.8235213158941</v>
      </c>
      <c r="DB37" s="106">
        <f t="shared" si="34"/>
        <v>-6860.8235213158941</v>
      </c>
      <c r="DC37" s="106">
        <f t="shared" si="34"/>
        <v>-6860.8235213158941</v>
      </c>
      <c r="DD37" s="106">
        <f t="shared" si="34"/>
        <v>-6860.8235213158941</v>
      </c>
      <c r="DE37" s="106">
        <f t="shared" si="34"/>
        <v>-6860.8235213158941</v>
      </c>
      <c r="DF37" s="106">
        <f t="shared" si="34"/>
        <v>-6860.8235213158941</v>
      </c>
      <c r="DG37" s="106">
        <f t="shared" si="34"/>
        <v>-6860.8235213158941</v>
      </c>
      <c r="DH37" s="106">
        <f t="shared" si="34"/>
        <v>-6860.8235213158941</v>
      </c>
      <c r="DI37" s="108">
        <f t="shared" si="34"/>
        <v>-6860.8235213158941</v>
      </c>
      <c r="DJ37" s="107">
        <f t="shared" si="34"/>
        <v>-7293.0554031587953</v>
      </c>
      <c r="DK37" s="106">
        <f t="shared" si="34"/>
        <v>-7293.0554031587953</v>
      </c>
      <c r="DL37" s="106">
        <f t="shared" si="34"/>
        <v>-7293.0554031587953</v>
      </c>
      <c r="DM37" s="106">
        <f t="shared" si="34"/>
        <v>-7293.0554031587953</v>
      </c>
      <c r="DN37" s="106">
        <f t="shared" si="34"/>
        <v>-7293.0554031587953</v>
      </c>
      <c r="DO37" s="106">
        <f t="shared" si="34"/>
        <v>-7293.0554031587953</v>
      </c>
      <c r="DP37" s="106">
        <f t="shared" si="34"/>
        <v>-7293.0554031587953</v>
      </c>
      <c r="DQ37" s="106">
        <f t="shared" si="34"/>
        <v>-7293.0554031587953</v>
      </c>
      <c r="DR37" s="106">
        <f t="shared" si="34"/>
        <v>-7293.0554031587953</v>
      </c>
      <c r="DS37" s="106">
        <f t="shared" si="34"/>
        <v>-7293.0554031587953</v>
      </c>
      <c r="DT37" s="106">
        <f t="shared" si="34"/>
        <v>-7293.0554031587953</v>
      </c>
      <c r="DU37" s="108">
        <f t="shared" si="34"/>
        <v>-7293.0554031587953</v>
      </c>
    </row>
    <row r="38" spans="1:125" s="2" customFormat="1" ht="18.75" customHeight="1" x14ac:dyDescent="0.3">
      <c r="A38" s="243"/>
      <c r="B38" s="272" t="s">
        <v>592</v>
      </c>
      <c r="C38" s="272"/>
      <c r="D38" s="272"/>
      <c r="E38" s="10"/>
      <c r="F38" s="738"/>
      <c r="G38" s="709"/>
      <c r="H38" s="709"/>
      <c r="I38" s="709"/>
      <c r="J38" s="709"/>
      <c r="K38" s="709"/>
      <c r="L38" s="709"/>
      <c r="M38" s="709"/>
      <c r="N38" s="709"/>
      <c r="O38" s="709"/>
      <c r="P38" s="709"/>
      <c r="Q38" s="712"/>
      <c r="R38" s="107"/>
      <c r="S38" s="837"/>
      <c r="T38" s="837"/>
      <c r="U38" s="837"/>
      <c r="V38" s="837"/>
      <c r="W38" s="837"/>
      <c r="X38" s="837"/>
      <c r="Y38" s="837"/>
      <c r="Z38" s="837"/>
      <c r="AA38" s="837"/>
      <c r="AB38" s="837"/>
      <c r="AC38" s="850"/>
      <c r="AD38" s="837"/>
      <c r="AE38" s="837"/>
      <c r="AF38" s="837"/>
      <c r="AG38" s="837"/>
      <c r="AH38" s="837"/>
      <c r="AI38" s="837"/>
      <c r="AJ38" s="837"/>
      <c r="AK38" s="837"/>
      <c r="AL38" s="837"/>
      <c r="AM38" s="837"/>
      <c r="AN38" s="837"/>
      <c r="AO38" s="850"/>
      <c r="AP38" s="837"/>
      <c r="AQ38" s="837"/>
      <c r="AR38" s="837"/>
      <c r="AS38" s="837"/>
      <c r="AT38" s="837"/>
      <c r="AU38" s="837"/>
      <c r="AV38" s="837"/>
      <c r="AW38" s="837"/>
      <c r="AX38" s="837"/>
      <c r="AY38" s="837"/>
      <c r="AZ38" s="837"/>
      <c r="BA38" s="850"/>
      <c r="BB38" s="837"/>
      <c r="BC38" s="837"/>
      <c r="BD38" s="837"/>
      <c r="BE38" s="837"/>
      <c r="BF38" s="837"/>
      <c r="BG38" s="837"/>
      <c r="BH38" s="837"/>
      <c r="BI38" s="837"/>
      <c r="BJ38" s="837"/>
      <c r="BK38" s="837"/>
      <c r="BL38" s="837"/>
      <c r="BM38" s="850"/>
      <c r="BN38" s="837"/>
      <c r="BO38" s="837"/>
      <c r="BP38" s="837"/>
      <c r="BQ38" s="837"/>
      <c r="BR38" s="837"/>
      <c r="BS38" s="837"/>
      <c r="BT38" s="837"/>
      <c r="BU38" s="837"/>
      <c r="BV38" s="837"/>
      <c r="BW38" s="837"/>
      <c r="BX38" s="837"/>
      <c r="BY38" s="850"/>
      <c r="BZ38" s="837"/>
      <c r="CA38" s="837"/>
      <c r="CB38" s="837"/>
      <c r="CC38" s="837"/>
      <c r="CD38" s="837"/>
      <c r="CE38" s="837"/>
      <c r="CF38" s="837"/>
      <c r="CG38" s="837"/>
      <c r="CH38" s="837"/>
      <c r="CI38" s="837"/>
      <c r="CJ38" s="837"/>
      <c r="CK38" s="850"/>
      <c r="CL38" s="837"/>
      <c r="CM38" s="837"/>
      <c r="CN38" s="837"/>
      <c r="CO38" s="837"/>
      <c r="CP38" s="837"/>
      <c r="CQ38" s="837"/>
      <c r="CR38" s="837"/>
      <c r="CS38" s="837"/>
      <c r="CT38" s="837"/>
      <c r="CU38" s="837"/>
      <c r="CV38" s="837"/>
      <c r="CW38" s="850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594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594"/>
    </row>
    <row r="39" spans="1:125" s="2" customFormat="1" ht="18.75" customHeight="1" x14ac:dyDescent="0.25">
      <c r="A39" s="244"/>
      <c r="B39" s="271" t="s">
        <v>369</v>
      </c>
      <c r="C39" s="271" t="s">
        <v>210</v>
      </c>
      <c r="D39" s="271">
        <v>0</v>
      </c>
      <c r="E39" s="10">
        <f t="shared" ref="E39:E44" si="35">-VLOOKUP(C39,$C$51:$W$59,8,FALSE)</f>
        <v>-38000</v>
      </c>
      <c r="F39" s="738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97"/>
      <c r="R39" s="107">
        <f>$E39*$D39*R$5</f>
        <v>0</v>
      </c>
      <c r="S39" s="106">
        <f t="shared" si="33"/>
        <v>0</v>
      </c>
      <c r="T39" s="106">
        <f t="shared" si="33"/>
        <v>0</v>
      </c>
      <c r="U39" s="106">
        <f t="shared" si="33"/>
        <v>0</v>
      </c>
      <c r="V39" s="106">
        <f t="shared" si="33"/>
        <v>0</v>
      </c>
      <c r="W39" s="106">
        <f t="shared" si="33"/>
        <v>0</v>
      </c>
      <c r="X39" s="106">
        <f t="shared" si="33"/>
        <v>0</v>
      </c>
      <c r="Y39" s="106">
        <f t="shared" si="33"/>
        <v>0</v>
      </c>
      <c r="Z39" s="106">
        <f t="shared" si="33"/>
        <v>0</v>
      </c>
      <c r="AA39" s="106">
        <f t="shared" si="33"/>
        <v>0</v>
      </c>
      <c r="AB39" s="106">
        <f t="shared" si="33"/>
        <v>0</v>
      </c>
      <c r="AC39" s="108">
        <f t="shared" si="33"/>
        <v>0</v>
      </c>
      <c r="AD39" s="107">
        <f t="shared" si="33"/>
        <v>0</v>
      </c>
      <c r="AE39" s="106">
        <f t="shared" si="33"/>
        <v>0</v>
      </c>
      <c r="AF39" s="106">
        <f t="shared" si="33"/>
        <v>0</v>
      </c>
      <c r="AG39" s="106">
        <f t="shared" si="33"/>
        <v>0</v>
      </c>
      <c r="AH39" s="106">
        <f t="shared" si="33"/>
        <v>0</v>
      </c>
      <c r="AI39" s="106">
        <f t="shared" si="33"/>
        <v>0</v>
      </c>
      <c r="AJ39" s="106">
        <f t="shared" si="33"/>
        <v>0</v>
      </c>
      <c r="AK39" s="106">
        <f t="shared" si="33"/>
        <v>0</v>
      </c>
      <c r="AL39" s="106">
        <f t="shared" si="33"/>
        <v>0</v>
      </c>
      <c r="AM39" s="106">
        <f t="shared" si="33"/>
        <v>0</v>
      </c>
      <c r="AN39" s="106">
        <f t="shared" si="33"/>
        <v>0</v>
      </c>
      <c r="AO39" s="108">
        <f t="shared" si="33"/>
        <v>0</v>
      </c>
      <c r="AP39" s="107">
        <f t="shared" si="33"/>
        <v>0</v>
      </c>
      <c r="AQ39" s="106">
        <f t="shared" si="33"/>
        <v>0</v>
      </c>
      <c r="AR39" s="106">
        <f t="shared" si="33"/>
        <v>0</v>
      </c>
      <c r="AS39" s="106">
        <f t="shared" si="33"/>
        <v>0</v>
      </c>
      <c r="AT39" s="106">
        <f t="shared" si="33"/>
        <v>0</v>
      </c>
      <c r="AU39" s="106">
        <f t="shared" si="33"/>
        <v>0</v>
      </c>
      <c r="AV39" s="106">
        <f t="shared" si="33"/>
        <v>0</v>
      </c>
      <c r="AW39" s="106">
        <f t="shared" si="33"/>
        <v>0</v>
      </c>
      <c r="AX39" s="106">
        <f t="shared" si="33"/>
        <v>0</v>
      </c>
      <c r="AY39" s="106">
        <f t="shared" si="33"/>
        <v>0</v>
      </c>
      <c r="AZ39" s="106">
        <f t="shared" si="33"/>
        <v>0</v>
      </c>
      <c r="BA39" s="108">
        <f t="shared" si="33"/>
        <v>0</v>
      </c>
      <c r="BB39" s="107">
        <f t="shared" si="33"/>
        <v>0</v>
      </c>
      <c r="BC39" s="106">
        <f t="shared" si="33"/>
        <v>0</v>
      </c>
      <c r="BD39" s="106">
        <f t="shared" si="33"/>
        <v>0</v>
      </c>
      <c r="BE39" s="106">
        <f t="shared" si="33"/>
        <v>0</v>
      </c>
      <c r="BF39" s="106">
        <f t="shared" si="33"/>
        <v>0</v>
      </c>
      <c r="BG39" s="106">
        <f t="shared" si="33"/>
        <v>0</v>
      </c>
      <c r="BH39" s="106">
        <f t="shared" si="33"/>
        <v>0</v>
      </c>
      <c r="BI39" s="106">
        <f t="shared" si="33"/>
        <v>0</v>
      </c>
      <c r="BJ39" s="106">
        <f t="shared" si="33"/>
        <v>0</v>
      </c>
      <c r="BK39" s="106">
        <f t="shared" si="33"/>
        <v>0</v>
      </c>
      <c r="BL39" s="106">
        <f t="shared" si="33"/>
        <v>0</v>
      </c>
      <c r="BM39" s="108">
        <f t="shared" si="33"/>
        <v>0</v>
      </c>
      <c r="BN39" s="107">
        <f t="shared" si="33"/>
        <v>0</v>
      </c>
      <c r="BO39" s="106">
        <f t="shared" si="33"/>
        <v>0</v>
      </c>
      <c r="BP39" s="106">
        <f t="shared" si="33"/>
        <v>0</v>
      </c>
      <c r="BQ39" s="106">
        <f t="shared" si="33"/>
        <v>0</v>
      </c>
      <c r="BR39" s="106">
        <f t="shared" si="33"/>
        <v>0</v>
      </c>
      <c r="BS39" s="106">
        <f t="shared" si="33"/>
        <v>0</v>
      </c>
      <c r="BT39" s="106">
        <f t="shared" si="33"/>
        <v>0</v>
      </c>
      <c r="BU39" s="106">
        <f t="shared" si="33"/>
        <v>0</v>
      </c>
      <c r="BV39" s="106">
        <f t="shared" si="33"/>
        <v>0</v>
      </c>
      <c r="BW39" s="106">
        <f t="shared" si="33"/>
        <v>0</v>
      </c>
      <c r="BX39" s="106">
        <f t="shared" si="33"/>
        <v>0</v>
      </c>
      <c r="BY39" s="108">
        <f t="shared" si="33"/>
        <v>0</v>
      </c>
      <c r="BZ39" s="107">
        <f t="shared" si="33"/>
        <v>0</v>
      </c>
      <c r="CA39" s="106">
        <f t="shared" si="33"/>
        <v>0</v>
      </c>
      <c r="CB39" s="106">
        <f t="shared" si="33"/>
        <v>0</v>
      </c>
      <c r="CC39" s="106">
        <f t="shared" si="33"/>
        <v>0</v>
      </c>
      <c r="CD39" s="106">
        <f>$E39*$D39*CD$5</f>
        <v>0</v>
      </c>
      <c r="CE39" s="106">
        <f t="shared" si="34"/>
        <v>0</v>
      </c>
      <c r="CF39" s="106">
        <f t="shared" si="34"/>
        <v>0</v>
      </c>
      <c r="CG39" s="106">
        <f t="shared" si="34"/>
        <v>0</v>
      </c>
      <c r="CH39" s="106">
        <f t="shared" si="34"/>
        <v>0</v>
      </c>
      <c r="CI39" s="106">
        <f t="shared" si="34"/>
        <v>0</v>
      </c>
      <c r="CJ39" s="106">
        <f t="shared" si="34"/>
        <v>0</v>
      </c>
      <c r="CK39" s="108">
        <f t="shared" si="34"/>
        <v>0</v>
      </c>
      <c r="CL39" s="107">
        <f t="shared" si="34"/>
        <v>0</v>
      </c>
      <c r="CM39" s="106">
        <f t="shared" si="34"/>
        <v>0</v>
      </c>
      <c r="CN39" s="106">
        <f t="shared" si="34"/>
        <v>0</v>
      </c>
      <c r="CO39" s="106">
        <f t="shared" si="34"/>
        <v>0</v>
      </c>
      <c r="CP39" s="106">
        <f t="shared" si="34"/>
        <v>0</v>
      </c>
      <c r="CQ39" s="106">
        <f t="shared" si="34"/>
        <v>0</v>
      </c>
      <c r="CR39" s="106">
        <f t="shared" si="34"/>
        <v>0</v>
      </c>
      <c r="CS39" s="106">
        <f t="shared" si="34"/>
        <v>0</v>
      </c>
      <c r="CT39" s="106">
        <f t="shared" si="34"/>
        <v>0</v>
      </c>
      <c r="CU39" s="106">
        <f t="shared" si="34"/>
        <v>0</v>
      </c>
      <c r="CV39" s="106">
        <f t="shared" si="34"/>
        <v>0</v>
      </c>
      <c r="CW39" s="108">
        <f t="shared" si="34"/>
        <v>0</v>
      </c>
      <c r="CX39" s="107">
        <f t="shared" si="34"/>
        <v>0</v>
      </c>
      <c r="CY39" s="106">
        <f t="shared" si="34"/>
        <v>0</v>
      </c>
      <c r="CZ39" s="106">
        <f t="shared" si="34"/>
        <v>0</v>
      </c>
      <c r="DA39" s="106">
        <f t="shared" si="34"/>
        <v>0</v>
      </c>
      <c r="DB39" s="106">
        <f t="shared" si="34"/>
        <v>0</v>
      </c>
      <c r="DC39" s="106">
        <f t="shared" si="34"/>
        <v>0</v>
      </c>
      <c r="DD39" s="106">
        <f t="shared" si="34"/>
        <v>0</v>
      </c>
      <c r="DE39" s="106">
        <f t="shared" si="34"/>
        <v>0</v>
      </c>
      <c r="DF39" s="106">
        <f t="shared" si="34"/>
        <v>0</v>
      </c>
      <c r="DG39" s="106">
        <f t="shared" si="34"/>
        <v>0</v>
      </c>
      <c r="DH39" s="106">
        <f t="shared" si="34"/>
        <v>0</v>
      </c>
      <c r="DI39" s="108">
        <f t="shared" si="34"/>
        <v>0</v>
      </c>
      <c r="DJ39" s="107">
        <f t="shared" si="34"/>
        <v>0</v>
      </c>
      <c r="DK39" s="106">
        <f t="shared" si="34"/>
        <v>0</v>
      </c>
      <c r="DL39" s="106">
        <f t="shared" si="34"/>
        <v>0</v>
      </c>
      <c r="DM39" s="106">
        <f t="shared" si="34"/>
        <v>0</v>
      </c>
      <c r="DN39" s="106">
        <f t="shared" si="34"/>
        <v>0</v>
      </c>
      <c r="DO39" s="106">
        <f t="shared" si="34"/>
        <v>0</v>
      </c>
      <c r="DP39" s="106">
        <f t="shared" si="34"/>
        <v>0</v>
      </c>
      <c r="DQ39" s="106">
        <f t="shared" si="34"/>
        <v>0</v>
      </c>
      <c r="DR39" s="106">
        <f t="shared" si="34"/>
        <v>0</v>
      </c>
      <c r="DS39" s="106">
        <f t="shared" si="34"/>
        <v>0</v>
      </c>
      <c r="DT39" s="106">
        <f t="shared" si="34"/>
        <v>0</v>
      </c>
      <c r="DU39" s="108">
        <f t="shared" si="34"/>
        <v>0</v>
      </c>
    </row>
    <row r="40" spans="1:125" s="2" customFormat="1" ht="18.75" customHeight="1" x14ac:dyDescent="0.25">
      <c r="A40" s="248"/>
      <c r="B40" s="271" t="s">
        <v>593</v>
      </c>
      <c r="C40" s="271" t="s">
        <v>210</v>
      </c>
      <c r="D40" s="271">
        <v>1</v>
      </c>
      <c r="E40" s="10">
        <f t="shared" si="35"/>
        <v>-38000</v>
      </c>
      <c r="F40" s="738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97"/>
      <c r="R40" s="107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8"/>
      <c r="AD40" s="107"/>
      <c r="AE40" s="106">
        <f t="shared" ref="AE40:CC40" si="36">$E40*$D40*AE$5</f>
        <v>-42938.821999999993</v>
      </c>
      <c r="AF40" s="106">
        <f t="shared" si="36"/>
        <v>-42938.821999999993</v>
      </c>
      <c r="AG40" s="106">
        <f t="shared" si="36"/>
        <v>-42938.821999999993</v>
      </c>
      <c r="AH40" s="106">
        <f t="shared" si="36"/>
        <v>-42938.821999999993</v>
      </c>
      <c r="AI40" s="106">
        <f t="shared" si="36"/>
        <v>-42938.821999999993</v>
      </c>
      <c r="AJ40" s="106">
        <f t="shared" si="36"/>
        <v>-42938.821999999993</v>
      </c>
      <c r="AK40" s="106">
        <f t="shared" si="36"/>
        <v>-42938.821999999993</v>
      </c>
      <c r="AL40" s="106">
        <f t="shared" si="36"/>
        <v>-42938.821999999993</v>
      </c>
      <c r="AM40" s="106">
        <f t="shared" si="36"/>
        <v>-42938.821999999993</v>
      </c>
      <c r="AN40" s="106">
        <f t="shared" si="36"/>
        <v>-42938.821999999993</v>
      </c>
      <c r="AO40" s="108">
        <f t="shared" si="36"/>
        <v>-42938.821999999993</v>
      </c>
      <c r="AP40" s="107">
        <f t="shared" si="36"/>
        <v>-45643.967785999987</v>
      </c>
      <c r="AQ40" s="106">
        <f t="shared" si="36"/>
        <v>-45643.967785999987</v>
      </c>
      <c r="AR40" s="106">
        <f t="shared" si="36"/>
        <v>-45643.967785999987</v>
      </c>
      <c r="AS40" s="106">
        <f t="shared" si="36"/>
        <v>-45643.967785999987</v>
      </c>
      <c r="AT40" s="106">
        <f t="shared" si="36"/>
        <v>-45643.967785999987</v>
      </c>
      <c r="AU40" s="106">
        <f t="shared" si="36"/>
        <v>-45643.967785999987</v>
      </c>
      <c r="AV40" s="106">
        <f t="shared" si="36"/>
        <v>-45643.967785999987</v>
      </c>
      <c r="AW40" s="106">
        <f t="shared" si="36"/>
        <v>-45643.967785999987</v>
      </c>
      <c r="AX40" s="106">
        <f t="shared" si="36"/>
        <v>-45643.967785999987</v>
      </c>
      <c r="AY40" s="106">
        <f t="shared" si="36"/>
        <v>-45643.967785999987</v>
      </c>
      <c r="AZ40" s="106">
        <f t="shared" si="36"/>
        <v>-45643.967785999987</v>
      </c>
      <c r="BA40" s="108">
        <f t="shared" si="36"/>
        <v>-45643.967785999987</v>
      </c>
      <c r="BB40" s="107">
        <f t="shared" si="36"/>
        <v>-48519.537756517981</v>
      </c>
      <c r="BC40" s="106">
        <f t="shared" si="36"/>
        <v>-48519.537756517981</v>
      </c>
      <c r="BD40" s="106">
        <f t="shared" si="36"/>
        <v>-48519.537756517981</v>
      </c>
      <c r="BE40" s="106">
        <f t="shared" si="36"/>
        <v>-48519.537756517981</v>
      </c>
      <c r="BF40" s="106">
        <f t="shared" si="36"/>
        <v>-48519.537756517981</v>
      </c>
      <c r="BG40" s="106">
        <f t="shared" si="36"/>
        <v>-48519.537756517981</v>
      </c>
      <c r="BH40" s="106">
        <f t="shared" si="36"/>
        <v>-48519.537756517981</v>
      </c>
      <c r="BI40" s="106">
        <f t="shared" si="36"/>
        <v>-48519.537756517981</v>
      </c>
      <c r="BJ40" s="106">
        <f t="shared" si="36"/>
        <v>-48519.537756517981</v>
      </c>
      <c r="BK40" s="106">
        <f t="shared" si="36"/>
        <v>-48519.537756517981</v>
      </c>
      <c r="BL40" s="106">
        <f t="shared" si="36"/>
        <v>-48519.537756517981</v>
      </c>
      <c r="BM40" s="108">
        <f t="shared" si="36"/>
        <v>-48519.537756517981</v>
      </c>
      <c r="BN40" s="107">
        <f t="shared" si="36"/>
        <v>-51576.268635178611</v>
      </c>
      <c r="BO40" s="106">
        <f t="shared" si="36"/>
        <v>-51576.268635178611</v>
      </c>
      <c r="BP40" s="106">
        <f t="shared" si="36"/>
        <v>-51576.268635178611</v>
      </c>
      <c r="BQ40" s="106">
        <f t="shared" si="36"/>
        <v>-51576.268635178611</v>
      </c>
      <c r="BR40" s="106">
        <f t="shared" si="36"/>
        <v>-51576.268635178611</v>
      </c>
      <c r="BS40" s="106">
        <f t="shared" si="36"/>
        <v>-51576.268635178611</v>
      </c>
      <c r="BT40" s="106">
        <f t="shared" si="36"/>
        <v>-51576.268635178611</v>
      </c>
      <c r="BU40" s="106">
        <f t="shared" si="36"/>
        <v>-51576.268635178611</v>
      </c>
      <c r="BV40" s="106">
        <f t="shared" si="36"/>
        <v>-51576.268635178611</v>
      </c>
      <c r="BW40" s="106">
        <f t="shared" si="36"/>
        <v>-51576.268635178611</v>
      </c>
      <c r="BX40" s="106">
        <f t="shared" si="36"/>
        <v>-51576.268635178611</v>
      </c>
      <c r="BY40" s="108">
        <f t="shared" si="36"/>
        <v>-51576.268635178611</v>
      </c>
      <c r="BZ40" s="107">
        <f t="shared" si="36"/>
        <v>-54825.573559194869</v>
      </c>
      <c r="CA40" s="106">
        <f t="shared" si="36"/>
        <v>-54825.573559194869</v>
      </c>
      <c r="CB40" s="106">
        <f t="shared" si="36"/>
        <v>-54825.573559194869</v>
      </c>
      <c r="CC40" s="106">
        <f t="shared" si="36"/>
        <v>-54825.573559194869</v>
      </c>
      <c r="CD40" s="106">
        <f>$E40*$D40*CD$5</f>
        <v>-54825.573559194869</v>
      </c>
      <c r="CE40" s="106">
        <f t="shared" si="34"/>
        <v>-54825.573559194869</v>
      </c>
      <c r="CF40" s="106">
        <f t="shared" si="34"/>
        <v>-54825.573559194869</v>
      </c>
      <c r="CG40" s="106">
        <f t="shared" si="34"/>
        <v>-54825.573559194869</v>
      </c>
      <c r="CH40" s="106">
        <f t="shared" si="34"/>
        <v>-54825.573559194869</v>
      </c>
      <c r="CI40" s="106">
        <f t="shared" si="34"/>
        <v>-54825.573559194869</v>
      </c>
      <c r="CJ40" s="106">
        <f t="shared" si="34"/>
        <v>-54825.573559194869</v>
      </c>
      <c r="CK40" s="108">
        <f t="shared" si="34"/>
        <v>-54825.573559194869</v>
      </c>
      <c r="CL40" s="107">
        <f t="shared" si="34"/>
        <v>-58279.584693424142</v>
      </c>
      <c r="CM40" s="106">
        <f t="shared" si="34"/>
        <v>-58279.584693424142</v>
      </c>
      <c r="CN40" s="106">
        <f t="shared" si="34"/>
        <v>-58279.584693424142</v>
      </c>
      <c r="CO40" s="106">
        <f t="shared" si="34"/>
        <v>-58279.584693424142</v>
      </c>
      <c r="CP40" s="106">
        <f t="shared" si="34"/>
        <v>-58279.584693424142</v>
      </c>
      <c r="CQ40" s="106">
        <f t="shared" si="34"/>
        <v>-58279.584693424142</v>
      </c>
      <c r="CR40" s="106">
        <f t="shared" si="34"/>
        <v>-58279.584693424142</v>
      </c>
      <c r="CS40" s="106">
        <f t="shared" si="34"/>
        <v>-58279.584693424142</v>
      </c>
      <c r="CT40" s="106">
        <f t="shared" si="34"/>
        <v>-58279.584693424142</v>
      </c>
      <c r="CU40" s="106">
        <f t="shared" si="34"/>
        <v>-58279.584693424142</v>
      </c>
      <c r="CV40" s="106">
        <f t="shared" si="34"/>
        <v>-58279.584693424142</v>
      </c>
      <c r="CW40" s="108">
        <f t="shared" si="34"/>
        <v>-58279.584693424142</v>
      </c>
      <c r="CX40" s="107">
        <f t="shared" si="34"/>
        <v>-61951.198529109854</v>
      </c>
      <c r="CY40" s="106">
        <f t="shared" si="34"/>
        <v>-61951.198529109854</v>
      </c>
      <c r="CZ40" s="106">
        <f t="shared" si="34"/>
        <v>-61951.198529109854</v>
      </c>
      <c r="DA40" s="106">
        <f t="shared" si="34"/>
        <v>-61951.198529109854</v>
      </c>
      <c r="DB40" s="106">
        <f t="shared" si="34"/>
        <v>-61951.198529109854</v>
      </c>
      <c r="DC40" s="106">
        <f t="shared" si="34"/>
        <v>-61951.198529109854</v>
      </c>
      <c r="DD40" s="106">
        <f t="shared" si="34"/>
        <v>-61951.198529109854</v>
      </c>
      <c r="DE40" s="106">
        <f t="shared" si="34"/>
        <v>-61951.198529109854</v>
      </c>
      <c r="DF40" s="106">
        <f t="shared" si="34"/>
        <v>-61951.198529109854</v>
      </c>
      <c r="DG40" s="106">
        <f t="shared" si="34"/>
        <v>-61951.198529109854</v>
      </c>
      <c r="DH40" s="106">
        <f t="shared" si="34"/>
        <v>-61951.198529109854</v>
      </c>
      <c r="DI40" s="108">
        <f t="shared" si="34"/>
        <v>-61951.198529109854</v>
      </c>
      <c r="DJ40" s="107">
        <f t="shared" si="34"/>
        <v>-65854.124036443784</v>
      </c>
      <c r="DK40" s="106">
        <f t="shared" si="34"/>
        <v>-65854.124036443784</v>
      </c>
      <c r="DL40" s="106">
        <f t="shared" si="34"/>
        <v>-65854.124036443784</v>
      </c>
      <c r="DM40" s="106">
        <f t="shared" si="34"/>
        <v>-65854.124036443784</v>
      </c>
      <c r="DN40" s="106">
        <f t="shared" si="34"/>
        <v>-65854.124036443784</v>
      </c>
      <c r="DO40" s="106">
        <f t="shared" si="34"/>
        <v>-65854.124036443784</v>
      </c>
      <c r="DP40" s="106">
        <f t="shared" si="34"/>
        <v>-65854.124036443784</v>
      </c>
      <c r="DQ40" s="106">
        <f t="shared" si="34"/>
        <v>-65854.124036443784</v>
      </c>
      <c r="DR40" s="106">
        <f t="shared" si="34"/>
        <v>-65854.124036443784</v>
      </c>
      <c r="DS40" s="106">
        <f t="shared" si="34"/>
        <v>-65854.124036443784</v>
      </c>
      <c r="DT40" s="106">
        <f t="shared" si="34"/>
        <v>-65854.124036443784</v>
      </c>
      <c r="DU40" s="108">
        <f t="shared" si="34"/>
        <v>-65854.124036443784</v>
      </c>
    </row>
    <row r="41" spans="1:125" s="2" customFormat="1" ht="18.75" customHeight="1" x14ac:dyDescent="0.25">
      <c r="A41" s="248"/>
      <c r="B41" s="271" t="s">
        <v>380</v>
      </c>
      <c r="C41" s="271" t="s">
        <v>219</v>
      </c>
      <c r="D41" s="271">
        <v>0</v>
      </c>
      <c r="E41" s="10">
        <f t="shared" si="35"/>
        <v>-15041.666666666666</v>
      </c>
      <c r="F41" s="738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97"/>
      <c r="R41" s="107">
        <f>$E41*$D41*R$5</f>
        <v>0</v>
      </c>
      <c r="S41" s="106">
        <f t="shared" ref="S41:CC41" si="37">$E41*$D41*S$5</f>
        <v>0</v>
      </c>
      <c r="T41" s="106">
        <f t="shared" si="37"/>
        <v>0</v>
      </c>
      <c r="U41" s="106">
        <f t="shared" si="37"/>
        <v>0</v>
      </c>
      <c r="V41" s="106">
        <f t="shared" si="37"/>
        <v>0</v>
      </c>
      <c r="W41" s="106">
        <f t="shared" si="37"/>
        <v>0</v>
      </c>
      <c r="X41" s="106">
        <f t="shared" si="37"/>
        <v>0</v>
      </c>
      <c r="Y41" s="106">
        <f t="shared" si="37"/>
        <v>0</v>
      </c>
      <c r="Z41" s="106">
        <f t="shared" si="37"/>
        <v>0</v>
      </c>
      <c r="AA41" s="106">
        <f t="shared" si="37"/>
        <v>0</v>
      </c>
      <c r="AB41" s="106">
        <f t="shared" si="37"/>
        <v>0</v>
      </c>
      <c r="AC41" s="108">
        <f t="shared" si="37"/>
        <v>0</v>
      </c>
      <c r="AD41" s="107">
        <f t="shared" si="37"/>
        <v>0</v>
      </c>
      <c r="AE41" s="106">
        <f t="shared" si="37"/>
        <v>0</v>
      </c>
      <c r="AF41" s="106">
        <f t="shared" si="37"/>
        <v>0</v>
      </c>
      <c r="AG41" s="106">
        <f t="shared" si="37"/>
        <v>0</v>
      </c>
      <c r="AH41" s="106">
        <f t="shared" si="37"/>
        <v>0</v>
      </c>
      <c r="AI41" s="106">
        <f t="shared" si="37"/>
        <v>0</v>
      </c>
      <c r="AJ41" s="106">
        <f t="shared" si="37"/>
        <v>0</v>
      </c>
      <c r="AK41" s="106">
        <f t="shared" si="37"/>
        <v>0</v>
      </c>
      <c r="AL41" s="106">
        <f t="shared" si="37"/>
        <v>0</v>
      </c>
      <c r="AM41" s="106">
        <f t="shared" si="37"/>
        <v>0</v>
      </c>
      <c r="AN41" s="106">
        <f t="shared" si="37"/>
        <v>0</v>
      </c>
      <c r="AO41" s="108">
        <f t="shared" si="37"/>
        <v>0</v>
      </c>
      <c r="AP41" s="107">
        <f t="shared" si="37"/>
        <v>0</v>
      </c>
      <c r="AQ41" s="106">
        <f t="shared" si="37"/>
        <v>0</v>
      </c>
      <c r="AR41" s="106">
        <f t="shared" si="37"/>
        <v>0</v>
      </c>
      <c r="AS41" s="106">
        <f t="shared" si="37"/>
        <v>0</v>
      </c>
      <c r="AT41" s="106">
        <f t="shared" si="37"/>
        <v>0</v>
      </c>
      <c r="AU41" s="106">
        <f t="shared" si="37"/>
        <v>0</v>
      </c>
      <c r="AV41" s="106">
        <f t="shared" si="37"/>
        <v>0</v>
      </c>
      <c r="AW41" s="106">
        <f t="shared" si="37"/>
        <v>0</v>
      </c>
      <c r="AX41" s="106">
        <f t="shared" si="37"/>
        <v>0</v>
      </c>
      <c r="AY41" s="106">
        <f t="shared" si="37"/>
        <v>0</v>
      </c>
      <c r="AZ41" s="106">
        <f t="shared" si="37"/>
        <v>0</v>
      </c>
      <c r="BA41" s="108">
        <f t="shared" si="37"/>
        <v>0</v>
      </c>
      <c r="BB41" s="107">
        <f t="shared" si="37"/>
        <v>0</v>
      </c>
      <c r="BC41" s="106">
        <f t="shared" si="37"/>
        <v>0</v>
      </c>
      <c r="BD41" s="106">
        <f t="shared" si="37"/>
        <v>0</v>
      </c>
      <c r="BE41" s="106">
        <f t="shared" si="37"/>
        <v>0</v>
      </c>
      <c r="BF41" s="106">
        <f t="shared" si="37"/>
        <v>0</v>
      </c>
      <c r="BG41" s="106">
        <f t="shared" si="37"/>
        <v>0</v>
      </c>
      <c r="BH41" s="106">
        <f t="shared" si="37"/>
        <v>0</v>
      </c>
      <c r="BI41" s="106">
        <f t="shared" si="37"/>
        <v>0</v>
      </c>
      <c r="BJ41" s="106">
        <f t="shared" si="37"/>
        <v>0</v>
      </c>
      <c r="BK41" s="106">
        <f t="shared" si="37"/>
        <v>0</v>
      </c>
      <c r="BL41" s="106">
        <f t="shared" si="37"/>
        <v>0</v>
      </c>
      <c r="BM41" s="108">
        <f t="shared" si="37"/>
        <v>0</v>
      </c>
      <c r="BN41" s="107">
        <f t="shared" si="37"/>
        <v>0</v>
      </c>
      <c r="BO41" s="106">
        <f t="shared" si="37"/>
        <v>0</v>
      </c>
      <c r="BP41" s="106">
        <f t="shared" si="37"/>
        <v>0</v>
      </c>
      <c r="BQ41" s="106">
        <f t="shared" si="37"/>
        <v>0</v>
      </c>
      <c r="BR41" s="106">
        <f t="shared" si="37"/>
        <v>0</v>
      </c>
      <c r="BS41" s="106">
        <f t="shared" si="37"/>
        <v>0</v>
      </c>
      <c r="BT41" s="106">
        <f t="shared" si="37"/>
        <v>0</v>
      </c>
      <c r="BU41" s="106">
        <f t="shared" si="37"/>
        <v>0</v>
      </c>
      <c r="BV41" s="106">
        <f t="shared" si="37"/>
        <v>0</v>
      </c>
      <c r="BW41" s="106">
        <f t="shared" si="37"/>
        <v>0</v>
      </c>
      <c r="BX41" s="106">
        <f t="shared" si="37"/>
        <v>0</v>
      </c>
      <c r="BY41" s="108">
        <f t="shared" si="37"/>
        <v>0</v>
      </c>
      <c r="BZ41" s="107">
        <f t="shared" si="37"/>
        <v>0</v>
      </c>
      <c r="CA41" s="106">
        <f t="shared" si="37"/>
        <v>0</v>
      </c>
      <c r="CB41" s="106">
        <f t="shared" si="37"/>
        <v>0</v>
      </c>
      <c r="CC41" s="106">
        <f t="shared" si="37"/>
        <v>0</v>
      </c>
      <c r="CD41" s="106">
        <f>$E41*$D41*CD$5</f>
        <v>0</v>
      </c>
      <c r="CE41" s="106">
        <f t="shared" ref="CE41:DU41" si="38">$E41*$D41*CE$5</f>
        <v>0</v>
      </c>
      <c r="CF41" s="106">
        <f t="shared" si="38"/>
        <v>0</v>
      </c>
      <c r="CG41" s="106">
        <f t="shared" si="38"/>
        <v>0</v>
      </c>
      <c r="CH41" s="106">
        <f t="shared" si="38"/>
        <v>0</v>
      </c>
      <c r="CI41" s="106">
        <f t="shared" si="38"/>
        <v>0</v>
      </c>
      <c r="CJ41" s="106">
        <f t="shared" si="38"/>
        <v>0</v>
      </c>
      <c r="CK41" s="108">
        <f t="shared" si="38"/>
        <v>0</v>
      </c>
      <c r="CL41" s="107">
        <f t="shared" si="38"/>
        <v>0</v>
      </c>
      <c r="CM41" s="106">
        <f t="shared" si="38"/>
        <v>0</v>
      </c>
      <c r="CN41" s="106">
        <f t="shared" si="38"/>
        <v>0</v>
      </c>
      <c r="CO41" s="106">
        <f t="shared" si="38"/>
        <v>0</v>
      </c>
      <c r="CP41" s="106">
        <f t="shared" si="38"/>
        <v>0</v>
      </c>
      <c r="CQ41" s="106">
        <f t="shared" si="38"/>
        <v>0</v>
      </c>
      <c r="CR41" s="106">
        <f t="shared" si="38"/>
        <v>0</v>
      </c>
      <c r="CS41" s="106">
        <f t="shared" si="38"/>
        <v>0</v>
      </c>
      <c r="CT41" s="106">
        <f t="shared" si="38"/>
        <v>0</v>
      </c>
      <c r="CU41" s="106">
        <f t="shared" si="38"/>
        <v>0</v>
      </c>
      <c r="CV41" s="106">
        <f t="shared" si="38"/>
        <v>0</v>
      </c>
      <c r="CW41" s="108">
        <f t="shared" si="38"/>
        <v>0</v>
      </c>
      <c r="CX41" s="107">
        <f t="shared" si="38"/>
        <v>0</v>
      </c>
      <c r="CY41" s="106">
        <f t="shared" si="38"/>
        <v>0</v>
      </c>
      <c r="CZ41" s="106">
        <f t="shared" si="38"/>
        <v>0</v>
      </c>
      <c r="DA41" s="106">
        <f t="shared" si="38"/>
        <v>0</v>
      </c>
      <c r="DB41" s="106">
        <f t="shared" si="38"/>
        <v>0</v>
      </c>
      <c r="DC41" s="106">
        <f t="shared" si="38"/>
        <v>0</v>
      </c>
      <c r="DD41" s="106">
        <f t="shared" si="38"/>
        <v>0</v>
      </c>
      <c r="DE41" s="106">
        <f t="shared" si="38"/>
        <v>0</v>
      </c>
      <c r="DF41" s="106">
        <f t="shared" si="38"/>
        <v>0</v>
      </c>
      <c r="DG41" s="106">
        <f t="shared" si="38"/>
        <v>0</v>
      </c>
      <c r="DH41" s="106">
        <f t="shared" si="38"/>
        <v>0</v>
      </c>
      <c r="DI41" s="108">
        <f t="shared" si="38"/>
        <v>0</v>
      </c>
      <c r="DJ41" s="107">
        <f t="shared" si="38"/>
        <v>0</v>
      </c>
      <c r="DK41" s="106">
        <f t="shared" si="38"/>
        <v>0</v>
      </c>
      <c r="DL41" s="106">
        <f t="shared" si="38"/>
        <v>0</v>
      </c>
      <c r="DM41" s="106">
        <f t="shared" si="38"/>
        <v>0</v>
      </c>
      <c r="DN41" s="106">
        <f t="shared" si="38"/>
        <v>0</v>
      </c>
      <c r="DO41" s="106">
        <f t="shared" si="38"/>
        <v>0</v>
      </c>
      <c r="DP41" s="106">
        <f t="shared" si="38"/>
        <v>0</v>
      </c>
      <c r="DQ41" s="106">
        <f t="shared" si="38"/>
        <v>0</v>
      </c>
      <c r="DR41" s="106">
        <f t="shared" si="38"/>
        <v>0</v>
      </c>
      <c r="DS41" s="106">
        <f t="shared" si="38"/>
        <v>0</v>
      </c>
      <c r="DT41" s="106">
        <f t="shared" si="38"/>
        <v>0</v>
      </c>
      <c r="DU41" s="108">
        <f t="shared" si="38"/>
        <v>0</v>
      </c>
    </row>
    <row r="42" spans="1:125" s="2" customFormat="1" ht="18.75" customHeight="1" x14ac:dyDescent="0.3">
      <c r="A42" s="243"/>
      <c r="B42" s="271" t="s">
        <v>244</v>
      </c>
      <c r="C42" s="271" t="s">
        <v>219</v>
      </c>
      <c r="D42" s="271">
        <v>1</v>
      </c>
      <c r="E42" s="10">
        <f t="shared" si="35"/>
        <v>-15041.666666666666</v>
      </c>
      <c r="F42" s="738"/>
      <c r="G42" s="404"/>
      <c r="H42" s="404"/>
      <c r="I42" s="404"/>
      <c r="J42" s="404"/>
      <c r="K42" s="404"/>
      <c r="L42" s="404"/>
      <c r="M42" s="404"/>
      <c r="N42" s="404"/>
      <c r="O42" s="404"/>
      <c r="P42" s="404">
        <f t="shared" ref="P42:AG44" si="39">$E42*$D42*P$5</f>
        <v>-15041.666666666666</v>
      </c>
      <c r="Q42" s="497">
        <f t="shared" si="39"/>
        <v>-15041.666666666666</v>
      </c>
      <c r="R42" s="107">
        <f t="shared" si="39"/>
        <v>-15989.291666666666</v>
      </c>
      <c r="S42" s="106">
        <f t="shared" si="39"/>
        <v>-15989.291666666666</v>
      </c>
      <c r="T42" s="106">
        <f t="shared" si="39"/>
        <v>-15989.291666666666</v>
      </c>
      <c r="U42" s="106">
        <f t="shared" si="39"/>
        <v>-15989.291666666666</v>
      </c>
      <c r="V42" s="106">
        <f t="shared" si="39"/>
        <v>-15989.291666666666</v>
      </c>
      <c r="W42" s="106">
        <f t="shared" si="39"/>
        <v>-15989.291666666666</v>
      </c>
      <c r="X42" s="106">
        <f t="shared" si="39"/>
        <v>-15989.291666666666</v>
      </c>
      <c r="Y42" s="106">
        <f t="shared" si="39"/>
        <v>-15989.291666666666</v>
      </c>
      <c r="Z42" s="106">
        <f t="shared" si="39"/>
        <v>-15989.291666666666</v>
      </c>
      <c r="AA42" s="106">
        <f t="shared" si="39"/>
        <v>-15989.291666666666</v>
      </c>
      <c r="AB42" s="106">
        <f t="shared" si="39"/>
        <v>-15989.291666666666</v>
      </c>
      <c r="AC42" s="108">
        <f t="shared" si="39"/>
        <v>-15989.291666666666</v>
      </c>
      <c r="AD42" s="107">
        <f t="shared" si="39"/>
        <v>-16996.617041666661</v>
      </c>
      <c r="AE42" s="106">
        <f t="shared" si="39"/>
        <v>-16996.617041666661</v>
      </c>
      <c r="AF42" s="106">
        <f t="shared" si="39"/>
        <v>-16996.617041666661</v>
      </c>
      <c r="AG42" s="106">
        <f t="shared" si="39"/>
        <v>-16996.617041666661</v>
      </c>
      <c r="AH42" s="106">
        <f t="shared" ref="AH42:CS44" si="40">$E42*$D42*AH$5</f>
        <v>-16996.617041666661</v>
      </c>
      <c r="AI42" s="106">
        <f t="shared" si="40"/>
        <v>-16996.617041666661</v>
      </c>
      <c r="AJ42" s="106">
        <f t="shared" si="40"/>
        <v>-16996.617041666661</v>
      </c>
      <c r="AK42" s="106">
        <f t="shared" si="40"/>
        <v>-16996.617041666661</v>
      </c>
      <c r="AL42" s="106">
        <f t="shared" si="40"/>
        <v>-16996.617041666661</v>
      </c>
      <c r="AM42" s="106">
        <f t="shared" si="40"/>
        <v>-16996.617041666661</v>
      </c>
      <c r="AN42" s="106">
        <f t="shared" si="40"/>
        <v>-16996.617041666661</v>
      </c>
      <c r="AO42" s="108">
        <f t="shared" si="40"/>
        <v>-16996.617041666661</v>
      </c>
      <c r="AP42" s="107">
        <f t="shared" si="40"/>
        <v>-18067.403915291663</v>
      </c>
      <c r="AQ42" s="106">
        <f t="shared" si="40"/>
        <v>-18067.403915291663</v>
      </c>
      <c r="AR42" s="106">
        <f t="shared" si="40"/>
        <v>-18067.403915291663</v>
      </c>
      <c r="AS42" s="106">
        <f t="shared" si="40"/>
        <v>-18067.403915291663</v>
      </c>
      <c r="AT42" s="106">
        <f t="shared" si="40"/>
        <v>-18067.403915291663</v>
      </c>
      <c r="AU42" s="106">
        <f t="shared" si="40"/>
        <v>-18067.403915291663</v>
      </c>
      <c r="AV42" s="106">
        <f t="shared" si="40"/>
        <v>-18067.403915291663</v>
      </c>
      <c r="AW42" s="106">
        <f t="shared" si="40"/>
        <v>-18067.403915291663</v>
      </c>
      <c r="AX42" s="106">
        <f t="shared" si="40"/>
        <v>-18067.403915291663</v>
      </c>
      <c r="AY42" s="106">
        <f t="shared" si="40"/>
        <v>-18067.403915291663</v>
      </c>
      <c r="AZ42" s="106">
        <f t="shared" si="40"/>
        <v>-18067.403915291663</v>
      </c>
      <c r="BA42" s="108">
        <f t="shared" si="40"/>
        <v>-18067.403915291663</v>
      </c>
      <c r="BB42" s="107">
        <f t="shared" si="40"/>
        <v>-19205.650361955035</v>
      </c>
      <c r="BC42" s="106">
        <f t="shared" si="40"/>
        <v>-19205.650361955035</v>
      </c>
      <c r="BD42" s="106">
        <f t="shared" si="40"/>
        <v>-19205.650361955035</v>
      </c>
      <c r="BE42" s="106">
        <f t="shared" si="40"/>
        <v>-19205.650361955035</v>
      </c>
      <c r="BF42" s="106">
        <f t="shared" si="40"/>
        <v>-19205.650361955035</v>
      </c>
      <c r="BG42" s="106">
        <f t="shared" si="40"/>
        <v>-19205.650361955035</v>
      </c>
      <c r="BH42" s="106">
        <f t="shared" si="40"/>
        <v>-19205.650361955035</v>
      </c>
      <c r="BI42" s="106">
        <f t="shared" si="40"/>
        <v>-19205.650361955035</v>
      </c>
      <c r="BJ42" s="106">
        <f t="shared" si="40"/>
        <v>-19205.650361955035</v>
      </c>
      <c r="BK42" s="106">
        <f t="shared" si="40"/>
        <v>-19205.650361955035</v>
      </c>
      <c r="BL42" s="106">
        <f t="shared" si="40"/>
        <v>-19205.650361955035</v>
      </c>
      <c r="BM42" s="108">
        <f t="shared" si="40"/>
        <v>-19205.650361955035</v>
      </c>
      <c r="BN42" s="107">
        <f t="shared" si="40"/>
        <v>-20415.606334758198</v>
      </c>
      <c r="BO42" s="106">
        <f t="shared" si="40"/>
        <v>-20415.606334758198</v>
      </c>
      <c r="BP42" s="106">
        <f t="shared" si="40"/>
        <v>-20415.606334758198</v>
      </c>
      <c r="BQ42" s="106">
        <f t="shared" si="40"/>
        <v>-20415.606334758198</v>
      </c>
      <c r="BR42" s="106">
        <f t="shared" si="40"/>
        <v>-20415.606334758198</v>
      </c>
      <c r="BS42" s="106">
        <f t="shared" si="40"/>
        <v>-20415.606334758198</v>
      </c>
      <c r="BT42" s="106">
        <f t="shared" si="40"/>
        <v>-20415.606334758198</v>
      </c>
      <c r="BU42" s="106">
        <f t="shared" si="40"/>
        <v>-20415.606334758198</v>
      </c>
      <c r="BV42" s="106">
        <f t="shared" si="40"/>
        <v>-20415.606334758198</v>
      </c>
      <c r="BW42" s="106">
        <f t="shared" si="40"/>
        <v>-20415.606334758198</v>
      </c>
      <c r="BX42" s="106">
        <f t="shared" si="40"/>
        <v>-20415.606334758198</v>
      </c>
      <c r="BY42" s="108">
        <f t="shared" si="40"/>
        <v>-20415.606334758198</v>
      </c>
      <c r="BZ42" s="107">
        <f t="shared" si="40"/>
        <v>-21701.789533847968</v>
      </c>
      <c r="CA42" s="106">
        <f t="shared" si="40"/>
        <v>-21701.789533847968</v>
      </c>
      <c r="CB42" s="106">
        <f t="shared" si="40"/>
        <v>-21701.789533847968</v>
      </c>
      <c r="CC42" s="106">
        <f t="shared" si="40"/>
        <v>-21701.789533847968</v>
      </c>
      <c r="CD42" s="106">
        <f t="shared" si="40"/>
        <v>-21701.789533847968</v>
      </c>
      <c r="CE42" s="106">
        <f t="shared" si="40"/>
        <v>-21701.789533847968</v>
      </c>
      <c r="CF42" s="106">
        <f t="shared" si="40"/>
        <v>-21701.789533847968</v>
      </c>
      <c r="CG42" s="106">
        <f t="shared" si="40"/>
        <v>-21701.789533847968</v>
      </c>
      <c r="CH42" s="106">
        <f t="shared" si="40"/>
        <v>-21701.789533847968</v>
      </c>
      <c r="CI42" s="106">
        <f t="shared" si="40"/>
        <v>-21701.789533847968</v>
      </c>
      <c r="CJ42" s="106">
        <f t="shared" si="40"/>
        <v>-21701.789533847968</v>
      </c>
      <c r="CK42" s="108">
        <f t="shared" si="40"/>
        <v>-21701.789533847968</v>
      </c>
      <c r="CL42" s="107">
        <f t="shared" si="40"/>
        <v>-23069.002274480386</v>
      </c>
      <c r="CM42" s="106">
        <f t="shared" si="40"/>
        <v>-23069.002274480386</v>
      </c>
      <c r="CN42" s="106">
        <f t="shared" si="40"/>
        <v>-23069.002274480386</v>
      </c>
      <c r="CO42" s="106">
        <f t="shared" si="40"/>
        <v>-23069.002274480386</v>
      </c>
      <c r="CP42" s="106">
        <f t="shared" si="40"/>
        <v>-23069.002274480386</v>
      </c>
      <c r="CQ42" s="106">
        <f t="shared" si="40"/>
        <v>-23069.002274480386</v>
      </c>
      <c r="CR42" s="106">
        <f t="shared" si="40"/>
        <v>-23069.002274480386</v>
      </c>
      <c r="CS42" s="106">
        <f t="shared" si="40"/>
        <v>-23069.002274480386</v>
      </c>
      <c r="CT42" s="106">
        <f t="shared" ref="CT42:DU44" si="41">$E42*$D42*CT$5</f>
        <v>-23069.002274480386</v>
      </c>
      <c r="CU42" s="106">
        <f t="shared" si="41"/>
        <v>-23069.002274480386</v>
      </c>
      <c r="CV42" s="106">
        <f t="shared" si="41"/>
        <v>-23069.002274480386</v>
      </c>
      <c r="CW42" s="108">
        <f t="shared" si="41"/>
        <v>-23069.002274480386</v>
      </c>
      <c r="CX42" s="107">
        <f t="shared" si="41"/>
        <v>-24522.34941777265</v>
      </c>
      <c r="CY42" s="106">
        <f t="shared" si="41"/>
        <v>-24522.34941777265</v>
      </c>
      <c r="CZ42" s="106">
        <f t="shared" si="41"/>
        <v>-24522.34941777265</v>
      </c>
      <c r="DA42" s="106">
        <f t="shared" si="41"/>
        <v>-24522.34941777265</v>
      </c>
      <c r="DB42" s="106">
        <f t="shared" si="41"/>
        <v>-24522.34941777265</v>
      </c>
      <c r="DC42" s="106">
        <f t="shared" si="41"/>
        <v>-24522.34941777265</v>
      </c>
      <c r="DD42" s="106">
        <f t="shared" si="41"/>
        <v>-24522.34941777265</v>
      </c>
      <c r="DE42" s="106">
        <f t="shared" si="41"/>
        <v>-24522.34941777265</v>
      </c>
      <c r="DF42" s="106">
        <f t="shared" si="41"/>
        <v>-24522.34941777265</v>
      </c>
      <c r="DG42" s="106">
        <f t="shared" si="41"/>
        <v>-24522.34941777265</v>
      </c>
      <c r="DH42" s="106">
        <f t="shared" si="41"/>
        <v>-24522.34941777265</v>
      </c>
      <c r="DI42" s="108">
        <f t="shared" si="41"/>
        <v>-24522.34941777265</v>
      </c>
      <c r="DJ42" s="107">
        <f t="shared" si="41"/>
        <v>-26067.257431092326</v>
      </c>
      <c r="DK42" s="106">
        <f t="shared" si="41"/>
        <v>-26067.257431092326</v>
      </c>
      <c r="DL42" s="106">
        <f t="shared" si="41"/>
        <v>-26067.257431092326</v>
      </c>
      <c r="DM42" s="106">
        <f t="shared" si="41"/>
        <v>-26067.257431092326</v>
      </c>
      <c r="DN42" s="106">
        <f t="shared" si="41"/>
        <v>-26067.257431092326</v>
      </c>
      <c r="DO42" s="106">
        <f t="shared" si="41"/>
        <v>-26067.257431092326</v>
      </c>
      <c r="DP42" s="106">
        <f t="shared" si="41"/>
        <v>-26067.257431092326</v>
      </c>
      <c r="DQ42" s="106">
        <f t="shared" si="41"/>
        <v>-26067.257431092326</v>
      </c>
      <c r="DR42" s="106">
        <f t="shared" si="41"/>
        <v>-26067.257431092326</v>
      </c>
      <c r="DS42" s="106">
        <f t="shared" si="41"/>
        <v>-26067.257431092326</v>
      </c>
      <c r="DT42" s="106">
        <f t="shared" si="41"/>
        <v>-26067.257431092326</v>
      </c>
      <c r="DU42" s="108">
        <f t="shared" si="41"/>
        <v>-26067.257431092326</v>
      </c>
    </row>
    <row r="43" spans="1:125" s="2" customFormat="1" ht="18.75" customHeight="1" x14ac:dyDescent="0.25">
      <c r="A43" s="244"/>
      <c r="B43" s="271" t="s">
        <v>247</v>
      </c>
      <c r="C43" s="271" t="s">
        <v>212</v>
      </c>
      <c r="D43" s="271">
        <v>1</v>
      </c>
      <c r="E43" s="10">
        <f t="shared" si="35"/>
        <v>-4750</v>
      </c>
      <c r="F43" s="738"/>
      <c r="G43" s="404"/>
      <c r="H43" s="404"/>
      <c r="I43" s="404"/>
      <c r="J43" s="404"/>
      <c r="K43" s="404"/>
      <c r="L43" s="404"/>
      <c r="M43" s="404"/>
      <c r="N43" s="404"/>
      <c r="O43" s="404"/>
      <c r="P43" s="404">
        <f t="shared" si="39"/>
        <v>-4750</v>
      </c>
      <c r="Q43" s="497">
        <f t="shared" si="39"/>
        <v>-4750</v>
      </c>
      <c r="R43" s="107">
        <f t="shared" si="39"/>
        <v>-5049.25</v>
      </c>
      <c r="S43" s="106">
        <f t="shared" si="39"/>
        <v>-5049.25</v>
      </c>
      <c r="T43" s="106">
        <f t="shared" si="39"/>
        <v>-5049.25</v>
      </c>
      <c r="U43" s="106">
        <f t="shared" si="39"/>
        <v>-5049.25</v>
      </c>
      <c r="V43" s="106">
        <f t="shared" si="39"/>
        <v>-5049.25</v>
      </c>
      <c r="W43" s="106">
        <f t="shared" si="39"/>
        <v>-5049.25</v>
      </c>
      <c r="X43" s="106">
        <f t="shared" si="39"/>
        <v>-5049.25</v>
      </c>
      <c r="Y43" s="106">
        <f t="shared" si="39"/>
        <v>-5049.25</v>
      </c>
      <c r="Z43" s="106">
        <f t="shared" si="39"/>
        <v>-5049.25</v>
      </c>
      <c r="AA43" s="106">
        <f t="shared" si="39"/>
        <v>-5049.25</v>
      </c>
      <c r="AB43" s="106">
        <f t="shared" si="39"/>
        <v>-5049.25</v>
      </c>
      <c r="AC43" s="108">
        <f t="shared" si="39"/>
        <v>-5049.25</v>
      </c>
      <c r="AD43" s="107">
        <f t="shared" si="39"/>
        <v>-5367.3527499999991</v>
      </c>
      <c r="AE43" s="106">
        <f t="shared" si="39"/>
        <v>-5367.3527499999991</v>
      </c>
      <c r="AF43" s="106">
        <f t="shared" si="39"/>
        <v>-5367.3527499999991</v>
      </c>
      <c r="AG43" s="106">
        <f t="shared" si="39"/>
        <v>-5367.3527499999991</v>
      </c>
      <c r="AH43" s="106">
        <f t="shared" si="40"/>
        <v>-5367.3527499999991</v>
      </c>
      <c r="AI43" s="106">
        <f t="shared" si="40"/>
        <v>-5367.3527499999991</v>
      </c>
      <c r="AJ43" s="106">
        <f t="shared" si="40"/>
        <v>-5367.3527499999991</v>
      </c>
      <c r="AK43" s="106">
        <f t="shared" si="40"/>
        <v>-5367.3527499999991</v>
      </c>
      <c r="AL43" s="106">
        <f t="shared" si="40"/>
        <v>-5367.3527499999991</v>
      </c>
      <c r="AM43" s="106">
        <f t="shared" si="40"/>
        <v>-5367.3527499999991</v>
      </c>
      <c r="AN43" s="106">
        <f t="shared" si="40"/>
        <v>-5367.3527499999991</v>
      </c>
      <c r="AO43" s="108">
        <f t="shared" si="40"/>
        <v>-5367.3527499999991</v>
      </c>
      <c r="AP43" s="107">
        <f t="shared" si="40"/>
        <v>-5705.4959732499983</v>
      </c>
      <c r="AQ43" s="106">
        <f t="shared" si="40"/>
        <v>-5705.4959732499983</v>
      </c>
      <c r="AR43" s="106">
        <f t="shared" si="40"/>
        <v>-5705.4959732499983</v>
      </c>
      <c r="AS43" s="106">
        <f t="shared" si="40"/>
        <v>-5705.4959732499983</v>
      </c>
      <c r="AT43" s="106">
        <f t="shared" si="40"/>
        <v>-5705.4959732499983</v>
      </c>
      <c r="AU43" s="106">
        <f t="shared" si="40"/>
        <v>-5705.4959732499983</v>
      </c>
      <c r="AV43" s="106">
        <f t="shared" si="40"/>
        <v>-5705.4959732499983</v>
      </c>
      <c r="AW43" s="106">
        <f t="shared" si="40"/>
        <v>-5705.4959732499983</v>
      </c>
      <c r="AX43" s="106">
        <f t="shared" si="40"/>
        <v>-5705.4959732499983</v>
      </c>
      <c r="AY43" s="106">
        <f t="shared" si="40"/>
        <v>-5705.4959732499983</v>
      </c>
      <c r="AZ43" s="106">
        <f t="shared" si="40"/>
        <v>-5705.4959732499983</v>
      </c>
      <c r="BA43" s="108">
        <f t="shared" si="40"/>
        <v>-5705.4959732499983</v>
      </c>
      <c r="BB43" s="107">
        <f t="shared" si="40"/>
        <v>-6064.9422195647476</v>
      </c>
      <c r="BC43" s="106">
        <f t="shared" si="40"/>
        <v>-6064.9422195647476</v>
      </c>
      <c r="BD43" s="106">
        <f t="shared" si="40"/>
        <v>-6064.9422195647476</v>
      </c>
      <c r="BE43" s="106">
        <f t="shared" si="40"/>
        <v>-6064.9422195647476</v>
      </c>
      <c r="BF43" s="106">
        <f t="shared" si="40"/>
        <v>-6064.9422195647476</v>
      </c>
      <c r="BG43" s="106">
        <f t="shared" si="40"/>
        <v>-6064.9422195647476</v>
      </c>
      <c r="BH43" s="106">
        <f t="shared" si="40"/>
        <v>-6064.9422195647476</v>
      </c>
      <c r="BI43" s="106">
        <f t="shared" si="40"/>
        <v>-6064.9422195647476</v>
      </c>
      <c r="BJ43" s="106">
        <f t="shared" si="40"/>
        <v>-6064.9422195647476</v>
      </c>
      <c r="BK43" s="106">
        <f t="shared" si="40"/>
        <v>-6064.9422195647476</v>
      </c>
      <c r="BL43" s="106">
        <f t="shared" si="40"/>
        <v>-6064.9422195647476</v>
      </c>
      <c r="BM43" s="108">
        <f t="shared" si="40"/>
        <v>-6064.9422195647476</v>
      </c>
      <c r="BN43" s="107">
        <f t="shared" si="40"/>
        <v>-6447.0335793973263</v>
      </c>
      <c r="BO43" s="106">
        <f t="shared" si="40"/>
        <v>-6447.0335793973263</v>
      </c>
      <c r="BP43" s="106">
        <f t="shared" si="40"/>
        <v>-6447.0335793973263</v>
      </c>
      <c r="BQ43" s="106">
        <f t="shared" si="40"/>
        <v>-6447.0335793973263</v>
      </c>
      <c r="BR43" s="106">
        <f t="shared" si="40"/>
        <v>-6447.0335793973263</v>
      </c>
      <c r="BS43" s="106">
        <f t="shared" si="40"/>
        <v>-6447.0335793973263</v>
      </c>
      <c r="BT43" s="106">
        <f t="shared" si="40"/>
        <v>-6447.0335793973263</v>
      </c>
      <c r="BU43" s="106">
        <f t="shared" si="40"/>
        <v>-6447.0335793973263</v>
      </c>
      <c r="BV43" s="106">
        <f t="shared" si="40"/>
        <v>-6447.0335793973263</v>
      </c>
      <c r="BW43" s="106">
        <f t="shared" si="40"/>
        <v>-6447.0335793973263</v>
      </c>
      <c r="BX43" s="106">
        <f t="shared" si="40"/>
        <v>-6447.0335793973263</v>
      </c>
      <c r="BY43" s="108">
        <f t="shared" si="40"/>
        <v>-6447.0335793973263</v>
      </c>
      <c r="BZ43" s="107">
        <f t="shared" si="40"/>
        <v>-6853.1966948993586</v>
      </c>
      <c r="CA43" s="106">
        <f t="shared" si="40"/>
        <v>-6853.1966948993586</v>
      </c>
      <c r="CB43" s="106">
        <f t="shared" si="40"/>
        <v>-6853.1966948993586</v>
      </c>
      <c r="CC43" s="106">
        <f t="shared" si="40"/>
        <v>-6853.1966948993586</v>
      </c>
      <c r="CD43" s="106">
        <f t="shared" si="40"/>
        <v>-6853.1966948993586</v>
      </c>
      <c r="CE43" s="106">
        <f t="shared" si="40"/>
        <v>-6853.1966948993586</v>
      </c>
      <c r="CF43" s="106">
        <f t="shared" si="40"/>
        <v>-6853.1966948993586</v>
      </c>
      <c r="CG43" s="106">
        <f t="shared" si="40"/>
        <v>-6853.1966948993586</v>
      </c>
      <c r="CH43" s="106">
        <f t="shared" si="40"/>
        <v>-6853.1966948993586</v>
      </c>
      <c r="CI43" s="106">
        <f t="shared" si="40"/>
        <v>-6853.1966948993586</v>
      </c>
      <c r="CJ43" s="106">
        <f t="shared" si="40"/>
        <v>-6853.1966948993586</v>
      </c>
      <c r="CK43" s="108">
        <f t="shared" si="40"/>
        <v>-6853.1966948993586</v>
      </c>
      <c r="CL43" s="107">
        <f t="shared" si="40"/>
        <v>-7284.9480866780177</v>
      </c>
      <c r="CM43" s="106">
        <f t="shared" si="40"/>
        <v>-7284.9480866780177</v>
      </c>
      <c r="CN43" s="106">
        <f t="shared" si="40"/>
        <v>-7284.9480866780177</v>
      </c>
      <c r="CO43" s="106">
        <f t="shared" si="40"/>
        <v>-7284.9480866780177</v>
      </c>
      <c r="CP43" s="106">
        <f t="shared" si="40"/>
        <v>-7284.9480866780177</v>
      </c>
      <c r="CQ43" s="106">
        <f t="shared" si="40"/>
        <v>-7284.9480866780177</v>
      </c>
      <c r="CR43" s="106">
        <f t="shared" si="40"/>
        <v>-7284.9480866780177</v>
      </c>
      <c r="CS43" s="106">
        <f t="shared" si="40"/>
        <v>-7284.9480866780177</v>
      </c>
      <c r="CT43" s="106">
        <f t="shared" si="41"/>
        <v>-7284.9480866780177</v>
      </c>
      <c r="CU43" s="106">
        <f t="shared" si="41"/>
        <v>-7284.9480866780177</v>
      </c>
      <c r="CV43" s="106">
        <f t="shared" si="41"/>
        <v>-7284.9480866780177</v>
      </c>
      <c r="CW43" s="108">
        <f t="shared" si="41"/>
        <v>-7284.9480866780177</v>
      </c>
      <c r="CX43" s="107">
        <f t="shared" si="41"/>
        <v>-7743.8998161387317</v>
      </c>
      <c r="CY43" s="106">
        <f t="shared" si="41"/>
        <v>-7743.8998161387317</v>
      </c>
      <c r="CZ43" s="106">
        <f t="shared" si="41"/>
        <v>-7743.8998161387317</v>
      </c>
      <c r="DA43" s="106">
        <f t="shared" si="41"/>
        <v>-7743.8998161387317</v>
      </c>
      <c r="DB43" s="106">
        <f t="shared" si="41"/>
        <v>-7743.8998161387317</v>
      </c>
      <c r="DC43" s="106">
        <f t="shared" si="41"/>
        <v>-7743.8998161387317</v>
      </c>
      <c r="DD43" s="106">
        <f t="shared" si="41"/>
        <v>-7743.8998161387317</v>
      </c>
      <c r="DE43" s="106">
        <f t="shared" si="41"/>
        <v>-7743.8998161387317</v>
      </c>
      <c r="DF43" s="106">
        <f t="shared" si="41"/>
        <v>-7743.8998161387317</v>
      </c>
      <c r="DG43" s="106">
        <f t="shared" si="41"/>
        <v>-7743.8998161387317</v>
      </c>
      <c r="DH43" s="106">
        <f t="shared" si="41"/>
        <v>-7743.8998161387317</v>
      </c>
      <c r="DI43" s="108">
        <f t="shared" si="41"/>
        <v>-7743.8998161387317</v>
      </c>
      <c r="DJ43" s="107">
        <f t="shared" si="41"/>
        <v>-8231.7655045554729</v>
      </c>
      <c r="DK43" s="106">
        <f t="shared" si="41"/>
        <v>-8231.7655045554729</v>
      </c>
      <c r="DL43" s="106">
        <f t="shared" si="41"/>
        <v>-8231.7655045554729</v>
      </c>
      <c r="DM43" s="106">
        <f t="shared" si="41"/>
        <v>-8231.7655045554729</v>
      </c>
      <c r="DN43" s="106">
        <f t="shared" si="41"/>
        <v>-8231.7655045554729</v>
      </c>
      <c r="DO43" s="106">
        <f t="shared" si="41"/>
        <v>-8231.7655045554729</v>
      </c>
      <c r="DP43" s="106">
        <f t="shared" si="41"/>
        <v>-8231.7655045554729</v>
      </c>
      <c r="DQ43" s="106">
        <f t="shared" si="41"/>
        <v>-8231.7655045554729</v>
      </c>
      <c r="DR43" s="106">
        <f t="shared" si="41"/>
        <v>-8231.7655045554729</v>
      </c>
      <c r="DS43" s="106">
        <f t="shared" si="41"/>
        <v>-8231.7655045554729</v>
      </c>
      <c r="DT43" s="106">
        <f t="shared" si="41"/>
        <v>-8231.7655045554729</v>
      </c>
      <c r="DU43" s="108">
        <f t="shared" si="41"/>
        <v>-8231.7655045554729</v>
      </c>
    </row>
    <row r="44" spans="1:125" s="2" customFormat="1" ht="18.75" customHeight="1" x14ac:dyDescent="0.25">
      <c r="A44" s="244"/>
      <c r="B44" s="271" t="s">
        <v>246</v>
      </c>
      <c r="C44" s="271" t="s">
        <v>211</v>
      </c>
      <c r="D44" s="271">
        <v>2</v>
      </c>
      <c r="E44" s="10">
        <f t="shared" si="35"/>
        <v>-4208.333333333333</v>
      </c>
      <c r="F44" s="738"/>
      <c r="G44" s="404"/>
      <c r="H44" s="404"/>
      <c r="I44" s="404"/>
      <c r="J44" s="404"/>
      <c r="K44" s="404"/>
      <c r="L44" s="404"/>
      <c r="M44" s="404"/>
      <c r="N44" s="404"/>
      <c r="O44" s="404"/>
      <c r="P44" s="404">
        <f t="shared" si="39"/>
        <v>-8416.6666666666661</v>
      </c>
      <c r="Q44" s="497">
        <f t="shared" si="39"/>
        <v>-8416.6666666666661</v>
      </c>
      <c r="R44" s="107">
        <f t="shared" si="39"/>
        <v>-8946.9166666666661</v>
      </c>
      <c r="S44" s="106">
        <f t="shared" si="39"/>
        <v>-8946.9166666666661</v>
      </c>
      <c r="T44" s="106">
        <f t="shared" si="39"/>
        <v>-8946.9166666666661</v>
      </c>
      <c r="U44" s="106">
        <f t="shared" si="39"/>
        <v>-8946.9166666666661</v>
      </c>
      <c r="V44" s="106">
        <f t="shared" si="39"/>
        <v>-8946.9166666666661</v>
      </c>
      <c r="W44" s="106">
        <f t="shared" si="39"/>
        <v>-8946.9166666666661</v>
      </c>
      <c r="X44" s="106">
        <f t="shared" si="39"/>
        <v>-8946.9166666666661</v>
      </c>
      <c r="Y44" s="106">
        <f t="shared" si="39"/>
        <v>-8946.9166666666661</v>
      </c>
      <c r="Z44" s="106">
        <f t="shared" si="39"/>
        <v>-8946.9166666666661</v>
      </c>
      <c r="AA44" s="106">
        <f t="shared" si="39"/>
        <v>-8946.9166666666661</v>
      </c>
      <c r="AB44" s="106">
        <f t="shared" si="39"/>
        <v>-8946.9166666666661</v>
      </c>
      <c r="AC44" s="108">
        <f t="shared" si="39"/>
        <v>-8946.9166666666661</v>
      </c>
      <c r="AD44" s="107">
        <f t="shared" si="39"/>
        <v>-9510.5724166666641</v>
      </c>
      <c r="AE44" s="106">
        <f t="shared" si="39"/>
        <v>-9510.5724166666641</v>
      </c>
      <c r="AF44" s="106">
        <f t="shared" si="39"/>
        <v>-9510.5724166666641</v>
      </c>
      <c r="AG44" s="106">
        <f t="shared" si="39"/>
        <v>-9510.5724166666641</v>
      </c>
      <c r="AH44" s="106">
        <f t="shared" si="40"/>
        <v>-9510.5724166666641</v>
      </c>
      <c r="AI44" s="106">
        <f t="shared" si="40"/>
        <v>-9510.5724166666641</v>
      </c>
      <c r="AJ44" s="106">
        <f t="shared" si="40"/>
        <v>-9510.5724166666641</v>
      </c>
      <c r="AK44" s="106">
        <f t="shared" si="40"/>
        <v>-9510.5724166666641</v>
      </c>
      <c r="AL44" s="106">
        <f t="shared" si="40"/>
        <v>-9510.5724166666641</v>
      </c>
      <c r="AM44" s="106">
        <f t="shared" si="40"/>
        <v>-9510.5724166666641</v>
      </c>
      <c r="AN44" s="106">
        <f t="shared" si="40"/>
        <v>-9510.5724166666641</v>
      </c>
      <c r="AO44" s="108">
        <f t="shared" si="40"/>
        <v>-9510.5724166666641</v>
      </c>
      <c r="AP44" s="107">
        <f t="shared" si="40"/>
        <v>-10109.738478916663</v>
      </c>
      <c r="AQ44" s="106">
        <f t="shared" si="40"/>
        <v>-10109.738478916663</v>
      </c>
      <c r="AR44" s="106">
        <f t="shared" si="40"/>
        <v>-10109.738478916663</v>
      </c>
      <c r="AS44" s="106">
        <f t="shared" si="40"/>
        <v>-10109.738478916663</v>
      </c>
      <c r="AT44" s="106">
        <f t="shared" si="40"/>
        <v>-10109.738478916663</v>
      </c>
      <c r="AU44" s="106">
        <f t="shared" si="40"/>
        <v>-10109.738478916663</v>
      </c>
      <c r="AV44" s="106">
        <f t="shared" si="40"/>
        <v>-10109.738478916663</v>
      </c>
      <c r="AW44" s="106">
        <f t="shared" si="40"/>
        <v>-10109.738478916663</v>
      </c>
      <c r="AX44" s="106">
        <f t="shared" si="40"/>
        <v>-10109.738478916663</v>
      </c>
      <c r="AY44" s="106">
        <f t="shared" si="40"/>
        <v>-10109.738478916663</v>
      </c>
      <c r="AZ44" s="106">
        <f t="shared" si="40"/>
        <v>-10109.738478916663</v>
      </c>
      <c r="BA44" s="108">
        <f t="shared" si="40"/>
        <v>-10109.738478916663</v>
      </c>
      <c r="BB44" s="107">
        <f t="shared" si="40"/>
        <v>-10746.652003088413</v>
      </c>
      <c r="BC44" s="106">
        <f t="shared" si="40"/>
        <v>-10746.652003088413</v>
      </c>
      <c r="BD44" s="106">
        <f t="shared" si="40"/>
        <v>-10746.652003088413</v>
      </c>
      <c r="BE44" s="106">
        <f t="shared" si="40"/>
        <v>-10746.652003088413</v>
      </c>
      <c r="BF44" s="106">
        <f t="shared" si="40"/>
        <v>-10746.652003088413</v>
      </c>
      <c r="BG44" s="106">
        <f t="shared" si="40"/>
        <v>-10746.652003088413</v>
      </c>
      <c r="BH44" s="106">
        <f t="shared" si="40"/>
        <v>-10746.652003088413</v>
      </c>
      <c r="BI44" s="106">
        <f t="shared" si="40"/>
        <v>-10746.652003088413</v>
      </c>
      <c r="BJ44" s="106">
        <f t="shared" si="40"/>
        <v>-10746.652003088413</v>
      </c>
      <c r="BK44" s="106">
        <f t="shared" si="40"/>
        <v>-10746.652003088413</v>
      </c>
      <c r="BL44" s="106">
        <f t="shared" si="40"/>
        <v>-10746.652003088413</v>
      </c>
      <c r="BM44" s="108">
        <f t="shared" si="40"/>
        <v>-10746.652003088413</v>
      </c>
      <c r="BN44" s="107">
        <f t="shared" si="40"/>
        <v>-11423.691079282982</v>
      </c>
      <c r="BO44" s="106">
        <f t="shared" si="40"/>
        <v>-11423.691079282982</v>
      </c>
      <c r="BP44" s="106">
        <f t="shared" si="40"/>
        <v>-11423.691079282982</v>
      </c>
      <c r="BQ44" s="106">
        <f t="shared" si="40"/>
        <v>-11423.691079282982</v>
      </c>
      <c r="BR44" s="106">
        <f t="shared" si="40"/>
        <v>-11423.691079282982</v>
      </c>
      <c r="BS44" s="106">
        <f t="shared" si="40"/>
        <v>-11423.691079282982</v>
      </c>
      <c r="BT44" s="106">
        <f t="shared" si="40"/>
        <v>-11423.691079282982</v>
      </c>
      <c r="BU44" s="106">
        <f t="shared" si="40"/>
        <v>-11423.691079282982</v>
      </c>
      <c r="BV44" s="106">
        <f t="shared" si="40"/>
        <v>-11423.691079282982</v>
      </c>
      <c r="BW44" s="106">
        <f t="shared" si="40"/>
        <v>-11423.691079282982</v>
      </c>
      <c r="BX44" s="106">
        <f t="shared" si="40"/>
        <v>-11423.691079282982</v>
      </c>
      <c r="BY44" s="108">
        <f t="shared" si="40"/>
        <v>-11423.691079282982</v>
      </c>
      <c r="BZ44" s="107">
        <f t="shared" si="40"/>
        <v>-12143.38361727781</v>
      </c>
      <c r="CA44" s="106">
        <f t="shared" si="40"/>
        <v>-12143.38361727781</v>
      </c>
      <c r="CB44" s="106">
        <f t="shared" si="40"/>
        <v>-12143.38361727781</v>
      </c>
      <c r="CC44" s="106">
        <f t="shared" si="40"/>
        <v>-12143.38361727781</v>
      </c>
      <c r="CD44" s="106">
        <f t="shared" si="40"/>
        <v>-12143.38361727781</v>
      </c>
      <c r="CE44" s="106">
        <f t="shared" si="40"/>
        <v>-12143.38361727781</v>
      </c>
      <c r="CF44" s="106">
        <f t="shared" si="40"/>
        <v>-12143.38361727781</v>
      </c>
      <c r="CG44" s="106">
        <f t="shared" si="40"/>
        <v>-12143.38361727781</v>
      </c>
      <c r="CH44" s="106">
        <f t="shared" si="40"/>
        <v>-12143.38361727781</v>
      </c>
      <c r="CI44" s="106">
        <f t="shared" si="40"/>
        <v>-12143.38361727781</v>
      </c>
      <c r="CJ44" s="106">
        <f t="shared" si="40"/>
        <v>-12143.38361727781</v>
      </c>
      <c r="CK44" s="108">
        <f t="shared" si="40"/>
        <v>-12143.38361727781</v>
      </c>
      <c r="CL44" s="107">
        <f t="shared" si="40"/>
        <v>-12908.416785166311</v>
      </c>
      <c r="CM44" s="106">
        <f t="shared" si="40"/>
        <v>-12908.416785166311</v>
      </c>
      <c r="CN44" s="106">
        <f t="shared" si="40"/>
        <v>-12908.416785166311</v>
      </c>
      <c r="CO44" s="106">
        <f t="shared" si="40"/>
        <v>-12908.416785166311</v>
      </c>
      <c r="CP44" s="106">
        <f t="shared" si="40"/>
        <v>-12908.416785166311</v>
      </c>
      <c r="CQ44" s="106">
        <f t="shared" si="40"/>
        <v>-12908.416785166311</v>
      </c>
      <c r="CR44" s="106">
        <f t="shared" si="40"/>
        <v>-12908.416785166311</v>
      </c>
      <c r="CS44" s="106">
        <f t="shared" si="40"/>
        <v>-12908.416785166311</v>
      </c>
      <c r="CT44" s="106">
        <f t="shared" si="41"/>
        <v>-12908.416785166311</v>
      </c>
      <c r="CU44" s="106">
        <f t="shared" si="41"/>
        <v>-12908.416785166311</v>
      </c>
      <c r="CV44" s="106">
        <f t="shared" si="41"/>
        <v>-12908.416785166311</v>
      </c>
      <c r="CW44" s="108">
        <f t="shared" si="41"/>
        <v>-12908.416785166311</v>
      </c>
      <c r="CX44" s="107">
        <f t="shared" si="41"/>
        <v>-13721.647042631788</v>
      </c>
      <c r="CY44" s="106">
        <f t="shared" si="41"/>
        <v>-13721.647042631788</v>
      </c>
      <c r="CZ44" s="106">
        <f t="shared" si="41"/>
        <v>-13721.647042631788</v>
      </c>
      <c r="DA44" s="106">
        <f t="shared" si="41"/>
        <v>-13721.647042631788</v>
      </c>
      <c r="DB44" s="106">
        <f t="shared" si="41"/>
        <v>-13721.647042631788</v>
      </c>
      <c r="DC44" s="106">
        <f t="shared" si="41"/>
        <v>-13721.647042631788</v>
      </c>
      <c r="DD44" s="106">
        <f t="shared" si="41"/>
        <v>-13721.647042631788</v>
      </c>
      <c r="DE44" s="106">
        <f t="shared" si="41"/>
        <v>-13721.647042631788</v>
      </c>
      <c r="DF44" s="106">
        <f t="shared" si="41"/>
        <v>-13721.647042631788</v>
      </c>
      <c r="DG44" s="106">
        <f t="shared" si="41"/>
        <v>-13721.647042631788</v>
      </c>
      <c r="DH44" s="106">
        <f t="shared" si="41"/>
        <v>-13721.647042631788</v>
      </c>
      <c r="DI44" s="108">
        <f t="shared" si="41"/>
        <v>-13721.647042631788</v>
      </c>
      <c r="DJ44" s="107">
        <f t="shared" si="41"/>
        <v>-14586.110806317591</v>
      </c>
      <c r="DK44" s="106">
        <f t="shared" si="41"/>
        <v>-14586.110806317591</v>
      </c>
      <c r="DL44" s="106">
        <f t="shared" si="41"/>
        <v>-14586.110806317591</v>
      </c>
      <c r="DM44" s="106">
        <f t="shared" si="41"/>
        <v>-14586.110806317591</v>
      </c>
      <c r="DN44" s="106">
        <f t="shared" si="41"/>
        <v>-14586.110806317591</v>
      </c>
      <c r="DO44" s="106">
        <f t="shared" si="41"/>
        <v>-14586.110806317591</v>
      </c>
      <c r="DP44" s="106">
        <f t="shared" si="41"/>
        <v>-14586.110806317591</v>
      </c>
      <c r="DQ44" s="106">
        <f t="shared" si="41"/>
        <v>-14586.110806317591</v>
      </c>
      <c r="DR44" s="106">
        <f t="shared" si="41"/>
        <v>-14586.110806317591</v>
      </c>
      <c r="DS44" s="106">
        <f t="shared" si="41"/>
        <v>-14586.110806317591</v>
      </c>
      <c r="DT44" s="106">
        <f t="shared" si="41"/>
        <v>-14586.110806317591</v>
      </c>
      <c r="DU44" s="108">
        <f t="shared" si="41"/>
        <v>-14586.110806317591</v>
      </c>
    </row>
    <row r="45" spans="1:125" s="2" customFormat="1" ht="18.75" customHeight="1" x14ac:dyDescent="0.25">
      <c r="A45" s="248"/>
      <c r="B45" s="249"/>
      <c r="C45" s="249"/>
      <c r="D45" s="249">
        <f>SUM(D8:D44)</f>
        <v>63</v>
      </c>
      <c r="E45" s="10"/>
      <c r="F45" s="851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595"/>
      <c r="R45" s="273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595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595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595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595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595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595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595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595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595"/>
    </row>
    <row r="46" spans="1:125" s="2" customFormat="1" ht="18.75" customHeight="1" thickBot="1" x14ac:dyDescent="0.3">
      <c r="A46" s="165"/>
      <c r="B46" s="8"/>
      <c r="C46" s="8"/>
      <c r="D46" s="8"/>
      <c r="E46" s="10"/>
      <c r="F46" s="845"/>
      <c r="G46" s="837"/>
      <c r="H46" s="837"/>
      <c r="I46" s="837"/>
      <c r="J46" s="837"/>
      <c r="K46" s="837"/>
      <c r="L46" s="837"/>
      <c r="M46" s="837"/>
      <c r="N46" s="837"/>
      <c r="O46" s="837"/>
      <c r="P46" s="837"/>
      <c r="Q46" s="850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50"/>
      <c r="AD46" s="837"/>
      <c r="AE46" s="837"/>
      <c r="AF46" s="837"/>
      <c r="AG46" s="837"/>
      <c r="AH46" s="837"/>
      <c r="AI46" s="837"/>
      <c r="AJ46" s="837"/>
      <c r="AK46" s="837"/>
      <c r="AL46" s="837"/>
      <c r="AM46" s="837"/>
      <c r="AN46" s="837"/>
      <c r="AO46" s="850"/>
      <c r="AP46" s="837"/>
      <c r="AQ46" s="837"/>
      <c r="AR46" s="837"/>
      <c r="AS46" s="837"/>
      <c r="AT46" s="837"/>
      <c r="AU46" s="837"/>
      <c r="AV46" s="837"/>
      <c r="AW46" s="837"/>
      <c r="AX46" s="837"/>
      <c r="AY46" s="837"/>
      <c r="AZ46" s="837"/>
      <c r="BA46" s="850"/>
      <c r="BB46" s="837"/>
      <c r="BC46" s="837"/>
      <c r="BD46" s="837"/>
      <c r="BE46" s="837"/>
      <c r="BF46" s="837"/>
      <c r="BG46" s="837"/>
      <c r="BH46" s="837"/>
      <c r="BI46" s="837"/>
      <c r="BJ46" s="837"/>
      <c r="BK46" s="837"/>
      <c r="BL46" s="837"/>
      <c r="BM46" s="850"/>
      <c r="BN46" s="837"/>
      <c r="BO46" s="837"/>
      <c r="BP46" s="837"/>
      <c r="BQ46" s="837"/>
      <c r="BR46" s="837"/>
      <c r="BS46" s="837"/>
      <c r="BT46" s="837"/>
      <c r="BU46" s="837"/>
      <c r="BV46" s="837"/>
      <c r="BW46" s="837"/>
      <c r="BX46" s="837"/>
      <c r="BY46" s="850"/>
      <c r="BZ46" s="837"/>
      <c r="CA46" s="837"/>
      <c r="CB46" s="837"/>
      <c r="CC46" s="837"/>
      <c r="CD46" s="837"/>
      <c r="CE46" s="837"/>
      <c r="CF46" s="837"/>
      <c r="CG46" s="837"/>
      <c r="CH46" s="837"/>
      <c r="CI46" s="837"/>
      <c r="CJ46" s="837"/>
      <c r="CK46" s="850"/>
      <c r="CL46" s="837"/>
      <c r="CM46" s="837"/>
      <c r="CN46" s="837"/>
      <c r="CO46" s="837"/>
      <c r="CP46" s="837"/>
      <c r="CQ46" s="837"/>
      <c r="CR46" s="837"/>
      <c r="CS46" s="837"/>
      <c r="CT46" s="837"/>
      <c r="CU46" s="837"/>
      <c r="CV46" s="837"/>
      <c r="CW46" s="850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594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594"/>
    </row>
    <row r="47" spans="1:125" s="6" customFormat="1" ht="26.25" customHeight="1" thickBot="1" x14ac:dyDescent="0.35">
      <c r="A47" s="1363" t="s">
        <v>159</v>
      </c>
      <c r="B47" s="1363"/>
      <c r="C47" s="1363"/>
      <c r="D47" s="1363"/>
      <c r="E47" s="575"/>
      <c r="F47" s="470">
        <f t="shared" ref="F47:AK47" si="42">SUM(F8:F44)</f>
        <v>0</v>
      </c>
      <c r="G47" s="230">
        <f t="shared" si="42"/>
        <v>0</v>
      </c>
      <c r="H47" s="230">
        <f t="shared" si="42"/>
        <v>0</v>
      </c>
      <c r="I47" s="230">
        <f t="shared" si="42"/>
        <v>0</v>
      </c>
      <c r="J47" s="230">
        <f t="shared" si="42"/>
        <v>0</v>
      </c>
      <c r="K47" s="230">
        <f t="shared" si="42"/>
        <v>0</v>
      </c>
      <c r="L47" s="230">
        <f t="shared" si="42"/>
        <v>0</v>
      </c>
      <c r="M47" s="230">
        <f t="shared" si="42"/>
        <v>0</v>
      </c>
      <c r="N47" s="230">
        <f t="shared" si="42"/>
        <v>0</v>
      </c>
      <c r="O47" s="230">
        <f t="shared" si="42"/>
        <v>0</v>
      </c>
      <c r="P47" s="230">
        <f t="shared" si="42"/>
        <v>-216791.66666666666</v>
      </c>
      <c r="Q47" s="231">
        <f t="shared" si="42"/>
        <v>-216791.66666666666</v>
      </c>
      <c r="R47" s="230">
        <f t="shared" si="42"/>
        <v>-230449.54166666666</v>
      </c>
      <c r="S47" s="230">
        <f t="shared" si="42"/>
        <v>-448408.83333333331</v>
      </c>
      <c r="T47" s="230">
        <f t="shared" si="42"/>
        <v>-448408.83333333331</v>
      </c>
      <c r="U47" s="230">
        <f t="shared" si="42"/>
        <v>-448408.83333333331</v>
      </c>
      <c r="V47" s="230">
        <f t="shared" si="42"/>
        <v>-448408.83333333331</v>
      </c>
      <c r="W47" s="230">
        <f t="shared" si="42"/>
        <v>-448408.83333333331</v>
      </c>
      <c r="X47" s="230">
        <f t="shared" si="42"/>
        <v>-448408.83333333331</v>
      </c>
      <c r="Y47" s="230">
        <f t="shared" si="42"/>
        <v>-448408.83333333331</v>
      </c>
      <c r="Z47" s="230">
        <f t="shared" si="42"/>
        <v>-448408.83333333331</v>
      </c>
      <c r="AA47" s="230">
        <f t="shared" si="42"/>
        <v>-477685.625</v>
      </c>
      <c r="AB47" s="230">
        <f t="shared" si="42"/>
        <v>-477685.625</v>
      </c>
      <c r="AC47" s="231">
        <f t="shared" si="42"/>
        <v>-477685.625</v>
      </c>
      <c r="AD47" s="230">
        <f t="shared" si="42"/>
        <v>-507779.81937499979</v>
      </c>
      <c r="AE47" s="230">
        <f t="shared" si="42"/>
        <v>-550718.64137499977</v>
      </c>
      <c r="AF47" s="230">
        <f t="shared" si="42"/>
        <v>-550718.64137499977</v>
      </c>
      <c r="AG47" s="230">
        <f t="shared" si="42"/>
        <v>-550718.64137499977</v>
      </c>
      <c r="AH47" s="230">
        <f t="shared" si="42"/>
        <v>-550718.64137499977</v>
      </c>
      <c r="AI47" s="230">
        <f t="shared" si="42"/>
        <v>-640880.75116666639</v>
      </c>
      <c r="AJ47" s="230">
        <f t="shared" si="42"/>
        <v>-640880.75116666639</v>
      </c>
      <c r="AK47" s="230">
        <f t="shared" si="42"/>
        <v>-640880.75116666639</v>
      </c>
      <c r="AL47" s="230">
        <f t="shared" ref="AL47:BQ47" si="43">SUM(AL8:AL44)</f>
        <v>-640880.75116666639</v>
      </c>
      <c r="AM47" s="230">
        <f t="shared" si="43"/>
        <v>-640880.75116666639</v>
      </c>
      <c r="AN47" s="230">
        <f t="shared" si="43"/>
        <v>-640880.75116666639</v>
      </c>
      <c r="AO47" s="718">
        <f t="shared" si="43"/>
        <v>-640880.75116666639</v>
      </c>
      <c r="AP47" s="230">
        <f t="shared" si="43"/>
        <v>-711585.45392691658</v>
      </c>
      <c r="AQ47" s="230">
        <f t="shared" si="43"/>
        <v>-711585.45392691658</v>
      </c>
      <c r="AR47" s="230">
        <f t="shared" si="43"/>
        <v>-711585.45392691658</v>
      </c>
      <c r="AS47" s="230">
        <f t="shared" si="43"/>
        <v>-711585.45392691658</v>
      </c>
      <c r="AT47" s="230">
        <f t="shared" si="43"/>
        <v>-711585.45392691658</v>
      </c>
      <c r="AU47" s="230">
        <f t="shared" si="43"/>
        <v>-711585.45392691658</v>
      </c>
      <c r="AV47" s="230">
        <f t="shared" si="43"/>
        <v>-711585.45392691658</v>
      </c>
      <c r="AW47" s="230">
        <f t="shared" si="43"/>
        <v>-711585.45392691658</v>
      </c>
      <c r="AX47" s="230">
        <f t="shared" si="43"/>
        <v>-711585.45392691658</v>
      </c>
      <c r="AY47" s="230">
        <f t="shared" si="43"/>
        <v>-711585.45392691658</v>
      </c>
      <c r="AZ47" s="230">
        <f t="shared" si="43"/>
        <v>-711585.45392691658</v>
      </c>
      <c r="BA47" s="718">
        <f t="shared" si="43"/>
        <v>-711585.45392691658</v>
      </c>
      <c r="BB47" s="230">
        <f t="shared" si="43"/>
        <v>-788655.29353357758</v>
      </c>
      <c r="BC47" s="230">
        <f t="shared" si="43"/>
        <v>-788655.29353357758</v>
      </c>
      <c r="BD47" s="230">
        <f t="shared" si="43"/>
        <v>-788655.29353357758</v>
      </c>
      <c r="BE47" s="230">
        <f t="shared" si="43"/>
        <v>-788655.29353357758</v>
      </c>
      <c r="BF47" s="230">
        <f t="shared" si="43"/>
        <v>-788655.29353357758</v>
      </c>
      <c r="BG47" s="230">
        <f t="shared" si="43"/>
        <v>-788655.29353357758</v>
      </c>
      <c r="BH47" s="230">
        <f t="shared" si="43"/>
        <v>-788655.29353357758</v>
      </c>
      <c r="BI47" s="230">
        <f t="shared" si="43"/>
        <v>-788655.29353357758</v>
      </c>
      <c r="BJ47" s="230">
        <f t="shared" si="43"/>
        <v>-788655.29353357758</v>
      </c>
      <c r="BK47" s="230">
        <f t="shared" si="43"/>
        <v>-788655.29353357758</v>
      </c>
      <c r="BL47" s="230">
        <f t="shared" si="43"/>
        <v>-788655.29353357758</v>
      </c>
      <c r="BM47" s="718">
        <f t="shared" si="43"/>
        <v>-788655.29353357758</v>
      </c>
      <c r="BN47" s="230">
        <f t="shared" si="43"/>
        <v>-838340.5770261928</v>
      </c>
      <c r="BO47" s="230">
        <f t="shared" si="43"/>
        <v>-838340.5770261928</v>
      </c>
      <c r="BP47" s="230">
        <f t="shared" si="43"/>
        <v>-838340.5770261928</v>
      </c>
      <c r="BQ47" s="230">
        <f t="shared" si="43"/>
        <v>-838340.5770261928</v>
      </c>
      <c r="BR47" s="230">
        <f t="shared" ref="BR47:CW47" si="44">SUM(BR8:BR44)</f>
        <v>-838340.5770261928</v>
      </c>
      <c r="BS47" s="230">
        <f t="shared" si="44"/>
        <v>-838340.5770261928</v>
      </c>
      <c r="BT47" s="230">
        <f t="shared" si="44"/>
        <v>-838340.5770261928</v>
      </c>
      <c r="BU47" s="230">
        <f t="shared" si="44"/>
        <v>-838340.5770261928</v>
      </c>
      <c r="BV47" s="230">
        <f t="shared" si="44"/>
        <v>-838340.5770261928</v>
      </c>
      <c r="BW47" s="230">
        <f t="shared" si="44"/>
        <v>-838340.5770261928</v>
      </c>
      <c r="BX47" s="230">
        <f t="shared" si="44"/>
        <v>-838340.5770261928</v>
      </c>
      <c r="BY47" s="718">
        <f t="shared" si="44"/>
        <v>-838340.5770261928</v>
      </c>
      <c r="BZ47" s="230">
        <f t="shared" si="44"/>
        <v>-891156.03337884264</v>
      </c>
      <c r="CA47" s="230">
        <f t="shared" si="44"/>
        <v>-891156.03337884264</v>
      </c>
      <c r="CB47" s="230">
        <f t="shared" si="44"/>
        <v>-891156.03337884264</v>
      </c>
      <c r="CC47" s="230">
        <f t="shared" si="44"/>
        <v>-891156.03337884264</v>
      </c>
      <c r="CD47" s="230">
        <f t="shared" si="44"/>
        <v>-891156.03337884264</v>
      </c>
      <c r="CE47" s="230">
        <f t="shared" si="44"/>
        <v>-891156.03337884264</v>
      </c>
      <c r="CF47" s="230">
        <f t="shared" si="44"/>
        <v>-891156.03337884264</v>
      </c>
      <c r="CG47" s="230">
        <f t="shared" si="44"/>
        <v>-891156.03337884264</v>
      </c>
      <c r="CH47" s="230">
        <f t="shared" si="44"/>
        <v>-891156.03337884264</v>
      </c>
      <c r="CI47" s="230">
        <f t="shared" si="44"/>
        <v>-891156.03337884264</v>
      </c>
      <c r="CJ47" s="230">
        <f t="shared" si="44"/>
        <v>-891156.03337884264</v>
      </c>
      <c r="CK47" s="718">
        <f t="shared" si="44"/>
        <v>-891156.03337884264</v>
      </c>
      <c r="CL47" s="230">
        <f t="shared" si="44"/>
        <v>-947298.86348171008</v>
      </c>
      <c r="CM47" s="230">
        <f t="shared" si="44"/>
        <v>-947298.86348171008</v>
      </c>
      <c r="CN47" s="230">
        <f t="shared" si="44"/>
        <v>-947298.86348171008</v>
      </c>
      <c r="CO47" s="230">
        <f t="shared" si="44"/>
        <v>-947298.86348171008</v>
      </c>
      <c r="CP47" s="230">
        <f t="shared" si="44"/>
        <v>-947298.86348171008</v>
      </c>
      <c r="CQ47" s="230">
        <f t="shared" si="44"/>
        <v>-947298.86348171008</v>
      </c>
      <c r="CR47" s="230">
        <f t="shared" si="44"/>
        <v>-947298.86348171008</v>
      </c>
      <c r="CS47" s="230">
        <f t="shared" si="44"/>
        <v>-947298.86348171008</v>
      </c>
      <c r="CT47" s="230">
        <f t="shared" si="44"/>
        <v>-947298.86348171008</v>
      </c>
      <c r="CU47" s="230">
        <f t="shared" si="44"/>
        <v>-947298.86348171008</v>
      </c>
      <c r="CV47" s="230">
        <f t="shared" si="44"/>
        <v>-947298.86348171008</v>
      </c>
      <c r="CW47" s="718">
        <f t="shared" si="44"/>
        <v>-947298.86348171008</v>
      </c>
      <c r="CX47" s="230">
        <f t="shared" ref="CX47:DU47" si="45">SUM(CX8:CX44)</f>
        <v>-1006978.6918810575</v>
      </c>
      <c r="CY47" s="230">
        <f t="shared" si="45"/>
        <v>-1006978.6918810575</v>
      </c>
      <c r="CZ47" s="230">
        <f t="shared" si="45"/>
        <v>-1006978.6918810575</v>
      </c>
      <c r="DA47" s="230">
        <f t="shared" si="45"/>
        <v>-1006978.6918810575</v>
      </c>
      <c r="DB47" s="230">
        <f t="shared" si="45"/>
        <v>-1006978.6918810575</v>
      </c>
      <c r="DC47" s="230">
        <f t="shared" si="45"/>
        <v>-1006978.6918810575</v>
      </c>
      <c r="DD47" s="230">
        <f t="shared" si="45"/>
        <v>-1006978.6918810575</v>
      </c>
      <c r="DE47" s="230">
        <f t="shared" si="45"/>
        <v>-1006978.6918810575</v>
      </c>
      <c r="DF47" s="230">
        <f t="shared" si="45"/>
        <v>-1006978.6918810575</v>
      </c>
      <c r="DG47" s="230">
        <f t="shared" si="45"/>
        <v>-1006978.6918810575</v>
      </c>
      <c r="DH47" s="230">
        <f t="shared" si="45"/>
        <v>-1006978.6918810575</v>
      </c>
      <c r="DI47" s="718">
        <f t="shared" si="45"/>
        <v>-1006978.6918810575</v>
      </c>
      <c r="DJ47" s="230">
        <f t="shared" si="45"/>
        <v>-1070418.3494695642</v>
      </c>
      <c r="DK47" s="230">
        <f t="shared" si="45"/>
        <v>-1070418.3494695642</v>
      </c>
      <c r="DL47" s="230">
        <f t="shared" si="45"/>
        <v>-1070418.3494695642</v>
      </c>
      <c r="DM47" s="230">
        <f t="shared" si="45"/>
        <v>-1070418.3494695642</v>
      </c>
      <c r="DN47" s="230">
        <f t="shared" si="45"/>
        <v>-1070418.3494695642</v>
      </c>
      <c r="DO47" s="230">
        <f t="shared" si="45"/>
        <v>-1070418.3494695642</v>
      </c>
      <c r="DP47" s="230">
        <f t="shared" si="45"/>
        <v>-1070418.3494695642</v>
      </c>
      <c r="DQ47" s="230">
        <f t="shared" si="45"/>
        <v>-1070418.3494695642</v>
      </c>
      <c r="DR47" s="230">
        <f t="shared" si="45"/>
        <v>-1070418.3494695642</v>
      </c>
      <c r="DS47" s="230">
        <f t="shared" si="45"/>
        <v>-1070418.3494695642</v>
      </c>
      <c r="DT47" s="230">
        <f t="shared" si="45"/>
        <v>-1070418.3494695642</v>
      </c>
      <c r="DU47" s="718">
        <f t="shared" si="45"/>
        <v>-1070418.3494695642</v>
      </c>
    </row>
    <row r="48" spans="1:125" s="63" customFormat="1" ht="21" customHeight="1" x14ac:dyDescent="0.2">
      <c r="B48" s="64"/>
      <c r="C48" s="64"/>
      <c r="D48" s="64"/>
      <c r="E48" s="10"/>
      <c r="H48" s="72"/>
      <c r="T48" s="72"/>
    </row>
    <row r="49" spans="1:23" s="296" customFormat="1" ht="21" customHeight="1" x14ac:dyDescent="0.2">
      <c r="B49" s="297"/>
      <c r="C49" s="297"/>
      <c r="D49" s="297"/>
      <c r="E49" s="545"/>
      <c r="H49" s="298"/>
      <c r="T49" s="298"/>
    </row>
    <row r="50" spans="1:23" s="296" customFormat="1" ht="17.25" customHeight="1" x14ac:dyDescent="0.2">
      <c r="A50" s="291"/>
      <c r="B50" s="292" t="s">
        <v>224</v>
      </c>
      <c r="C50" s="1361" t="s">
        <v>203</v>
      </c>
      <c r="D50" s="1362"/>
      <c r="E50" s="10"/>
      <c r="F50" s="295" t="s">
        <v>229</v>
      </c>
      <c r="G50" s="295" t="s">
        <v>226</v>
      </c>
      <c r="H50" s="295" t="s">
        <v>227</v>
      </c>
      <c r="I50" s="295" t="s">
        <v>228</v>
      </c>
      <c r="J50" s="295" t="s">
        <v>237</v>
      </c>
      <c r="K50" s="295" t="s">
        <v>238</v>
      </c>
      <c r="R50" s="295" t="s">
        <v>229</v>
      </c>
      <c r="S50" s="295" t="s">
        <v>226</v>
      </c>
      <c r="T50" s="295" t="s">
        <v>227</v>
      </c>
      <c r="U50" s="295" t="s">
        <v>228</v>
      </c>
      <c r="V50" s="295" t="s">
        <v>237</v>
      </c>
      <c r="W50" s="295" t="s">
        <v>238</v>
      </c>
    </row>
    <row r="51" spans="1:23" s="296" customFormat="1" ht="17.25" customHeight="1" x14ac:dyDescent="0.2">
      <c r="A51" s="16"/>
      <c r="B51" s="293" t="s">
        <v>215</v>
      </c>
      <c r="C51" s="271" t="s">
        <v>204</v>
      </c>
      <c r="D51" s="271"/>
      <c r="E51" s="10"/>
      <c r="F51" s="106">
        <v>75000</v>
      </c>
      <c r="G51" s="106">
        <v>0</v>
      </c>
      <c r="H51" s="106">
        <f>IF(IF(F51&lt;=$C$65,F51*0.22-$C$63,(F51-$C$65)*0.35+(($C$65*0.22)-$C$63))&lt;0,0,IF(F51&lt;=$C$65,F51*0.22-$C$63,(F51-$C$65)*0.35+(($C$65*0.22)-$C$63)))</f>
        <v>25181.886666666665</v>
      </c>
      <c r="I51" s="106">
        <f>(F51*1)/12</f>
        <v>6250</v>
      </c>
      <c r="J51" s="106">
        <f>F51+G51+I51</f>
        <v>81250</v>
      </c>
      <c r="K51" s="106"/>
      <c r="R51" s="106">
        <v>120000</v>
      </c>
      <c r="S51" s="106">
        <v>0</v>
      </c>
      <c r="T51" s="106">
        <f>IF(IF(R51&lt;=$C$65,R51*0.22-$C$63,(R51-$C$65)*0.35+(($C$65*0.22)-$C$63))&lt;0,0,IF(R51&lt;=$C$65,R51*0.22-$C$63,(R51-$C$65)*0.35+(($C$65*0.22)-$C$63)))</f>
        <v>40931.886666666658</v>
      </c>
      <c r="U51" s="106">
        <f t="shared" ref="U51:U58" si="46">(R51*1)/12</f>
        <v>10000</v>
      </c>
      <c r="V51" s="106">
        <f>R51+S51+U51</f>
        <v>130000</v>
      </c>
      <c r="W51" s="106"/>
    </row>
    <row r="52" spans="1:23" s="296" customFormat="1" ht="17.25" customHeight="1" x14ac:dyDescent="0.2">
      <c r="A52" s="16"/>
      <c r="B52" s="293" t="s">
        <v>216</v>
      </c>
      <c r="C52" s="271" t="s">
        <v>225</v>
      </c>
      <c r="D52" s="271"/>
      <c r="E52" s="10"/>
      <c r="F52" s="106">
        <v>60000</v>
      </c>
      <c r="G52" s="106">
        <v>0</v>
      </c>
      <c r="H52" s="106">
        <f t="shared" ref="H52:H59" si="47">IF(IF(F52&lt;=$C$65,F52*0.22-$C$63,(F52-$C$65)*0.35+(($C$65*0.22)-$C$63))&lt;0,0,IF(F52&lt;=$C$65,F52*0.22-$C$63,(F52-$C$65)*0.35+(($C$65*0.22)-$C$63)))</f>
        <v>19931.886666666665</v>
      </c>
      <c r="I52" s="106">
        <f>(F52*1)/12</f>
        <v>5000</v>
      </c>
      <c r="J52" s="106">
        <f t="shared" ref="J52:J59" si="48">F52+G52+I52</f>
        <v>65000</v>
      </c>
      <c r="K52" s="106"/>
      <c r="R52" s="106">
        <v>80000</v>
      </c>
      <c r="S52" s="106">
        <v>0</v>
      </c>
      <c r="T52" s="106">
        <f>IF(IF(R52&lt;=$C$65,R52*0.22-$C$63,(R52-$C$65)*0.35+(($C$65*0.22)-$C$63))&lt;0,0,IF(R52&lt;=$C$65,R52*0.22-$C$63,(R52-$C$65)*0.35+(($C$65*0.22)-$C$63)))</f>
        <v>26931.886666666665</v>
      </c>
      <c r="U52" s="106">
        <f>(R52*1)/12</f>
        <v>6666.666666666667</v>
      </c>
      <c r="V52" s="106">
        <f>R52+S52+U52</f>
        <v>86666.666666666672</v>
      </c>
      <c r="W52" s="106"/>
    </row>
    <row r="53" spans="1:23" s="296" customFormat="1" ht="17.25" customHeight="1" x14ac:dyDescent="0.2">
      <c r="A53" s="16"/>
      <c r="B53" s="293" t="s">
        <v>218</v>
      </c>
      <c r="C53" s="271" t="s">
        <v>217</v>
      </c>
      <c r="D53" s="271"/>
      <c r="E53" s="10"/>
      <c r="F53" s="106">
        <v>45000</v>
      </c>
      <c r="G53" s="106">
        <v>3000</v>
      </c>
      <c r="H53" s="106">
        <f t="shared" si="47"/>
        <v>14681.886666666667</v>
      </c>
      <c r="I53" s="106">
        <f>(F53*2)/12</f>
        <v>7500</v>
      </c>
      <c r="J53" s="106">
        <f t="shared" si="48"/>
        <v>55500</v>
      </c>
      <c r="K53" s="106"/>
      <c r="R53" s="106">
        <v>45000</v>
      </c>
      <c r="S53" s="106">
        <v>3000</v>
      </c>
      <c r="T53" s="106">
        <f t="shared" ref="T53:T59" si="49">IF(IF(R53&lt;=$C$65,R53*0.22-$C$63,(R53-$C$65)*0.35+(($C$65*0.22)-$C$63))&lt;0,0,IF(R53&lt;=$C$65,R53*0.22-$C$63,(R53-$C$65)*0.35+(($C$65*0.22)-$C$63)))</f>
        <v>14681.886666666667</v>
      </c>
      <c r="U53" s="106">
        <f>(R53*2)/12</f>
        <v>7500</v>
      </c>
      <c r="V53" s="106">
        <f t="shared" ref="V53:V59" si="50">R53+S53+U53</f>
        <v>55500</v>
      </c>
      <c r="W53" s="106"/>
    </row>
    <row r="54" spans="1:23" s="296" customFormat="1" ht="17.25" customHeight="1" x14ac:dyDescent="0.2">
      <c r="A54" s="16"/>
      <c r="B54" s="293" t="s">
        <v>684</v>
      </c>
      <c r="C54" s="271" t="s">
        <v>210</v>
      </c>
      <c r="D54" s="271"/>
      <c r="E54" s="10"/>
      <c r="F54" s="106">
        <v>30000</v>
      </c>
      <c r="G54" s="106">
        <v>3000</v>
      </c>
      <c r="H54" s="106">
        <f t="shared" si="47"/>
        <v>9431.8866666666672</v>
      </c>
      <c r="I54" s="106">
        <f>(F54*2)/12</f>
        <v>5000</v>
      </c>
      <c r="J54" s="106">
        <f t="shared" si="48"/>
        <v>38000</v>
      </c>
      <c r="K54" s="106"/>
      <c r="R54" s="106">
        <v>30000</v>
      </c>
      <c r="S54" s="106">
        <v>3000</v>
      </c>
      <c r="T54" s="106">
        <f t="shared" si="49"/>
        <v>9431.8866666666672</v>
      </c>
      <c r="U54" s="106">
        <f>(R54*2)/12</f>
        <v>5000</v>
      </c>
      <c r="V54" s="106">
        <f t="shared" si="50"/>
        <v>38000</v>
      </c>
      <c r="W54" s="106"/>
    </row>
    <row r="55" spans="1:23" s="296" customFormat="1" ht="17.25" customHeight="1" x14ac:dyDescent="0.2">
      <c r="A55" s="16"/>
      <c r="B55" s="293" t="s">
        <v>220</v>
      </c>
      <c r="C55" s="271" t="s">
        <v>219</v>
      </c>
      <c r="D55" s="271"/>
      <c r="E55" s="10"/>
      <c r="F55" s="106">
        <v>12500</v>
      </c>
      <c r="G55" s="106">
        <v>1500</v>
      </c>
      <c r="H55" s="106">
        <f t="shared" si="47"/>
        <v>3306.8866666666663</v>
      </c>
      <c r="I55" s="106">
        <f>(F55*1)/12</f>
        <v>1041.6666666666667</v>
      </c>
      <c r="J55" s="106">
        <f t="shared" si="48"/>
        <v>15041.666666666666</v>
      </c>
      <c r="K55" s="106"/>
      <c r="R55" s="106">
        <v>12500</v>
      </c>
      <c r="S55" s="106">
        <v>1500</v>
      </c>
      <c r="T55" s="106">
        <f t="shared" si="49"/>
        <v>3306.8866666666663</v>
      </c>
      <c r="U55" s="106">
        <f t="shared" si="46"/>
        <v>1041.6666666666667</v>
      </c>
      <c r="V55" s="106">
        <f t="shared" si="50"/>
        <v>15041.666666666666</v>
      </c>
      <c r="W55" s="106"/>
    </row>
    <row r="56" spans="1:23" s="296" customFormat="1" ht="17.25" customHeight="1" x14ac:dyDescent="0.2">
      <c r="A56" s="16"/>
      <c r="B56" s="293" t="s">
        <v>221</v>
      </c>
      <c r="C56" s="271" t="s">
        <v>214</v>
      </c>
      <c r="D56" s="271"/>
      <c r="E56" s="10"/>
      <c r="F56" s="106">
        <v>6500</v>
      </c>
      <c r="G56" s="106">
        <v>1500</v>
      </c>
      <c r="H56" s="106">
        <f t="shared" si="47"/>
        <v>1206.8866666666668</v>
      </c>
      <c r="I56" s="106">
        <f>(F56*1)/12</f>
        <v>541.66666666666663</v>
      </c>
      <c r="J56" s="106">
        <f t="shared" si="48"/>
        <v>8541.6666666666661</v>
      </c>
      <c r="K56" s="106"/>
      <c r="R56" s="106">
        <v>6500</v>
      </c>
      <c r="S56" s="106">
        <v>1500</v>
      </c>
      <c r="T56" s="106">
        <f t="shared" si="49"/>
        <v>1206.8866666666668</v>
      </c>
      <c r="U56" s="106">
        <f t="shared" si="46"/>
        <v>541.66666666666663</v>
      </c>
      <c r="V56" s="106">
        <f t="shared" si="50"/>
        <v>8541.6666666666661</v>
      </c>
      <c r="W56" s="106"/>
    </row>
    <row r="57" spans="1:23" s="296" customFormat="1" ht="17.25" customHeight="1" x14ac:dyDescent="0.2">
      <c r="A57" s="16"/>
      <c r="B57" s="293" t="s">
        <v>222</v>
      </c>
      <c r="C57" s="271" t="s">
        <v>213</v>
      </c>
      <c r="D57" s="271"/>
      <c r="E57" s="10"/>
      <c r="F57" s="106">
        <v>4500</v>
      </c>
      <c r="G57" s="106">
        <v>1500</v>
      </c>
      <c r="H57" s="106">
        <f t="shared" si="47"/>
        <v>506.88666666666671</v>
      </c>
      <c r="I57" s="106">
        <f>(F57*1)/12</f>
        <v>375</v>
      </c>
      <c r="J57" s="106">
        <f t="shared" si="48"/>
        <v>6375</v>
      </c>
      <c r="K57" s="106"/>
      <c r="R57" s="106">
        <v>4500</v>
      </c>
      <c r="S57" s="106">
        <v>1500</v>
      </c>
      <c r="T57" s="106">
        <f t="shared" si="49"/>
        <v>506.88666666666671</v>
      </c>
      <c r="U57" s="106">
        <f t="shared" si="46"/>
        <v>375</v>
      </c>
      <c r="V57" s="106">
        <f t="shared" si="50"/>
        <v>6375</v>
      </c>
      <c r="W57" s="106"/>
    </row>
    <row r="58" spans="1:23" s="297" customFormat="1" ht="17.25" customHeight="1" x14ac:dyDescent="0.2">
      <c r="A58" s="16"/>
      <c r="B58" s="293" t="s">
        <v>223</v>
      </c>
      <c r="C58" s="271" t="s">
        <v>212</v>
      </c>
      <c r="D58" s="271"/>
      <c r="E58" s="10"/>
      <c r="F58" s="106">
        <v>3000</v>
      </c>
      <c r="G58" s="106">
        <v>1500</v>
      </c>
      <c r="H58" s="106">
        <f t="shared" si="47"/>
        <v>151.66666666666669</v>
      </c>
      <c r="I58" s="106">
        <f>(F58*1)/12</f>
        <v>250</v>
      </c>
      <c r="J58" s="106">
        <f t="shared" si="48"/>
        <v>4750</v>
      </c>
      <c r="K58" s="106"/>
      <c r="R58" s="106">
        <v>3000</v>
      </c>
      <c r="S58" s="106">
        <v>1500</v>
      </c>
      <c r="T58" s="106">
        <f t="shared" si="49"/>
        <v>151.66666666666669</v>
      </c>
      <c r="U58" s="106">
        <f t="shared" si="46"/>
        <v>250</v>
      </c>
      <c r="V58" s="106">
        <f t="shared" si="50"/>
        <v>4750</v>
      </c>
      <c r="W58" s="106"/>
    </row>
    <row r="59" spans="1:23" s="297" customFormat="1" ht="17.25" customHeight="1" x14ac:dyDescent="0.2">
      <c r="A59" s="16"/>
      <c r="B59" s="293" t="s">
        <v>223</v>
      </c>
      <c r="C59" s="271" t="s">
        <v>211</v>
      </c>
      <c r="D59" s="271"/>
      <c r="E59" s="10"/>
      <c r="F59" s="106">
        <v>2500</v>
      </c>
      <c r="G59" s="106">
        <v>1500</v>
      </c>
      <c r="H59" s="106">
        <f t="shared" si="47"/>
        <v>41.666666666666686</v>
      </c>
      <c r="I59" s="106">
        <f>(F59*1)/12</f>
        <v>208.33333333333334</v>
      </c>
      <c r="J59" s="106">
        <f t="shared" si="48"/>
        <v>4208.333333333333</v>
      </c>
      <c r="K59" s="106"/>
      <c r="R59" s="106">
        <v>2500</v>
      </c>
      <c r="S59" s="106">
        <v>1500</v>
      </c>
      <c r="T59" s="106">
        <f t="shared" si="49"/>
        <v>41.666666666666686</v>
      </c>
      <c r="U59" s="106">
        <f>(R59*1)/12</f>
        <v>208.33333333333334</v>
      </c>
      <c r="V59" s="106">
        <f t="shared" si="50"/>
        <v>4208.333333333333</v>
      </c>
      <c r="W59" s="106"/>
    </row>
    <row r="60" spans="1:23" s="296" customFormat="1" x14ac:dyDescent="0.2">
      <c r="A60" s="297"/>
      <c r="B60" s="297"/>
      <c r="C60" s="297"/>
      <c r="D60" s="297"/>
      <c r="E60" s="591"/>
      <c r="F60" s="297"/>
      <c r="H60" s="298"/>
      <c r="R60" s="297"/>
      <c r="T60" s="298"/>
    </row>
    <row r="61" spans="1:23" s="296" customFormat="1" ht="17.25" customHeight="1" x14ac:dyDescent="0.2">
      <c r="B61" s="292" t="s">
        <v>230</v>
      </c>
      <c r="C61" s="1361"/>
      <c r="D61" s="1362"/>
      <c r="E61" s="545"/>
      <c r="H61" s="298"/>
      <c r="T61" s="298"/>
    </row>
    <row r="62" spans="1:23" s="296" customFormat="1" ht="17.25" customHeight="1" x14ac:dyDescent="0.2">
      <c r="B62" s="293" t="s">
        <v>231</v>
      </c>
      <c r="C62" s="271">
        <v>6100</v>
      </c>
      <c r="D62" s="271"/>
      <c r="E62" s="545"/>
      <c r="H62" s="298"/>
      <c r="T62" s="298"/>
    </row>
    <row r="63" spans="1:23" s="296" customFormat="1" ht="17.25" customHeight="1" x14ac:dyDescent="0.2">
      <c r="B63" s="293" t="s">
        <v>232</v>
      </c>
      <c r="C63" s="271">
        <f>C62/12</f>
        <v>508.33333333333331</v>
      </c>
      <c r="D63" s="271"/>
      <c r="E63" s="545"/>
      <c r="H63" s="298"/>
      <c r="T63" s="298"/>
    </row>
    <row r="64" spans="1:23" s="296" customFormat="1" ht="17.25" customHeight="1" x14ac:dyDescent="0.2">
      <c r="B64" s="293" t="s">
        <v>233</v>
      </c>
      <c r="C64" s="271">
        <v>51670</v>
      </c>
      <c r="D64" s="271"/>
      <c r="E64" s="545"/>
      <c r="H64" s="298"/>
      <c r="T64" s="298"/>
    </row>
    <row r="65" spans="2:20" s="296" customFormat="1" ht="17.25" customHeight="1" x14ac:dyDescent="0.2">
      <c r="B65" s="293" t="s">
        <v>234</v>
      </c>
      <c r="C65" s="271">
        <f>ROUND(C64/12,0)</f>
        <v>4306</v>
      </c>
      <c r="D65" s="271"/>
      <c r="E65" s="545"/>
      <c r="H65" s="298"/>
      <c r="T65" s="298"/>
    </row>
    <row r="66" spans="2:20" s="296" customFormat="1" ht="17.25" customHeight="1" x14ac:dyDescent="0.2">
      <c r="B66" s="293" t="s">
        <v>235</v>
      </c>
      <c r="C66" s="271">
        <v>51670</v>
      </c>
      <c r="D66" s="271"/>
      <c r="E66" s="545"/>
      <c r="H66" s="298"/>
      <c r="T66" s="298"/>
    </row>
    <row r="67" spans="2:20" s="296" customFormat="1" ht="17.25" customHeight="1" x14ac:dyDescent="0.2">
      <c r="B67" s="293" t="s">
        <v>236</v>
      </c>
      <c r="C67" s="271">
        <f>ROUND(C66/12,0)</f>
        <v>4306</v>
      </c>
      <c r="D67" s="271"/>
      <c r="E67" s="545"/>
      <c r="H67" s="298"/>
      <c r="T67" s="298"/>
    </row>
    <row r="68" spans="2:20" s="296" customFormat="1" x14ac:dyDescent="0.2">
      <c r="B68" s="297"/>
      <c r="C68" s="297"/>
      <c r="D68" s="297"/>
      <c r="E68" s="545"/>
      <c r="H68" s="298"/>
      <c r="T68" s="298"/>
    </row>
    <row r="69" spans="2:20" s="296" customFormat="1" x14ac:dyDescent="0.2">
      <c r="B69" s="297"/>
      <c r="C69" s="297"/>
      <c r="D69" s="297"/>
      <c r="E69" s="545"/>
      <c r="H69" s="298"/>
      <c r="T69" s="298"/>
    </row>
    <row r="70" spans="2:20" s="296" customFormat="1" x14ac:dyDescent="0.2">
      <c r="B70" s="297"/>
      <c r="C70" s="297"/>
      <c r="D70" s="297"/>
      <c r="E70" s="545"/>
      <c r="H70" s="298"/>
      <c r="T70" s="298"/>
    </row>
    <row r="71" spans="2:20" s="296" customFormat="1" x14ac:dyDescent="0.2">
      <c r="B71" s="297"/>
      <c r="C71" s="297"/>
      <c r="D71" s="297"/>
      <c r="E71" s="545"/>
      <c r="H71" s="298"/>
      <c r="T71" s="298"/>
    </row>
    <row r="72" spans="2:20" s="296" customFormat="1" x14ac:dyDescent="0.2">
      <c r="B72" s="297"/>
      <c r="C72" s="297"/>
      <c r="D72" s="297"/>
      <c r="E72" s="545"/>
      <c r="H72" s="298"/>
      <c r="T72" s="298"/>
    </row>
    <row r="73" spans="2:20" s="63" customFormat="1" x14ac:dyDescent="0.2">
      <c r="B73" s="64"/>
      <c r="C73" s="64"/>
      <c r="D73" s="64"/>
      <c r="E73" s="10"/>
      <c r="H73" s="72"/>
      <c r="T73" s="72"/>
    </row>
    <row r="74" spans="2:20" s="63" customFormat="1" x14ac:dyDescent="0.2">
      <c r="B74" s="64"/>
      <c r="C74" s="64"/>
      <c r="D74" s="64"/>
      <c r="E74" s="10"/>
      <c r="H74" s="72"/>
      <c r="T74" s="72"/>
    </row>
    <row r="75" spans="2:20" s="63" customFormat="1" x14ac:dyDescent="0.2">
      <c r="B75" s="64"/>
      <c r="C75" s="64"/>
      <c r="D75" s="64"/>
      <c r="E75" s="10"/>
      <c r="H75" s="72"/>
      <c r="T75" s="72"/>
    </row>
    <row r="76" spans="2:20" s="63" customFormat="1" x14ac:dyDescent="0.2">
      <c r="B76" s="64"/>
      <c r="C76" s="64"/>
      <c r="D76" s="64"/>
      <c r="E76" s="10"/>
      <c r="H76" s="72"/>
      <c r="T76" s="72"/>
    </row>
    <row r="77" spans="2:20" s="63" customFormat="1" x14ac:dyDescent="0.2">
      <c r="B77" s="64"/>
      <c r="C77" s="64"/>
      <c r="D77" s="64"/>
      <c r="E77" s="10"/>
      <c r="H77" s="72"/>
      <c r="T77" s="72"/>
    </row>
    <row r="78" spans="2:20" s="63" customFormat="1" x14ac:dyDescent="0.2">
      <c r="B78" s="64"/>
      <c r="C78" s="64"/>
      <c r="D78" s="64"/>
      <c r="E78" s="10"/>
      <c r="H78" s="72"/>
      <c r="T78" s="72"/>
    </row>
    <row r="79" spans="2:20" s="63" customFormat="1" x14ac:dyDescent="0.2">
      <c r="B79" s="64"/>
      <c r="C79" s="64"/>
      <c r="D79" s="64"/>
      <c r="E79" s="10"/>
      <c r="H79" s="72"/>
      <c r="T79" s="72"/>
    </row>
    <row r="80" spans="2:20" s="63" customFormat="1" x14ac:dyDescent="0.2">
      <c r="B80" s="64"/>
      <c r="C80" s="64"/>
      <c r="D80" s="64"/>
      <c r="E80" s="10"/>
      <c r="H80" s="72"/>
      <c r="T80" s="72"/>
    </row>
    <row r="81" spans="2:20" s="63" customFormat="1" x14ac:dyDescent="0.2">
      <c r="B81" s="64"/>
      <c r="C81" s="64"/>
      <c r="D81" s="64"/>
      <c r="E81" s="10"/>
      <c r="H81" s="72"/>
      <c r="T81" s="72"/>
    </row>
    <row r="82" spans="2:20" s="63" customFormat="1" x14ac:dyDescent="0.2">
      <c r="B82" s="64"/>
      <c r="C82" s="64"/>
      <c r="D82" s="64"/>
      <c r="E82" s="10"/>
      <c r="H82" s="72"/>
      <c r="T82" s="72"/>
    </row>
    <row r="83" spans="2:20" s="63" customFormat="1" x14ac:dyDescent="0.2">
      <c r="B83" s="64"/>
      <c r="C83" s="64"/>
      <c r="D83" s="64"/>
      <c r="E83" s="10"/>
      <c r="H83" s="72"/>
      <c r="T83" s="72"/>
    </row>
    <row r="84" spans="2:20" s="63" customFormat="1" x14ac:dyDescent="0.2">
      <c r="B84" s="64"/>
      <c r="C84" s="64"/>
      <c r="D84" s="64"/>
      <c r="E84" s="10"/>
      <c r="H84" s="72"/>
      <c r="T84" s="72"/>
    </row>
    <row r="85" spans="2:20" s="63" customFormat="1" x14ac:dyDescent="0.2">
      <c r="B85" s="64"/>
      <c r="C85" s="64"/>
      <c r="D85" s="64"/>
      <c r="E85" s="10"/>
      <c r="H85" s="72"/>
      <c r="T85" s="72"/>
    </row>
    <row r="86" spans="2:20" s="63" customFormat="1" x14ac:dyDescent="0.2">
      <c r="B86" s="64"/>
      <c r="C86" s="64"/>
      <c r="D86" s="64"/>
      <c r="E86" s="10"/>
      <c r="H86" s="72"/>
      <c r="T86" s="72"/>
    </row>
    <row r="87" spans="2:20" s="63" customFormat="1" x14ac:dyDescent="0.2">
      <c r="B87" s="64"/>
      <c r="C87" s="64"/>
      <c r="D87" s="64"/>
      <c r="E87" s="10"/>
      <c r="H87" s="72"/>
      <c r="T87" s="72"/>
    </row>
    <row r="88" spans="2:20" s="63" customFormat="1" x14ac:dyDescent="0.2">
      <c r="B88" s="64"/>
      <c r="C88" s="64"/>
      <c r="D88" s="64"/>
      <c r="E88" s="10"/>
      <c r="H88" s="72"/>
      <c r="T88" s="72"/>
    </row>
    <row r="89" spans="2:20" s="63" customFormat="1" x14ac:dyDescent="0.2">
      <c r="B89" s="64"/>
      <c r="C89" s="64"/>
      <c r="D89" s="64"/>
      <c r="E89" s="10"/>
      <c r="H89" s="72"/>
      <c r="T89" s="72"/>
    </row>
    <row r="90" spans="2:20" s="63" customFormat="1" x14ac:dyDescent="0.2">
      <c r="B90" s="64"/>
      <c r="C90" s="64"/>
      <c r="D90" s="64"/>
      <c r="E90" s="10"/>
      <c r="H90" s="72"/>
      <c r="T90" s="72"/>
    </row>
    <row r="91" spans="2:20" s="63" customFormat="1" x14ac:dyDescent="0.2">
      <c r="B91" s="64"/>
      <c r="C91" s="64"/>
      <c r="D91" s="64"/>
      <c r="E91" s="10"/>
      <c r="H91" s="72"/>
      <c r="T91" s="72"/>
    </row>
    <row r="92" spans="2:20" s="63" customFormat="1" x14ac:dyDescent="0.2">
      <c r="B92" s="64"/>
      <c r="C92" s="64"/>
      <c r="D92" s="64"/>
      <c r="E92" s="10"/>
      <c r="H92" s="72"/>
      <c r="T92" s="72"/>
    </row>
  </sheetData>
  <mergeCells count="14">
    <mergeCell ref="CL2:CW2"/>
    <mergeCell ref="CX2:DI2"/>
    <mergeCell ref="DJ2:DU2"/>
    <mergeCell ref="R2:AC2"/>
    <mergeCell ref="AD2:AO2"/>
    <mergeCell ref="AP2:BA2"/>
    <mergeCell ref="BB2:BM2"/>
    <mergeCell ref="C50:D50"/>
    <mergeCell ref="C61:D61"/>
    <mergeCell ref="A47:D47"/>
    <mergeCell ref="BN2:BY2"/>
    <mergeCell ref="BZ2:CK2"/>
    <mergeCell ref="F2:Q2"/>
    <mergeCell ref="A4:B5"/>
  </mergeCells>
  <pageMargins left="0.25" right="0.25" top="0.75" bottom="0.75" header="0.3" footer="0.3"/>
  <pageSetup paperSize="8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21"/>
  <sheetViews>
    <sheetView zoomScale="160" zoomScaleNormal="160" workbookViewId="0">
      <selection activeCell="B1" sqref="B1"/>
    </sheetView>
  </sheetViews>
  <sheetFormatPr defaultColWidth="9.140625" defaultRowHeight="15" x14ac:dyDescent="0.25"/>
  <cols>
    <col min="1" max="1" width="3" style="321" customWidth="1"/>
    <col min="2" max="2" width="22" style="321" customWidth="1"/>
    <col min="3" max="3" width="11.42578125" style="321" bestFit="1" customWidth="1"/>
    <col min="4" max="4" width="11" style="321" bestFit="1" customWidth="1"/>
    <col min="5" max="5" width="13.85546875" style="321" customWidth="1"/>
    <col min="6" max="6" width="12.140625" style="321" bestFit="1" customWidth="1"/>
    <col min="7" max="7" width="22.140625" style="321" customWidth="1"/>
    <col min="8" max="8" width="1" style="321" customWidth="1"/>
    <col min="9" max="9" width="7.28515625" style="321" customWidth="1"/>
    <col min="10" max="16384" width="9.140625" style="321"/>
  </cols>
  <sheetData>
    <row r="1" spans="1:10" ht="23.25" x14ac:dyDescent="0.35">
      <c r="A1" s="316"/>
      <c r="B1" s="317" t="s">
        <v>1443</v>
      </c>
      <c r="C1" s="318"/>
      <c r="D1" s="318"/>
      <c r="E1" s="318"/>
      <c r="F1" s="318"/>
      <c r="G1" s="318"/>
      <c r="H1" s="318"/>
      <c r="I1" s="319"/>
      <c r="J1" s="320"/>
    </row>
    <row r="2" spans="1:10" ht="3" customHeight="1" x14ac:dyDescent="0.3">
      <c r="A2" s="322"/>
      <c r="B2" s="323"/>
      <c r="C2" s="324"/>
      <c r="D2" s="324"/>
      <c r="E2" s="324"/>
      <c r="F2" s="324"/>
      <c r="G2" s="324"/>
      <c r="H2" s="324"/>
      <c r="I2" s="325"/>
      <c r="J2" s="320"/>
    </row>
    <row r="3" spans="1:10" x14ac:dyDescent="0.25">
      <c r="A3" s="322"/>
      <c r="B3" s="324"/>
      <c r="C3" s="331"/>
      <c r="D3" s="332"/>
      <c r="E3" s="331" t="s">
        <v>251</v>
      </c>
      <c r="F3" s="678">
        <f>Assumptions!C52</f>
        <v>24.5</v>
      </c>
      <c r="G3" s="333"/>
      <c r="H3" s="324"/>
      <c r="I3" s="325"/>
      <c r="J3" s="330"/>
    </row>
    <row r="4" spans="1:10" x14ac:dyDescent="0.25">
      <c r="A4" s="322"/>
      <c r="B4" s="324"/>
      <c r="C4" s="331"/>
      <c r="D4" s="332"/>
      <c r="E4" s="331" t="s">
        <v>1398</v>
      </c>
      <c r="F4" s="1199">
        <v>21000</v>
      </c>
      <c r="G4" s="324"/>
      <c r="H4" s="324"/>
      <c r="I4" s="325"/>
      <c r="J4" s="330"/>
    </row>
    <row r="5" spans="1:10" x14ac:dyDescent="0.25">
      <c r="A5" s="322"/>
      <c r="B5" s="1366" t="s">
        <v>252</v>
      </c>
      <c r="C5" s="1366"/>
      <c r="D5" s="1366"/>
      <c r="E5" s="335"/>
      <c r="F5" s="326"/>
      <c r="G5" s="324"/>
      <c r="H5" s="324"/>
      <c r="I5" s="325"/>
      <c r="J5" s="330"/>
    </row>
    <row r="6" spans="1:10" x14ac:dyDescent="0.25">
      <c r="A6" s="322"/>
      <c r="B6" s="1367" t="s">
        <v>1399</v>
      </c>
      <c r="C6" s="1367"/>
      <c r="D6" s="1367"/>
      <c r="E6" s="679">
        <f>F3</f>
        <v>24.5</v>
      </c>
      <c r="F6" s="336">
        <f>F3</f>
        <v>24.5</v>
      </c>
      <c r="G6" s="324"/>
      <c r="H6" s="324"/>
      <c r="I6" s="325"/>
      <c r="J6" s="330"/>
    </row>
    <row r="7" spans="1:10" x14ac:dyDescent="0.25">
      <c r="A7" s="322"/>
      <c r="B7" s="1368" t="s">
        <v>253</v>
      </c>
      <c r="C7" s="1369"/>
      <c r="D7" s="1370"/>
      <c r="E7" s="679">
        <v>0</v>
      </c>
      <c r="F7" s="336">
        <f>(E7)/19500</f>
        <v>0</v>
      </c>
      <c r="G7" s="324"/>
      <c r="H7" s="324"/>
      <c r="I7" s="325"/>
      <c r="J7" s="330"/>
    </row>
    <row r="8" spans="1:10" x14ac:dyDescent="0.25">
      <c r="A8" s="322"/>
      <c r="B8" s="1368" t="s">
        <v>254</v>
      </c>
      <c r="C8" s="1369"/>
      <c r="D8" s="1370"/>
      <c r="E8" s="679">
        <v>0</v>
      </c>
      <c r="F8" s="336">
        <f>(E8)/19500</f>
        <v>0</v>
      </c>
      <c r="G8" s="324"/>
      <c r="H8" s="324"/>
      <c r="I8" s="325"/>
      <c r="J8" s="330"/>
    </row>
    <row r="9" spans="1:10" x14ac:dyDescent="0.25">
      <c r="A9" s="322"/>
      <c r="B9" s="1371" t="s">
        <v>1442</v>
      </c>
      <c r="C9" s="1372"/>
      <c r="D9" s="1373"/>
      <c r="E9" s="680">
        <v>0</v>
      </c>
      <c r="F9" s="513">
        <f>(E9)/19500</f>
        <v>0</v>
      </c>
      <c r="G9" s="1379" t="s">
        <v>255</v>
      </c>
      <c r="H9" s="324"/>
      <c r="I9" s="1374">
        <f>SUM(F7:F17)</f>
        <v>0.47619047619047616</v>
      </c>
      <c r="J9" s="330"/>
    </row>
    <row r="10" spans="1:10" x14ac:dyDescent="0.25">
      <c r="A10" s="322"/>
      <c r="B10" s="1375" t="s">
        <v>1441</v>
      </c>
      <c r="C10" s="1375"/>
      <c r="D10" s="1375"/>
      <c r="E10" s="511"/>
      <c r="F10" s="512"/>
      <c r="G10" s="1379"/>
      <c r="H10" s="324"/>
      <c r="I10" s="1374"/>
      <c r="J10" s="330"/>
    </row>
    <row r="11" spans="1:10" x14ac:dyDescent="0.25">
      <c r="A11" s="322"/>
      <c r="B11" s="514" t="s">
        <v>371</v>
      </c>
      <c r="C11" s="515"/>
      <c r="D11" s="516"/>
      <c r="E11" s="511"/>
      <c r="F11" s="512"/>
      <c r="G11" s="517"/>
      <c r="H11" s="324"/>
      <c r="I11" s="503"/>
      <c r="J11" s="330"/>
    </row>
    <row r="12" spans="1:10" x14ac:dyDescent="0.25">
      <c r="A12" s="322"/>
      <c r="B12" s="514" t="s">
        <v>372</v>
      </c>
      <c r="C12" s="515"/>
      <c r="D12" s="516"/>
      <c r="E12" s="511"/>
      <c r="F12" s="512"/>
      <c r="G12" s="517"/>
      <c r="H12" s="324"/>
      <c r="I12" s="503"/>
      <c r="J12" s="330"/>
    </row>
    <row r="13" spans="1:10" x14ac:dyDescent="0.25">
      <c r="A13" s="322"/>
      <c r="B13" s="514" t="s">
        <v>373</v>
      </c>
      <c r="C13" s="515"/>
      <c r="D13" s="516"/>
      <c r="E13" s="511"/>
      <c r="F13" s="512"/>
      <c r="G13" s="517"/>
      <c r="H13" s="324"/>
      <c r="I13" s="503"/>
      <c r="J13" s="330"/>
    </row>
    <row r="14" spans="1:10" x14ac:dyDescent="0.25">
      <c r="A14" s="322"/>
      <c r="B14" s="514" t="s">
        <v>374</v>
      </c>
      <c r="C14" s="515"/>
      <c r="D14" s="516"/>
      <c r="E14" s="511">
        <v>0</v>
      </c>
      <c r="F14" s="512">
        <f t="shared" ref="F14:F17" si="0">E14/19500</f>
        <v>0</v>
      </c>
      <c r="G14" s="517"/>
      <c r="H14" s="324"/>
      <c r="I14" s="503"/>
      <c r="J14" s="330"/>
    </row>
    <row r="15" spans="1:10" x14ac:dyDescent="0.25">
      <c r="A15" s="322"/>
      <c r="B15" s="1368" t="s">
        <v>530</v>
      </c>
      <c r="C15" s="1369"/>
      <c r="D15" s="1370"/>
      <c r="E15" s="337">
        <v>10000</v>
      </c>
      <c r="F15" s="512">
        <f>E15/F4</f>
        <v>0.47619047619047616</v>
      </c>
      <c r="G15" s="324"/>
      <c r="H15" s="324"/>
      <c r="I15" s="325"/>
      <c r="J15" s="330"/>
    </row>
    <row r="16" spans="1:10" x14ac:dyDescent="0.25">
      <c r="A16" s="322"/>
      <c r="B16" s="504" t="s">
        <v>375</v>
      </c>
      <c r="C16" s="505"/>
      <c r="D16" s="506"/>
      <c r="E16" s="337">
        <v>0</v>
      </c>
      <c r="F16" s="512">
        <f t="shared" si="0"/>
        <v>0</v>
      </c>
      <c r="G16" s="324"/>
      <c r="H16" s="324"/>
      <c r="I16" s="325"/>
      <c r="J16" s="330"/>
    </row>
    <row r="17" spans="1:10" x14ac:dyDescent="0.25">
      <c r="A17" s="322"/>
      <c r="B17" s="1367" t="s">
        <v>256</v>
      </c>
      <c r="C17" s="1367"/>
      <c r="D17" s="1367"/>
      <c r="E17" s="337">
        <v>0</v>
      </c>
      <c r="F17" s="512">
        <f t="shared" si="0"/>
        <v>0</v>
      </c>
      <c r="G17" s="324"/>
      <c r="H17" s="324"/>
      <c r="I17" s="325"/>
      <c r="J17" s="330"/>
    </row>
    <row r="18" spans="1:10" ht="3" customHeight="1" x14ac:dyDescent="0.25">
      <c r="A18" s="338"/>
      <c r="B18" s="339"/>
      <c r="C18" s="339"/>
      <c r="D18" s="339"/>
      <c r="E18" s="327"/>
      <c r="F18" s="336"/>
      <c r="G18" s="324"/>
      <c r="H18" s="324"/>
      <c r="I18" s="340"/>
    </row>
    <row r="19" spans="1:10" x14ac:dyDescent="0.25">
      <c r="A19" s="338"/>
      <c r="B19" s="1376" t="s">
        <v>257</v>
      </c>
      <c r="C19" s="1377"/>
      <c r="D19" s="1377"/>
      <c r="E19" s="1378"/>
      <c r="F19" s="329">
        <f>SUM(F6:F18)</f>
        <v>24.976190476190474</v>
      </c>
      <c r="G19" s="333"/>
      <c r="H19" s="324"/>
      <c r="I19" s="340"/>
    </row>
    <row r="20" spans="1:10" x14ac:dyDescent="0.25">
      <c r="A20" s="338"/>
      <c r="B20" s="324"/>
      <c r="C20" s="324"/>
      <c r="D20" s="324"/>
      <c r="E20" s="324"/>
      <c r="F20" s="341"/>
      <c r="G20" s="324"/>
      <c r="H20" s="324"/>
      <c r="I20" s="340"/>
    </row>
    <row r="21" spans="1:10" x14ac:dyDescent="0.25">
      <c r="A21" s="342"/>
      <c r="B21" s="343"/>
      <c r="C21" s="343"/>
      <c r="D21" s="343"/>
      <c r="E21" s="343"/>
      <c r="F21" s="343"/>
      <c r="G21" s="343"/>
      <c r="H21" s="343"/>
      <c r="I21" s="344"/>
    </row>
  </sheetData>
  <mergeCells count="11">
    <mergeCell ref="I9:I10"/>
    <mergeCell ref="B10:D10"/>
    <mergeCell ref="B15:D15"/>
    <mergeCell ref="B17:D17"/>
    <mergeCell ref="B19:E19"/>
    <mergeCell ref="G9:G10"/>
    <mergeCell ref="B5:D5"/>
    <mergeCell ref="B6:D6"/>
    <mergeCell ref="B7:D7"/>
    <mergeCell ref="B8:D8"/>
    <mergeCell ref="B9:D9"/>
  </mergeCells>
  <pageMargins left="0.25" right="0.25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W17"/>
  <sheetViews>
    <sheetView zoomScale="64" zoomScaleNormal="64" workbookViewId="0">
      <selection activeCell="E7" sqref="E7"/>
    </sheetView>
  </sheetViews>
  <sheetFormatPr defaultColWidth="9.140625" defaultRowHeight="16.5" x14ac:dyDescent="0.3"/>
  <cols>
    <col min="1" max="1" width="2.7109375" style="419" customWidth="1"/>
    <col min="2" max="2" width="40.140625" style="419" bestFit="1" customWidth="1"/>
    <col min="3" max="3" width="21.7109375" style="419" customWidth="1"/>
    <col min="4" max="4" width="10.7109375" style="419" customWidth="1"/>
    <col min="5" max="5" width="21.5703125" style="422" customWidth="1"/>
    <col min="6" max="6" width="17" style="422" customWidth="1"/>
    <col min="7" max="7" width="11" style="422" customWidth="1"/>
    <col min="8" max="8" width="8.28515625" style="422" customWidth="1"/>
    <col min="9" max="9" width="8.28515625" style="419" customWidth="1"/>
    <col min="10" max="10" width="12.42578125" style="419" customWidth="1"/>
    <col min="11" max="11" width="8.28515625" style="423" customWidth="1"/>
    <col min="12" max="12" width="8.28515625" style="419" customWidth="1"/>
    <col min="13" max="13" width="8.85546875" style="419" bestFit="1" customWidth="1"/>
    <col min="14" max="18" width="10.28515625" style="419" customWidth="1"/>
    <col min="19" max="19" width="12.42578125" style="419" customWidth="1"/>
    <col min="20" max="20" width="33.7109375" style="419" customWidth="1"/>
    <col min="21" max="21" width="2" style="419" customWidth="1"/>
    <col min="22" max="22" width="13.140625" style="419" customWidth="1"/>
    <col min="23" max="16384" width="9.140625" style="419"/>
  </cols>
  <sheetData>
    <row r="1" spans="1:23" ht="12" customHeight="1" x14ac:dyDescent="0.45">
      <c r="A1" s="411"/>
      <c r="B1" s="1380" t="s">
        <v>308</v>
      </c>
      <c r="C1" s="1380"/>
      <c r="D1" s="412"/>
      <c r="E1" s="412"/>
      <c r="F1" s="412"/>
      <c r="G1" s="413"/>
      <c r="H1" s="413"/>
      <c r="I1" s="414"/>
      <c r="J1" s="414"/>
      <c r="K1" s="415"/>
      <c r="L1" s="414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8"/>
    </row>
    <row r="2" spans="1:23" ht="38.25" customHeight="1" x14ac:dyDescent="0.3">
      <c r="A2" s="420"/>
      <c r="B2" s="1381"/>
      <c r="C2" s="1381"/>
      <c r="D2" s="421"/>
      <c r="E2" s="421"/>
      <c r="F2" s="421"/>
      <c r="L2" s="424" t="s">
        <v>334</v>
      </c>
      <c r="M2" s="459">
        <v>11.7</v>
      </c>
      <c r="N2" s="426"/>
      <c r="V2" s="449"/>
      <c r="W2" s="418"/>
    </row>
    <row r="3" spans="1:23" ht="20.25" x14ac:dyDescent="0.35">
      <c r="A3" s="420"/>
      <c r="B3" s="428" t="s">
        <v>309</v>
      </c>
      <c r="C3" s="429"/>
      <c r="D3" s="430"/>
      <c r="E3" s="431"/>
      <c r="F3" s="431"/>
      <c r="G3" s="431"/>
      <c r="H3" s="431"/>
      <c r="I3" s="432"/>
      <c r="J3" s="432"/>
      <c r="K3" s="433"/>
      <c r="L3" s="424" t="s">
        <v>335</v>
      </c>
      <c r="M3" s="459">
        <v>10.58</v>
      </c>
      <c r="V3" s="449"/>
      <c r="W3" s="418"/>
    </row>
    <row r="4" spans="1:23" s="440" customFormat="1" ht="39" customHeight="1" x14ac:dyDescent="0.3">
      <c r="A4" s="434"/>
      <c r="B4" s="435" t="s">
        <v>310</v>
      </c>
      <c r="C4" s="435" t="s">
        <v>311</v>
      </c>
      <c r="D4" s="436" t="s">
        <v>312</v>
      </c>
      <c r="E4" s="435" t="s">
        <v>313</v>
      </c>
      <c r="F4" s="435" t="s">
        <v>314</v>
      </c>
      <c r="G4" s="435" t="s">
        <v>315</v>
      </c>
      <c r="H4" s="435" t="s">
        <v>316</v>
      </c>
      <c r="I4" s="435" t="s">
        <v>317</v>
      </c>
      <c r="J4" s="435" t="s">
        <v>318</v>
      </c>
      <c r="K4" s="437" t="s">
        <v>319</v>
      </c>
      <c r="L4" s="435" t="s">
        <v>320</v>
      </c>
      <c r="M4" s="435" t="s">
        <v>321</v>
      </c>
      <c r="N4" s="435" t="s">
        <v>336</v>
      </c>
      <c r="O4" s="435" t="s">
        <v>322</v>
      </c>
      <c r="P4" s="435" t="s">
        <v>323</v>
      </c>
      <c r="Q4" s="435" t="s">
        <v>324</v>
      </c>
      <c r="R4" s="435" t="s">
        <v>325</v>
      </c>
      <c r="S4" s="435" t="s">
        <v>326</v>
      </c>
      <c r="T4" s="435"/>
      <c r="U4" s="438"/>
      <c r="V4" s="438"/>
      <c r="W4" s="439"/>
    </row>
    <row r="5" spans="1:23" x14ac:dyDescent="0.3">
      <c r="A5" s="420"/>
      <c r="B5" s="327" t="s">
        <v>724</v>
      </c>
      <c r="C5" s="327"/>
      <c r="D5" s="441">
        <f>365/12</f>
        <v>30.416666666666668</v>
      </c>
      <c r="E5" s="396" t="s">
        <v>338</v>
      </c>
      <c r="F5" s="396"/>
      <c r="G5" s="442">
        <v>1</v>
      </c>
      <c r="H5" s="442">
        <v>5</v>
      </c>
      <c r="I5" s="442">
        <v>10</v>
      </c>
      <c r="J5" s="443">
        <v>0.8</v>
      </c>
      <c r="K5" s="444">
        <f>H5/(I5*J5)</f>
        <v>0.625</v>
      </c>
      <c r="L5" s="442">
        <v>7.5</v>
      </c>
      <c r="M5" s="445">
        <f>L5*K5</f>
        <v>4.6875</v>
      </c>
      <c r="N5" s="328">
        <f>M5*$M$2</f>
        <v>54.84375</v>
      </c>
      <c r="O5" s="446">
        <f>N5*0.33</f>
        <v>18.098437499999999</v>
      </c>
      <c r="P5" s="328">
        <f>N5+O5</f>
        <v>72.942187500000003</v>
      </c>
      <c r="Q5" s="447">
        <f>N5*D5*G5</f>
        <v>1668.1640625</v>
      </c>
      <c r="R5" s="447">
        <f>O5*D5*G5</f>
        <v>550.494140625</v>
      </c>
      <c r="S5" s="448">
        <f>Q5+R5</f>
        <v>2218.658203125</v>
      </c>
      <c r="T5" s="327"/>
      <c r="U5" s="449"/>
      <c r="V5" s="449"/>
      <c r="W5" s="450"/>
    </row>
    <row r="6" spans="1:23" x14ac:dyDescent="0.3">
      <c r="A6" s="420"/>
      <c r="B6" s="327" t="s">
        <v>723</v>
      </c>
      <c r="C6" s="327"/>
      <c r="D6" s="441">
        <v>15</v>
      </c>
      <c r="E6" s="396" t="s">
        <v>337</v>
      </c>
      <c r="F6" s="396"/>
      <c r="G6" s="442">
        <v>1</v>
      </c>
      <c r="H6" s="442">
        <v>5</v>
      </c>
      <c r="I6" s="442">
        <v>8</v>
      </c>
      <c r="J6" s="443">
        <v>0.8</v>
      </c>
      <c r="K6" s="444">
        <f>H6/(I6*J6)</f>
        <v>0.78125</v>
      </c>
      <c r="L6" s="442">
        <v>15</v>
      </c>
      <c r="M6" s="445">
        <f t="shared" ref="M6" si="0">L6*K6</f>
        <v>11.71875</v>
      </c>
      <c r="N6" s="328">
        <f t="shared" ref="N6" si="1">M6*$M$2</f>
        <v>137.109375</v>
      </c>
      <c r="O6" s="446">
        <f t="shared" ref="O6" si="2">N6*0.33</f>
        <v>45.24609375</v>
      </c>
      <c r="P6" s="328">
        <f t="shared" ref="P6" si="3">N6+O6</f>
        <v>182.35546875</v>
      </c>
      <c r="Q6" s="447">
        <f t="shared" ref="Q6" si="4">N6*D6*G6</f>
        <v>2056.640625</v>
      </c>
      <c r="R6" s="447">
        <f t="shared" ref="R6" si="5">O6*D6*G6</f>
        <v>678.69140625</v>
      </c>
      <c r="S6" s="448">
        <f t="shared" ref="S6" si="6">Q6+R6</f>
        <v>2735.33203125</v>
      </c>
      <c r="T6" s="327"/>
      <c r="U6" s="449"/>
      <c r="V6" s="449"/>
      <c r="W6" s="450"/>
    </row>
    <row r="7" spans="1:23" ht="17.25" thickBot="1" x14ac:dyDescent="0.35">
      <c r="A7" s="420"/>
      <c r="B7" s="460"/>
      <c r="C7" s="461"/>
      <c r="D7" s="461"/>
      <c r="E7" s="461"/>
      <c r="F7" s="461"/>
      <c r="G7" s="461"/>
      <c r="H7" s="461"/>
      <c r="I7" s="461"/>
      <c r="J7" s="461"/>
      <c r="K7" s="462"/>
      <c r="L7" s="461"/>
      <c r="M7" s="461"/>
      <c r="N7" s="461"/>
      <c r="O7" s="461"/>
      <c r="P7" s="461"/>
      <c r="Q7" s="464">
        <f>SUM(Q5:Q6)</f>
        <v>3724.8046875</v>
      </c>
      <c r="R7" s="464">
        <f>SUM(R5:R6)</f>
        <v>1229.185546875</v>
      </c>
      <c r="S7" s="465">
        <f>SUM(S5:S6)</f>
        <v>4953.990234375</v>
      </c>
      <c r="T7" s="463"/>
      <c r="U7" s="449"/>
      <c r="V7" s="449"/>
      <c r="W7" s="450"/>
    </row>
    <row r="8" spans="1:23" s="418" customFormat="1" ht="14.25" x14ac:dyDescent="0.25">
      <c r="D8" s="450"/>
      <c r="E8" s="450"/>
      <c r="F8" s="450"/>
      <c r="G8" s="450"/>
      <c r="H8" s="450"/>
      <c r="K8" s="452"/>
      <c r="V8" s="449"/>
    </row>
    <row r="9" spans="1:23" s="418" customFormat="1" ht="20.25" x14ac:dyDescent="0.35">
      <c r="B9" s="428" t="s">
        <v>327</v>
      </c>
      <c r="E9" s="450"/>
      <c r="F9" s="450"/>
      <c r="G9" s="450"/>
      <c r="H9" s="450"/>
      <c r="K9" s="452"/>
      <c r="V9" s="449"/>
    </row>
    <row r="10" spans="1:23" s="418" customFormat="1" ht="39" x14ac:dyDescent="0.25">
      <c r="B10" s="435" t="s">
        <v>310</v>
      </c>
      <c r="C10" s="435" t="s">
        <v>311</v>
      </c>
      <c r="D10" s="436" t="s">
        <v>312</v>
      </c>
      <c r="E10" s="435" t="s">
        <v>328</v>
      </c>
      <c r="F10" s="435" t="s">
        <v>314</v>
      </c>
      <c r="G10" s="435" t="s">
        <v>315</v>
      </c>
      <c r="H10" s="435" t="s">
        <v>316</v>
      </c>
      <c r="I10" s="435" t="s">
        <v>317</v>
      </c>
      <c r="J10" s="435" t="s">
        <v>318</v>
      </c>
      <c r="K10" s="437" t="s">
        <v>319</v>
      </c>
      <c r="L10" s="435" t="s">
        <v>320</v>
      </c>
      <c r="M10" s="435" t="s">
        <v>321</v>
      </c>
      <c r="N10" s="435" t="s">
        <v>336</v>
      </c>
      <c r="O10" s="435" t="s">
        <v>341</v>
      </c>
      <c r="P10" s="435" t="s">
        <v>323</v>
      </c>
      <c r="Q10" s="435" t="s">
        <v>324</v>
      </c>
      <c r="R10" s="435" t="s">
        <v>325</v>
      </c>
      <c r="S10" s="435" t="s">
        <v>326</v>
      </c>
      <c r="V10" s="449"/>
    </row>
    <row r="11" spans="1:23" x14ac:dyDescent="0.3">
      <c r="A11" s="420"/>
      <c r="B11" s="327" t="s">
        <v>329</v>
      </c>
      <c r="C11" s="327"/>
      <c r="D11" s="441">
        <v>22</v>
      </c>
      <c r="E11" s="402" t="s">
        <v>340</v>
      </c>
      <c r="F11" s="402"/>
      <c r="G11" s="442">
        <v>1</v>
      </c>
      <c r="H11" s="442">
        <v>30</v>
      </c>
      <c r="I11" s="442"/>
      <c r="J11" s="443"/>
      <c r="K11" s="444">
        <v>1</v>
      </c>
      <c r="L11" s="442">
        <v>8</v>
      </c>
      <c r="M11" s="445">
        <f>H11/10</f>
        <v>3</v>
      </c>
      <c r="N11" s="328">
        <f t="shared" ref="N11:N14" si="7">M11*$M$3</f>
        <v>31.740000000000002</v>
      </c>
      <c r="O11" s="446">
        <f>N11*0.33</f>
        <v>10.474200000000002</v>
      </c>
      <c r="P11" s="328">
        <f>N11+O11</f>
        <v>42.214200000000005</v>
      </c>
      <c r="Q11" s="447">
        <f t="shared" ref="Q11:Q14" si="8">N11*D11*G11</f>
        <v>698.28000000000009</v>
      </c>
      <c r="R11" s="447">
        <f t="shared" ref="R11:R14" si="9">O11*D11*G11</f>
        <v>230.43240000000003</v>
      </c>
      <c r="S11" s="448">
        <f>Q11+R11</f>
        <v>928.71240000000012</v>
      </c>
      <c r="T11" s="327"/>
      <c r="U11" s="449"/>
      <c r="V11" s="449"/>
      <c r="W11" s="450"/>
    </row>
    <row r="12" spans="1:23" x14ac:dyDescent="0.3">
      <c r="A12" s="420"/>
      <c r="B12" s="327"/>
      <c r="C12" s="327"/>
      <c r="D12" s="441">
        <v>22</v>
      </c>
      <c r="E12" s="402" t="s">
        <v>339</v>
      </c>
      <c r="F12" s="402"/>
      <c r="G12" s="442">
        <v>1</v>
      </c>
      <c r="H12" s="442">
        <v>0.5</v>
      </c>
      <c r="I12" s="442"/>
      <c r="J12" s="443"/>
      <c r="K12" s="444">
        <v>2</v>
      </c>
      <c r="L12" s="442">
        <v>12.5</v>
      </c>
      <c r="M12" s="445">
        <f t="shared" ref="M12:M14" si="10">L12*K12</f>
        <v>25</v>
      </c>
      <c r="N12" s="328">
        <f t="shared" si="7"/>
        <v>264.5</v>
      </c>
      <c r="O12" s="446">
        <f t="shared" ref="O12:O14" si="11">N12*0.33</f>
        <v>87.285000000000011</v>
      </c>
      <c r="P12" s="328">
        <f t="shared" ref="P12:P14" si="12">N12+O12</f>
        <v>351.78500000000003</v>
      </c>
      <c r="Q12" s="447">
        <f t="shared" si="8"/>
        <v>5819</v>
      </c>
      <c r="R12" s="447">
        <f t="shared" si="9"/>
        <v>1920.2700000000002</v>
      </c>
      <c r="S12" s="448">
        <f t="shared" ref="S12:S14" si="13">Q12+R12</f>
        <v>7739.27</v>
      </c>
      <c r="T12" s="327"/>
      <c r="U12" s="449"/>
      <c r="V12" s="449"/>
      <c r="W12" s="450"/>
    </row>
    <row r="13" spans="1:23" x14ac:dyDescent="0.3">
      <c r="A13" s="420"/>
      <c r="B13" s="327"/>
      <c r="C13" s="327"/>
      <c r="D13" s="327">
        <v>1</v>
      </c>
      <c r="E13" s="402" t="s">
        <v>342</v>
      </c>
      <c r="F13" s="402"/>
      <c r="G13" s="442">
        <v>1</v>
      </c>
      <c r="H13" s="442"/>
      <c r="I13" s="442"/>
      <c r="J13" s="443"/>
      <c r="K13" s="444">
        <f>0.05*24</f>
        <v>1.2000000000000002</v>
      </c>
      <c r="L13" s="442">
        <v>30</v>
      </c>
      <c r="M13" s="445">
        <f t="shared" si="10"/>
        <v>36.000000000000007</v>
      </c>
      <c r="N13" s="328">
        <f t="shared" si="7"/>
        <v>380.88000000000005</v>
      </c>
      <c r="O13" s="446">
        <f t="shared" si="11"/>
        <v>125.69040000000003</v>
      </c>
      <c r="P13" s="328">
        <f t="shared" si="12"/>
        <v>506.57040000000006</v>
      </c>
      <c r="Q13" s="447">
        <f t="shared" si="8"/>
        <v>380.88000000000005</v>
      </c>
      <c r="R13" s="447">
        <f t="shared" si="9"/>
        <v>125.69040000000003</v>
      </c>
      <c r="S13" s="448">
        <f t="shared" si="13"/>
        <v>506.57040000000006</v>
      </c>
      <c r="T13" s="327"/>
      <c r="U13" s="449"/>
      <c r="V13" s="449"/>
      <c r="W13" s="450"/>
    </row>
    <row r="14" spans="1:23" x14ac:dyDescent="0.3">
      <c r="A14" s="420"/>
      <c r="B14" s="327"/>
      <c r="C14" s="327"/>
      <c r="D14" s="327">
        <v>1</v>
      </c>
      <c r="E14" s="402" t="s">
        <v>343</v>
      </c>
      <c r="F14" s="402"/>
      <c r="G14" s="442">
        <v>1</v>
      </c>
      <c r="H14" s="442"/>
      <c r="I14" s="442"/>
      <c r="J14" s="443"/>
      <c r="K14" s="444">
        <f>0.05*24</f>
        <v>1.2000000000000002</v>
      </c>
      <c r="L14" s="442">
        <v>30</v>
      </c>
      <c r="M14" s="445">
        <f t="shared" si="10"/>
        <v>36.000000000000007</v>
      </c>
      <c r="N14" s="328">
        <f t="shared" si="7"/>
        <v>380.88000000000005</v>
      </c>
      <c r="O14" s="446">
        <f t="shared" si="11"/>
        <v>125.69040000000003</v>
      </c>
      <c r="P14" s="328">
        <f t="shared" si="12"/>
        <v>506.57040000000006</v>
      </c>
      <c r="Q14" s="447">
        <f t="shared" si="8"/>
        <v>380.88000000000005</v>
      </c>
      <c r="R14" s="447">
        <f t="shared" si="9"/>
        <v>125.69040000000003</v>
      </c>
      <c r="S14" s="448">
        <f t="shared" si="13"/>
        <v>506.57040000000006</v>
      </c>
      <c r="T14" s="327"/>
      <c r="U14" s="449"/>
      <c r="V14" s="449"/>
      <c r="W14" s="450"/>
    </row>
    <row r="15" spans="1:23" ht="17.25" thickBot="1" x14ac:dyDescent="0.35">
      <c r="A15" s="420"/>
      <c r="B15" s="460"/>
      <c r="C15" s="461"/>
      <c r="D15" s="461"/>
      <c r="E15" s="461"/>
      <c r="F15" s="461"/>
      <c r="G15" s="461"/>
      <c r="H15" s="461"/>
      <c r="I15" s="461"/>
      <c r="J15" s="461"/>
      <c r="K15" s="462"/>
      <c r="L15" s="461"/>
      <c r="M15" s="461"/>
      <c r="N15" s="461"/>
      <c r="O15" s="461"/>
      <c r="P15" s="461"/>
      <c r="Q15" s="464">
        <f>SUM(Q11:Q14)</f>
        <v>7279.04</v>
      </c>
      <c r="R15" s="464">
        <f>SUM(R11:R14)</f>
        <v>2402.0832</v>
      </c>
      <c r="S15" s="465">
        <f>SUM(S11:S14)</f>
        <v>9681.1232000000018</v>
      </c>
      <c r="T15" s="463"/>
      <c r="U15" s="449"/>
      <c r="V15" s="449"/>
      <c r="W15" s="450"/>
    </row>
    <row r="16" spans="1:23" x14ac:dyDescent="0.3">
      <c r="A16" s="449"/>
      <c r="B16" s="466"/>
      <c r="C16" s="466"/>
      <c r="D16" s="466"/>
      <c r="E16" s="466"/>
      <c r="F16" s="466"/>
      <c r="G16" s="466"/>
      <c r="H16" s="466"/>
      <c r="I16" s="466"/>
      <c r="J16" s="466"/>
      <c r="K16" s="467"/>
      <c r="L16" s="466"/>
      <c r="M16" s="466"/>
      <c r="N16" s="466"/>
      <c r="O16" s="466"/>
      <c r="P16" s="466"/>
      <c r="Q16" s="468"/>
      <c r="R16" s="468"/>
      <c r="S16" s="469"/>
      <c r="T16" s="466"/>
      <c r="U16" s="449"/>
      <c r="V16" s="449"/>
      <c r="W16" s="450"/>
    </row>
    <row r="17" spans="22:22" x14ac:dyDescent="0.3">
      <c r="V17" s="1140"/>
    </row>
  </sheetData>
  <mergeCells count="1">
    <mergeCell ref="B1:C2"/>
  </mergeCells>
  <pageMargins left="0.25" right="0.25" top="0.75" bottom="0.75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4" zoomScale="89" zoomScaleNormal="89" workbookViewId="0">
      <selection activeCell="E14" sqref="E14"/>
    </sheetView>
  </sheetViews>
  <sheetFormatPr defaultColWidth="8.85546875" defaultRowHeight="12.75" x14ac:dyDescent="0.2"/>
  <cols>
    <col min="1" max="1" width="1.42578125" style="886" customWidth="1"/>
    <col min="2" max="2" width="36.7109375" style="886" customWidth="1"/>
    <col min="3" max="3" width="13.28515625" style="886" customWidth="1"/>
    <col min="4" max="13" width="12.7109375" style="886" customWidth="1"/>
    <col min="14" max="16384" width="8.85546875" style="886"/>
  </cols>
  <sheetData>
    <row r="1" spans="1:12" ht="34.5" customHeight="1" x14ac:dyDescent="0.2">
      <c r="A1" s="205" t="s">
        <v>1400</v>
      </c>
      <c r="B1" s="201" t="s">
        <v>1401</v>
      </c>
      <c r="C1" s="153"/>
    </row>
    <row r="2" spans="1:12" ht="25.5" customHeight="1" thickBot="1" x14ac:dyDescent="0.25">
      <c r="B2" s="1201"/>
      <c r="C2" s="1202"/>
      <c r="D2" s="1203"/>
      <c r="E2" s="1203"/>
      <c r="F2" s="1203"/>
      <c r="G2" s="1204"/>
      <c r="H2" s="1204"/>
      <c r="I2" s="1203"/>
      <c r="J2" s="1205"/>
      <c r="K2" s="1205"/>
    </row>
    <row r="3" spans="1:12" ht="27.75" customHeight="1" thickBot="1" x14ac:dyDescent="0.4">
      <c r="A3" s="890"/>
      <c r="B3" s="1206" t="s">
        <v>1402</v>
      </c>
      <c r="C3" s="54"/>
      <c r="D3" s="100" t="s">
        <v>454</v>
      </c>
      <c r="E3" s="100" t="s">
        <v>455</v>
      </c>
      <c r="F3" s="100" t="s">
        <v>456</v>
      </c>
      <c r="G3" s="100" t="s">
        <v>457</v>
      </c>
      <c r="H3" s="100" t="s">
        <v>458</v>
      </c>
      <c r="I3" s="100" t="s">
        <v>459</v>
      </c>
      <c r="J3" s="100" t="s">
        <v>460</v>
      </c>
      <c r="K3" s="100" t="s">
        <v>461</v>
      </c>
      <c r="L3" s="100" t="s">
        <v>462</v>
      </c>
    </row>
    <row r="4" spans="1:12" ht="21" x14ac:dyDescent="0.35">
      <c r="A4" s="890"/>
      <c r="B4" s="168" t="s">
        <v>1403</v>
      </c>
      <c r="C4" s="1207"/>
      <c r="D4" s="113">
        <f>SUM([3]Production!Q7:AB7)</f>
        <v>0</v>
      </c>
      <c r="E4" s="114"/>
      <c r="F4" s="1241">
        <f>SUM(Production!AC7:AN7)/1000</f>
        <v>124.42228977831523</v>
      </c>
      <c r="G4" s="1247">
        <f>SUM(Production!BA7:BL7)/1000</f>
        <v>507.31019550396439</v>
      </c>
      <c r="H4" s="1209">
        <f>SUM(Production!BA7:BL7)/1000</f>
        <v>507.31019550396439</v>
      </c>
      <c r="I4" s="113"/>
      <c r="J4" s="113"/>
      <c r="K4" s="113"/>
      <c r="L4" s="113"/>
    </row>
    <row r="5" spans="1:12" ht="21" x14ac:dyDescent="0.35">
      <c r="A5" s="890"/>
      <c r="B5" s="168" t="s">
        <v>1404</v>
      </c>
      <c r="C5" s="1207"/>
      <c r="D5" s="113">
        <f>SUM([3]Production!Q8:AB8)</f>
        <v>0</v>
      </c>
      <c r="E5" s="114"/>
      <c r="F5" s="1241"/>
      <c r="G5" s="1208">
        <f>SUM(Production!BA8:BL8)/1000</f>
        <v>456.57917595356793</v>
      </c>
      <c r="H5" s="1209"/>
      <c r="I5" s="1209"/>
      <c r="J5" s="1209"/>
      <c r="K5" s="1209"/>
      <c r="L5" s="1209"/>
    </row>
    <row r="6" spans="1:12" ht="21" x14ac:dyDescent="0.35">
      <c r="A6" s="890"/>
      <c r="B6" s="168" t="s">
        <v>1405</v>
      </c>
      <c r="C6" s="1207"/>
      <c r="D6" s="113"/>
      <c r="E6" s="114"/>
      <c r="F6" s="1241"/>
      <c r="G6" s="1208">
        <f>(SUM(Production!BA22:BL22)*Assumptions!C43)/1000</f>
        <v>456</v>
      </c>
      <c r="H6" s="1209"/>
      <c r="I6" s="1209"/>
      <c r="J6" s="1209"/>
      <c r="K6" s="1209"/>
      <c r="L6" s="1209"/>
    </row>
    <row r="7" spans="1:12" ht="21" x14ac:dyDescent="0.35">
      <c r="A7" s="890"/>
      <c r="B7" s="168" t="s">
        <v>1406</v>
      </c>
      <c r="C7" s="1207"/>
      <c r="D7" s="113"/>
      <c r="E7" s="114"/>
      <c r="F7" s="1241"/>
      <c r="G7" s="1208">
        <f t="shared" ref="G7" si="0">G6</f>
        <v>456</v>
      </c>
      <c r="H7" s="1209"/>
      <c r="I7" s="1209"/>
      <c r="J7" s="1209"/>
      <c r="K7" s="1209"/>
      <c r="L7" s="1209"/>
    </row>
    <row r="8" spans="1:12" ht="21" hidden="1" x14ac:dyDescent="0.35">
      <c r="A8" s="890"/>
      <c r="B8" s="168" t="s">
        <v>1407</v>
      </c>
      <c r="C8" s="1207"/>
      <c r="D8" s="113"/>
      <c r="E8" s="114"/>
      <c r="F8" s="1241"/>
      <c r="G8" s="1208"/>
      <c r="H8" s="1209"/>
      <c r="I8" s="1209"/>
      <c r="J8" s="1209"/>
      <c r="K8" s="1209"/>
      <c r="L8" s="1209"/>
    </row>
    <row r="9" spans="1:12" ht="21" x14ac:dyDescent="0.35">
      <c r="A9" s="890"/>
      <c r="B9" s="168" t="s">
        <v>1408</v>
      </c>
      <c r="C9" s="1207"/>
      <c r="D9" s="113"/>
      <c r="E9" s="114"/>
      <c r="F9" s="1241"/>
      <c r="G9" s="1208">
        <f>SUM('1.Revenue'!AO25:AZ25)/1000/Assumptions!H7</f>
        <v>36526.334076285435</v>
      </c>
      <c r="H9" s="1209"/>
      <c r="I9" s="1209"/>
      <c r="J9" s="1209"/>
      <c r="K9" s="1209"/>
      <c r="L9" s="1209"/>
    </row>
    <row r="10" spans="1:12" ht="21" x14ac:dyDescent="0.35">
      <c r="A10" s="890"/>
      <c r="B10" s="168" t="s">
        <v>1409</v>
      </c>
      <c r="C10" s="1207"/>
      <c r="D10" s="1210"/>
      <c r="E10" s="1211"/>
      <c r="F10" s="1242"/>
      <c r="G10" s="1212">
        <f>G9/G6</f>
        <v>80.101609816415433</v>
      </c>
      <c r="H10" s="1209"/>
      <c r="I10" s="1209"/>
      <c r="J10" s="1209"/>
      <c r="K10" s="1209"/>
      <c r="L10" s="1209"/>
    </row>
    <row r="11" spans="1:12" ht="21" x14ac:dyDescent="0.35">
      <c r="A11" s="890"/>
      <c r="B11" s="168" t="s">
        <v>1410</v>
      </c>
      <c r="C11" s="1213"/>
      <c r="D11" s="113"/>
      <c r="E11" s="114"/>
      <c r="F11" s="1241"/>
      <c r="G11" s="1208">
        <f>SUM('2.Sales Costs'!AN9:AY9)/1000/Assumptions!H7</f>
        <v>-3713.6931788403231</v>
      </c>
      <c r="H11" s="1209"/>
      <c r="I11" s="1209"/>
      <c r="J11" s="1209"/>
      <c r="K11" s="1209"/>
      <c r="L11" s="1209"/>
    </row>
    <row r="12" spans="1:12" ht="21" x14ac:dyDescent="0.35">
      <c r="A12" s="890"/>
      <c r="B12" s="168" t="s">
        <v>1469</v>
      </c>
      <c r="C12" s="1213"/>
      <c r="D12" s="113"/>
      <c r="E12" s="114"/>
      <c r="F12" s="1241"/>
      <c r="G12" s="1208">
        <f>'Fin Statements'!G9/Assumptions!H7</f>
        <v>-26690.196575044549</v>
      </c>
      <c r="H12" s="1209"/>
      <c r="I12" s="1209"/>
      <c r="J12" s="1209"/>
      <c r="K12" s="1209"/>
      <c r="L12" s="1209"/>
    </row>
    <row r="13" spans="1:12" ht="21" x14ac:dyDescent="0.35">
      <c r="A13" s="890"/>
      <c r="B13" s="168" t="s">
        <v>162</v>
      </c>
      <c r="C13" s="1214"/>
      <c r="D13" s="113"/>
      <c r="E13" s="114"/>
      <c r="F13" s="1241"/>
      <c r="G13" s="1208">
        <f>'Fin Statements'!G10/Assumptions!H7*0.2</f>
        <v>-845.9000000000002</v>
      </c>
      <c r="H13" s="1209"/>
      <c r="I13" s="1209"/>
      <c r="J13" s="1209"/>
      <c r="K13" s="1209"/>
      <c r="L13" s="1209"/>
    </row>
    <row r="14" spans="1:12" ht="21" x14ac:dyDescent="0.35">
      <c r="A14" s="890"/>
      <c r="B14" s="168" t="s">
        <v>1453</v>
      </c>
      <c r="C14" s="1214"/>
      <c r="D14" s="113"/>
      <c r="E14" s="114"/>
      <c r="F14" s="1241"/>
      <c r="G14" s="1208">
        <f>('Fin Statements'!G10*0.8)/Assumptions!H7</f>
        <v>-3383.6000000000004</v>
      </c>
      <c r="H14" s="1209"/>
      <c r="I14" s="1209"/>
      <c r="J14" s="1209"/>
      <c r="K14" s="1209"/>
      <c r="L14" s="1209"/>
    </row>
    <row r="15" spans="1:12" ht="21" x14ac:dyDescent="0.35">
      <c r="A15" s="890"/>
      <c r="B15" s="1248" t="s">
        <v>1411</v>
      </c>
      <c r="C15" s="1213"/>
      <c r="D15" s="113"/>
      <c r="E15" s="114">
        <f>SUM(E11:E13)</f>
        <v>0</v>
      </c>
      <c r="F15" s="1241"/>
      <c r="G15" s="1208">
        <f>SUM(G11:G14)</f>
        <v>-34633.389753884876</v>
      </c>
      <c r="H15" s="1209"/>
      <c r="I15" s="1209"/>
      <c r="J15" s="1209"/>
      <c r="K15" s="1209"/>
      <c r="L15" s="1209"/>
    </row>
    <row r="16" spans="1:12" ht="21" x14ac:dyDescent="0.35">
      <c r="A16" s="890"/>
      <c r="B16" s="1248" t="s">
        <v>1412</v>
      </c>
      <c r="C16" s="1213"/>
      <c r="D16" s="1210"/>
      <c r="E16" s="1211"/>
      <c r="F16" s="1242"/>
      <c r="G16" s="1212">
        <f t="shared" ref="G16" si="1">-G15/G5</f>
        <v>75.854072147624478</v>
      </c>
      <c r="H16" s="1209"/>
      <c r="I16" s="1209"/>
      <c r="J16" s="1209"/>
      <c r="K16" s="1209"/>
      <c r="L16" s="1209"/>
    </row>
    <row r="17" spans="1:12" ht="21" x14ac:dyDescent="0.35">
      <c r="A17" s="890"/>
      <c r="B17" s="1248" t="s">
        <v>1413</v>
      </c>
      <c r="C17" s="1213"/>
      <c r="D17" s="1210"/>
      <c r="E17" s="1211"/>
      <c r="F17" s="1242"/>
      <c r="G17" s="1212">
        <f t="shared" ref="G17" si="2">-G11/G5</f>
        <v>8.1337331495337164</v>
      </c>
      <c r="H17" s="1209"/>
      <c r="I17" s="1209"/>
      <c r="J17" s="1209"/>
      <c r="K17" s="1209"/>
      <c r="L17" s="1209"/>
    </row>
    <row r="18" spans="1:12" ht="21" x14ac:dyDescent="0.35">
      <c r="A18" s="890"/>
      <c r="B18" s="1248" t="s">
        <v>1414</v>
      </c>
      <c r="C18" s="1213"/>
      <c r="D18" s="1210"/>
      <c r="E18" s="1211"/>
      <c r="F18" s="1242"/>
      <c r="G18" s="1212">
        <f t="shared" ref="G18" si="3">-G12/G5</f>
        <v>58.456885422559928</v>
      </c>
      <c r="H18" s="1209"/>
      <c r="I18" s="1209"/>
      <c r="J18" s="1209"/>
      <c r="K18" s="1209"/>
      <c r="L18" s="1209"/>
    </row>
    <row r="19" spans="1:12" ht="21" x14ac:dyDescent="0.35">
      <c r="A19" s="890"/>
      <c r="B19" s="1248" t="s">
        <v>1415</v>
      </c>
      <c r="C19" s="1213"/>
      <c r="D19" s="1210"/>
      <c r="E19" s="1211"/>
      <c r="F19" s="1242"/>
      <c r="G19" s="1212">
        <f t="shared" ref="G19" si="4">-G13/G5</f>
        <v>1.8526907151061669</v>
      </c>
      <c r="H19" s="1209"/>
      <c r="I19" s="1209"/>
      <c r="J19" s="1209"/>
      <c r="K19" s="1209"/>
      <c r="L19" s="1209"/>
    </row>
    <row r="20" spans="1:12" ht="21" x14ac:dyDescent="0.35">
      <c r="A20" s="890"/>
      <c r="B20" s="1248" t="s">
        <v>1464</v>
      </c>
      <c r="C20" s="1213"/>
      <c r="D20" s="1210"/>
      <c r="E20" s="1211"/>
      <c r="F20" s="1242"/>
      <c r="G20" s="1212">
        <f>-G14/G4</f>
        <v>6.6696865743822</v>
      </c>
      <c r="H20" s="1209"/>
      <c r="I20" s="1209"/>
      <c r="J20" s="1209"/>
      <c r="K20" s="1209"/>
      <c r="L20" s="1209"/>
    </row>
    <row r="21" spans="1:12" ht="15" x14ac:dyDescent="0.25">
      <c r="F21" s="1087"/>
      <c r="G21" s="1215"/>
      <c r="H21" s="1209"/>
      <c r="I21" s="1209"/>
      <c r="J21" s="1209"/>
      <c r="K21" s="1209"/>
      <c r="L21" s="1209"/>
    </row>
    <row r="22" spans="1:12" ht="21" x14ac:dyDescent="0.35">
      <c r="A22" s="890"/>
      <c r="B22" s="168" t="s">
        <v>1465</v>
      </c>
      <c r="C22" s="1213"/>
      <c r="D22" s="113"/>
      <c r="E22" s="114"/>
      <c r="F22" s="1241"/>
      <c r="G22" s="1208">
        <f>SUM('3. Variable Costs'!AN33:AY45)/1000/Assumptions!H7</f>
        <v>-1321.874495967762</v>
      </c>
      <c r="H22" s="1209"/>
      <c r="I22" s="1209"/>
      <c r="J22" s="1209"/>
      <c r="K22" s="1209"/>
      <c r="L22" s="1209"/>
    </row>
    <row r="23" spans="1:12" ht="21" x14ac:dyDescent="0.35">
      <c r="A23" s="890"/>
      <c r="B23" s="168" t="s">
        <v>1417</v>
      </c>
      <c r="C23" s="1213"/>
      <c r="D23" s="113"/>
      <c r="E23" s="114"/>
      <c r="F23" s="1241"/>
      <c r="G23" s="1208">
        <f>SUM('3. Variable Costs'!AN23:AY30)/1000/Assumptions!H7</f>
        <v>-3328.9493644670792</v>
      </c>
      <c r="H23" s="1209"/>
      <c r="I23" s="1209"/>
      <c r="J23" s="1209"/>
      <c r="K23" s="1209"/>
      <c r="L23" s="1209"/>
    </row>
    <row r="24" spans="1:12" ht="21" x14ac:dyDescent="0.35">
      <c r="A24" s="890"/>
      <c r="B24" s="168" t="s">
        <v>1466</v>
      </c>
      <c r="C24" s="1213"/>
      <c r="D24" s="113"/>
      <c r="E24" s="114"/>
      <c r="F24" s="1241"/>
      <c r="G24" s="1208">
        <f>SUM('3. Variable Costs'!AN48:AY53)/1000/Assumptions!H7</f>
        <v>-358.99999999999989</v>
      </c>
      <c r="H24" s="1209"/>
      <c r="I24" s="1209"/>
      <c r="J24" s="1209"/>
      <c r="K24" s="1209"/>
      <c r="L24" s="1209"/>
    </row>
    <row r="25" spans="1:12" ht="21" x14ac:dyDescent="0.35">
      <c r="A25" s="890"/>
      <c r="B25" s="168" t="s">
        <v>1416</v>
      </c>
      <c r="C25" s="1213"/>
      <c r="D25" s="113"/>
      <c r="E25" s="114"/>
      <c r="F25" s="1241"/>
      <c r="G25" s="1208">
        <f>SUM('3. Variable Costs'!AN21:AY22)/1000/Assumptions!H7</f>
        <v>-18701.809158845703</v>
      </c>
      <c r="H25" s="1209"/>
      <c r="I25" s="1209"/>
      <c r="J25" s="1209"/>
      <c r="K25" s="1209"/>
      <c r="L25" s="1209"/>
    </row>
    <row r="26" spans="1:12" ht="21" x14ac:dyDescent="0.35">
      <c r="A26" s="890"/>
      <c r="B26" s="168" t="s">
        <v>1418</v>
      </c>
      <c r="C26" s="1213"/>
      <c r="D26" s="113"/>
      <c r="E26" s="114"/>
      <c r="F26" s="1241"/>
      <c r="G26" s="1208">
        <f>(SUM('4. OH Expenses'!AN8:AY32)/1000/Assumptions!H7)*0.2</f>
        <v>-845.900000000001</v>
      </c>
      <c r="H26" s="1209"/>
      <c r="I26" s="1209"/>
      <c r="J26" s="1209"/>
      <c r="K26" s="1209"/>
      <c r="L26" s="1209"/>
    </row>
    <row r="27" spans="1:12" ht="21" x14ac:dyDescent="0.35">
      <c r="A27" s="890"/>
      <c r="B27" s="168" t="s">
        <v>1453</v>
      </c>
      <c r="C27" s="1213"/>
      <c r="D27" s="113"/>
      <c r="E27" s="114"/>
      <c r="F27" s="1241"/>
      <c r="G27" s="1208">
        <f>(SUM('4. OH Expenses'!AN8:AY32)/1000/Assumptions!H7)*0.8</f>
        <v>-3383.600000000004</v>
      </c>
      <c r="H27" s="1209"/>
      <c r="I27" s="1209"/>
      <c r="J27" s="1209"/>
      <c r="K27" s="1209"/>
      <c r="L27" s="1209"/>
    </row>
    <row r="28" spans="1:12" ht="21" x14ac:dyDescent="0.35">
      <c r="A28" s="890"/>
      <c r="B28" s="168" t="s">
        <v>1419</v>
      </c>
      <c r="C28" s="1213"/>
      <c r="D28" s="113"/>
      <c r="E28" s="114"/>
      <c r="F28" s="1241"/>
      <c r="G28" s="1208">
        <f>SUM('3. Variable Costs'!AN8:AY18)/1000/Assumptions!H7</f>
        <v>-3337.5635557640039</v>
      </c>
      <c r="H28" s="1209"/>
      <c r="I28" s="1209"/>
      <c r="J28" s="1209"/>
      <c r="K28" s="1209"/>
      <c r="L28" s="1209"/>
    </row>
    <row r="29" spans="1:12" ht="21" x14ac:dyDescent="0.35">
      <c r="A29" s="890"/>
      <c r="B29" s="168" t="s">
        <v>178</v>
      </c>
      <c r="C29" s="1213"/>
      <c r="D29" s="113"/>
      <c r="E29" s="114"/>
      <c r="F29" s="1241"/>
      <c r="G29" s="1245">
        <f>SUM('2.Sales Costs'!AZ9:BK9)/1000/Assumptions!H7</f>
        <v>-4094.5652876010208</v>
      </c>
      <c r="H29" s="1209"/>
      <c r="I29" s="1209"/>
      <c r="J29" s="1209"/>
      <c r="K29" s="1209"/>
      <c r="L29" s="1209"/>
    </row>
    <row r="30" spans="1:12" s="888" customFormat="1" ht="25.5" customHeight="1" x14ac:dyDescent="0.25">
      <c r="A30" s="1216"/>
      <c r="B30" s="1217" t="s">
        <v>1420</v>
      </c>
      <c r="C30" s="1218"/>
      <c r="D30" s="1219"/>
      <c r="E30" s="1220"/>
      <c r="F30" s="1243"/>
      <c r="G30" s="1221"/>
      <c r="H30" s="1209"/>
      <c r="I30" s="1209"/>
      <c r="J30" s="1209"/>
      <c r="K30" s="1209"/>
      <c r="L30" s="1209"/>
    </row>
    <row r="31" spans="1:12" ht="21" x14ac:dyDescent="0.35">
      <c r="A31" s="890"/>
      <c r="B31" s="168" t="s">
        <v>1439</v>
      </c>
      <c r="C31" s="1213"/>
      <c r="D31" s="1210"/>
      <c r="E31" s="1211"/>
      <c r="F31" s="1242"/>
      <c r="G31" s="1212">
        <f>-G22/G4</f>
        <v>2.6056533215434503</v>
      </c>
      <c r="H31" s="1209"/>
      <c r="I31" s="1209"/>
      <c r="J31" s="1209"/>
      <c r="K31" s="1209"/>
      <c r="L31" s="1209"/>
    </row>
    <row r="32" spans="1:12" ht="21" x14ac:dyDescent="0.35">
      <c r="A32" s="890"/>
      <c r="B32" s="168" t="s">
        <v>1422</v>
      </c>
      <c r="C32" s="1213"/>
      <c r="D32" s="1210"/>
      <c r="E32" s="1211"/>
      <c r="F32" s="1242"/>
      <c r="G32" s="1212">
        <f>-G23/G4</f>
        <v>6.561960303518215</v>
      </c>
      <c r="H32" s="1209"/>
      <c r="I32" s="1209"/>
      <c r="J32" s="1209"/>
      <c r="K32" s="1209"/>
      <c r="L32" s="1209"/>
    </row>
    <row r="33" spans="1:12" ht="21" x14ac:dyDescent="0.35">
      <c r="A33" s="890"/>
      <c r="B33" s="168" t="s">
        <v>1466</v>
      </c>
      <c r="C33" s="1213"/>
      <c r="D33" s="1210"/>
      <c r="E33" s="1211"/>
      <c r="F33" s="1242"/>
      <c r="G33" s="1212">
        <f>-G24/G4</f>
        <v>0.7076538243891739</v>
      </c>
      <c r="H33" s="1209"/>
      <c r="I33" s="1209"/>
      <c r="J33" s="1209"/>
      <c r="K33" s="1209"/>
      <c r="L33" s="1209"/>
    </row>
    <row r="34" spans="1:12" ht="21" x14ac:dyDescent="0.35">
      <c r="A34" s="890"/>
      <c r="B34" s="168" t="s">
        <v>1421</v>
      </c>
      <c r="C34" s="1213"/>
      <c r="D34" s="1210"/>
      <c r="E34" s="1211"/>
      <c r="F34" s="1242"/>
      <c r="G34" s="1212">
        <f>-G25/G4</f>
        <v>36.864642825219065</v>
      </c>
      <c r="H34" s="1209"/>
      <c r="I34" s="1209"/>
      <c r="J34" s="1209"/>
      <c r="K34" s="1209"/>
      <c r="L34" s="1209"/>
    </row>
    <row r="35" spans="1:12" ht="21" x14ac:dyDescent="0.35">
      <c r="A35" s="890"/>
      <c r="B35" s="168" t="s">
        <v>1423</v>
      </c>
      <c r="C35" s="1213"/>
      <c r="D35" s="1210"/>
      <c r="E35" s="1211"/>
      <c r="F35" s="1242"/>
      <c r="G35" s="1212">
        <f>-G26/G4</f>
        <v>1.6674216435955518</v>
      </c>
      <c r="H35" s="1209"/>
      <c r="I35" s="1209"/>
      <c r="J35" s="1209"/>
      <c r="K35" s="1209"/>
      <c r="L35" s="1209"/>
    </row>
    <row r="36" spans="1:12" ht="21" x14ac:dyDescent="0.35">
      <c r="A36" s="890"/>
      <c r="B36" s="168" t="s">
        <v>1467</v>
      </c>
      <c r="C36" s="1213"/>
      <c r="D36" s="1210"/>
      <c r="E36" s="1211"/>
      <c r="F36" s="1242"/>
      <c r="G36" s="1212">
        <f>-G27/G4</f>
        <v>6.6696865743822071</v>
      </c>
      <c r="H36" s="1209"/>
      <c r="I36" s="1209"/>
      <c r="J36" s="1209"/>
      <c r="K36" s="1209"/>
      <c r="L36" s="1209"/>
    </row>
    <row r="37" spans="1:12" ht="21" x14ac:dyDescent="0.35">
      <c r="A37" s="890"/>
      <c r="B37" s="168" t="s">
        <v>1424</v>
      </c>
      <c r="C37" s="1213"/>
      <c r="D37" s="1210"/>
      <c r="E37" s="1211"/>
      <c r="F37" s="1242"/>
      <c r="G37" s="1212">
        <f>Sensitivities!F37</f>
        <v>4.6402938139497625</v>
      </c>
      <c r="H37" s="1209"/>
      <c r="I37" s="1209"/>
      <c r="J37" s="1209"/>
      <c r="K37" s="1209"/>
      <c r="L37" s="1209"/>
    </row>
    <row r="38" spans="1:12" s="8" customFormat="1" ht="21" x14ac:dyDescent="0.35">
      <c r="A38" s="195"/>
      <c r="B38" s="1222" t="s">
        <v>1434</v>
      </c>
      <c r="C38" s="1223"/>
      <c r="D38" s="1224"/>
      <c r="E38" s="1225"/>
      <c r="F38" s="1244"/>
      <c r="G38" s="1226">
        <f>SUM(G31:G37)</f>
        <v>59.717312306597421</v>
      </c>
      <c r="H38" s="1209"/>
      <c r="I38" s="1209"/>
      <c r="J38" s="1209"/>
      <c r="K38" s="1209"/>
      <c r="L38" s="1209"/>
    </row>
    <row r="39" spans="1:12" ht="21" x14ac:dyDescent="0.35">
      <c r="A39" s="890"/>
      <c r="B39" s="168" t="s">
        <v>1425</v>
      </c>
      <c r="C39" s="1213"/>
      <c r="D39" s="1210"/>
      <c r="E39" s="1211"/>
      <c r="F39" s="1242"/>
      <c r="G39" s="1212">
        <f t="shared" ref="G39" si="5">G40-G38</f>
        <v>6.6352569229552643</v>
      </c>
      <c r="H39" s="1209"/>
      <c r="I39" s="1209"/>
      <c r="J39" s="1209"/>
      <c r="K39" s="1209"/>
      <c r="L39" s="1209"/>
    </row>
    <row r="40" spans="1:12" s="8" customFormat="1" ht="21" x14ac:dyDescent="0.35">
      <c r="A40" s="195"/>
      <c r="B40" s="1222" t="s">
        <v>1433</v>
      </c>
      <c r="C40" s="1223"/>
      <c r="D40" s="1224"/>
      <c r="E40" s="1225"/>
      <c r="F40" s="1244"/>
      <c r="G40" s="1226">
        <f>G38/0.9</f>
        <v>66.352569229552685</v>
      </c>
      <c r="H40" s="1209"/>
      <c r="I40" s="1209"/>
      <c r="J40" s="1209"/>
      <c r="K40" s="1209"/>
      <c r="L40" s="1209"/>
    </row>
    <row r="41" spans="1:12" ht="21" x14ac:dyDescent="0.35">
      <c r="A41" s="890"/>
      <c r="B41" s="168" t="s">
        <v>1426</v>
      </c>
      <c r="C41" s="1213"/>
      <c r="D41" s="1210"/>
      <c r="E41" s="1211"/>
      <c r="F41" s="1242"/>
      <c r="G41" s="1212">
        <f>-G28/G5</f>
        <v>7.3099338111368866</v>
      </c>
      <c r="H41" s="1209"/>
      <c r="I41" s="1209"/>
      <c r="J41" s="1209"/>
      <c r="K41" s="1209"/>
      <c r="L41" s="1209"/>
    </row>
    <row r="42" spans="1:12" s="8" customFormat="1" ht="21" x14ac:dyDescent="0.35">
      <c r="A42" s="195"/>
      <c r="B42" s="1222" t="s">
        <v>1427</v>
      </c>
      <c r="C42" s="1223"/>
      <c r="D42" s="1224"/>
      <c r="E42" s="1225"/>
      <c r="F42" s="1244"/>
      <c r="G42" s="1226">
        <f t="shared" ref="G42" si="6">G40+G41</f>
        <v>73.662503040689572</v>
      </c>
      <c r="H42" s="1209"/>
      <c r="I42" s="1209"/>
      <c r="J42" s="1209"/>
      <c r="K42" s="1209"/>
      <c r="L42" s="1209"/>
    </row>
    <row r="43" spans="1:12" ht="21" x14ac:dyDescent="0.35">
      <c r="A43" s="890"/>
      <c r="B43" s="168" t="s">
        <v>1428</v>
      </c>
      <c r="C43" s="1213"/>
      <c r="D43" s="1210"/>
      <c r="E43" s="1211"/>
      <c r="F43" s="1242"/>
      <c r="G43" s="1212">
        <f>-G29/G5</f>
        <v>8.9679194830765123</v>
      </c>
      <c r="H43" s="1209"/>
      <c r="I43" s="1209"/>
      <c r="J43" s="1209"/>
      <c r="K43" s="1209"/>
      <c r="L43" s="1209"/>
    </row>
    <row r="44" spans="1:12" s="8" customFormat="1" ht="21.75" thickBot="1" x14ac:dyDescent="0.4">
      <c r="A44" s="195"/>
      <c r="B44" s="1227" t="s">
        <v>1429</v>
      </c>
      <c r="C44" s="1228"/>
      <c r="D44" s="1229"/>
      <c r="E44" s="1230"/>
      <c r="F44" s="1246"/>
      <c r="G44" s="1231">
        <f>Sensitivities!F38</f>
        <v>82.6304225237661</v>
      </c>
      <c r="H44" s="1209"/>
      <c r="I44" s="1209"/>
      <c r="J44" s="1209"/>
      <c r="K44" s="1209"/>
      <c r="L44" s="1209"/>
    </row>
    <row r="45" spans="1:12" s="894" customFormat="1" ht="18.75" customHeight="1" x14ac:dyDescent="0.25">
      <c r="A45" s="1232"/>
      <c r="B45" s="1233"/>
      <c r="C45" s="1234"/>
      <c r="D45" s="1235"/>
      <c r="E45" s="1235"/>
      <c r="F45" s="1236" t="s">
        <v>1430</v>
      </c>
      <c r="G45" s="1236">
        <f>G44/(1-0.25)</f>
        <v>110.1738966983548</v>
      </c>
      <c r="H45" s="1236"/>
      <c r="I45" s="1235"/>
      <c r="J45" s="1235"/>
      <c r="K45" s="1235"/>
      <c r="L45" s="1235"/>
    </row>
    <row r="46" spans="1:12" s="894" customFormat="1" ht="18.75" customHeight="1" x14ac:dyDescent="0.25">
      <c r="A46" s="1232"/>
      <c r="B46" s="1233"/>
      <c r="C46" s="1234"/>
      <c r="D46" s="1235"/>
      <c r="E46" s="1235"/>
      <c r="F46" s="1236" t="s">
        <v>1431</v>
      </c>
      <c r="G46" s="1236">
        <f>G44/(1-0.33)</f>
        <v>123.32898884144196</v>
      </c>
      <c r="H46" s="1236"/>
      <c r="I46" s="1235"/>
      <c r="J46" s="1235"/>
      <c r="K46" s="1235"/>
      <c r="L46" s="1235"/>
    </row>
    <row r="47" spans="1:12" s="894" customFormat="1" ht="18.75" customHeight="1" x14ac:dyDescent="0.25">
      <c r="A47" s="1232"/>
      <c r="B47" s="1232"/>
      <c r="C47" s="1232"/>
      <c r="D47" s="895" t="s">
        <v>1432</v>
      </c>
      <c r="E47" s="895" t="s">
        <v>1432</v>
      </c>
      <c r="F47" s="1237">
        <f>G10</f>
        <v>80.101609816415433</v>
      </c>
      <c r="G47" s="1238">
        <f>(F47-G44)/F47</f>
        <v>-3.1570060990614837E-2</v>
      </c>
      <c r="H47" s="1239"/>
      <c r="I47" s="1240"/>
      <c r="J47" s="124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46"/>
  <sheetViews>
    <sheetView zoomScaleNormal="100" workbookViewId="0">
      <selection activeCell="C29" sqref="C29"/>
    </sheetView>
  </sheetViews>
  <sheetFormatPr defaultColWidth="9.140625" defaultRowHeight="15" x14ac:dyDescent="0.25"/>
  <cols>
    <col min="1" max="1" width="3" style="792" customWidth="1"/>
    <col min="2" max="2" width="38.85546875" style="792" bestFit="1" customWidth="1"/>
    <col min="3" max="6" width="10.140625" style="792" customWidth="1"/>
    <col min="7" max="7" width="5.28515625" style="792" bestFit="1" customWidth="1"/>
    <col min="8" max="8" width="12.7109375" style="792" customWidth="1"/>
    <col min="9" max="9" width="5.28515625" style="792" bestFit="1" customWidth="1"/>
    <col min="10" max="10" width="12.7109375" style="792" customWidth="1"/>
    <col min="11" max="11" width="4.7109375" style="792" customWidth="1"/>
    <col min="12" max="12" width="12.7109375" style="792" customWidth="1"/>
    <col min="13" max="13" width="4.7109375" style="792" customWidth="1"/>
    <col min="14" max="14" width="12.7109375" style="792" customWidth="1"/>
    <col min="15" max="15" width="4.7109375" style="792" customWidth="1"/>
    <col min="16" max="16" width="12.7109375" style="792" customWidth="1"/>
    <col min="17" max="17" width="12" style="792" bestFit="1" customWidth="1"/>
    <col min="18" max="18" width="12.7109375" style="792" customWidth="1"/>
    <col min="19" max="19" width="4.7109375" style="792" customWidth="1"/>
    <col min="20" max="20" width="12.7109375" style="792" customWidth="1"/>
    <col min="21" max="21" width="4.7109375" style="792" customWidth="1"/>
    <col min="22" max="22" width="12.7109375" style="792" customWidth="1"/>
    <col min="23" max="23" width="4.7109375" style="792" customWidth="1"/>
    <col min="24" max="24" width="12.7109375" style="792" customWidth="1"/>
    <col min="25" max="25" width="4.7109375" style="792" customWidth="1"/>
    <col min="26" max="26" width="12.7109375" style="792" customWidth="1"/>
    <col min="27" max="27" width="1" style="792" customWidth="1"/>
    <col min="28" max="28" width="7.28515625" style="792" customWidth="1"/>
    <col min="29" max="29" width="3" style="792" customWidth="1"/>
    <col min="30" max="16384" width="9.140625" style="792"/>
  </cols>
  <sheetData>
    <row r="1" spans="1:30" ht="23.25" x14ac:dyDescent="0.35">
      <c r="A1" s="316"/>
      <c r="B1" s="791" t="s">
        <v>649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24"/>
    </row>
    <row r="2" spans="1:30" ht="18.75" x14ac:dyDescent="0.3">
      <c r="A2" s="322"/>
      <c r="B2" s="323"/>
      <c r="C2" s="324"/>
      <c r="D2" s="324"/>
      <c r="E2" s="324"/>
      <c r="F2" s="324"/>
      <c r="G2" s="1398" t="s">
        <v>613</v>
      </c>
      <c r="H2" s="1399"/>
      <c r="I2" s="1398" t="s">
        <v>614</v>
      </c>
      <c r="J2" s="1399"/>
      <c r="K2" s="1398" t="s">
        <v>615</v>
      </c>
      <c r="L2" s="1399"/>
      <c r="M2" s="1398" t="s">
        <v>616</v>
      </c>
      <c r="N2" s="1399"/>
      <c r="O2" s="1398" t="s">
        <v>617</v>
      </c>
      <c r="P2" s="1399"/>
      <c r="Q2" s="1398" t="s">
        <v>618</v>
      </c>
      <c r="R2" s="1399"/>
      <c r="S2" s="1398" t="s">
        <v>619</v>
      </c>
      <c r="T2" s="1399"/>
      <c r="U2" s="1398" t="s">
        <v>620</v>
      </c>
      <c r="V2" s="1399"/>
      <c r="W2" s="1398" t="s">
        <v>621</v>
      </c>
      <c r="X2" s="1399"/>
      <c r="Y2" s="1398" t="s">
        <v>622</v>
      </c>
      <c r="Z2" s="1399"/>
      <c r="AA2" s="324"/>
      <c r="AB2" s="324"/>
      <c r="AC2" s="324"/>
    </row>
    <row r="3" spans="1:30" ht="36.75" x14ac:dyDescent="0.25">
      <c r="A3" s="322"/>
      <c r="B3" s="326" t="s">
        <v>623</v>
      </c>
      <c r="C3" s="793" t="s">
        <v>624</v>
      </c>
      <c r="D3" s="793" t="s">
        <v>625</v>
      </c>
      <c r="E3" s="793" t="s">
        <v>626</v>
      </c>
      <c r="F3" s="793" t="s">
        <v>627</v>
      </c>
      <c r="G3" s="1398"/>
      <c r="H3" s="1399"/>
      <c r="I3" s="1398"/>
      <c r="J3" s="1399"/>
      <c r="K3" s="1398"/>
      <c r="L3" s="1399"/>
      <c r="M3" s="1398"/>
      <c r="N3" s="1399"/>
      <c r="O3" s="1398"/>
      <c r="P3" s="1399"/>
      <c r="Q3" s="1398"/>
      <c r="R3" s="1399"/>
      <c r="S3" s="1398"/>
      <c r="T3" s="1399"/>
      <c r="U3" s="1398"/>
      <c r="V3" s="1399"/>
      <c r="W3" s="1398"/>
      <c r="X3" s="1399"/>
      <c r="Y3" s="1398"/>
      <c r="Z3" s="1399"/>
      <c r="AA3" s="794"/>
      <c r="AB3" s="324"/>
      <c r="AC3" s="324"/>
    </row>
    <row r="4" spans="1:30" x14ac:dyDescent="0.25">
      <c r="A4" s="322"/>
      <c r="B4" s="326"/>
      <c r="C4" s="793"/>
      <c r="D4" s="793"/>
      <c r="E4" s="793"/>
      <c r="F4" s="793"/>
      <c r="G4" s="795">
        <v>0.1</v>
      </c>
      <c r="H4" s="796">
        <v>1.0620000000000001</v>
      </c>
      <c r="I4" s="795">
        <v>0.1</v>
      </c>
      <c r="J4" s="797">
        <f>H4*1.1</f>
        <v>1.1682000000000001</v>
      </c>
      <c r="K4" s="798">
        <v>0.1</v>
      </c>
      <c r="L4" s="797">
        <f>J4*1.1</f>
        <v>1.2850200000000003</v>
      </c>
      <c r="M4" s="798">
        <v>0.1</v>
      </c>
      <c r="N4" s="796">
        <f>L4*1.1</f>
        <v>1.4135220000000004</v>
      </c>
      <c r="O4" s="798">
        <v>0.1</v>
      </c>
      <c r="P4" s="796">
        <f>N4*1.1</f>
        <v>1.5548742000000007</v>
      </c>
      <c r="Q4" s="798">
        <v>0.1</v>
      </c>
      <c r="R4" s="796">
        <f>P4*1.1</f>
        <v>1.7103616200000009</v>
      </c>
      <c r="S4" s="798">
        <v>0.1</v>
      </c>
      <c r="T4" s="796">
        <f>R4*1.1</f>
        <v>1.8813977820000012</v>
      </c>
      <c r="U4" s="798">
        <v>0.1</v>
      </c>
      <c r="V4" s="796">
        <f>T4*1.1</f>
        <v>2.0695375602000015</v>
      </c>
      <c r="W4" s="798">
        <v>0.1</v>
      </c>
      <c r="X4" s="796">
        <f>V4*1.1</f>
        <v>2.2764913162200018</v>
      </c>
      <c r="Y4" s="798">
        <v>0.1</v>
      </c>
      <c r="Z4" s="797">
        <f>X4*1.1</f>
        <v>2.5041404478420022</v>
      </c>
      <c r="AA4" s="794"/>
      <c r="AB4" s="324"/>
      <c r="AC4" s="324"/>
    </row>
    <row r="5" spans="1:30" x14ac:dyDescent="0.25">
      <c r="A5" s="322"/>
      <c r="B5" s="884" t="s">
        <v>668</v>
      </c>
      <c r="C5" s="896">
        <v>7.5</v>
      </c>
      <c r="D5" s="799">
        <v>0.81</v>
      </c>
      <c r="E5" s="328">
        <v>24</v>
      </c>
      <c r="F5" s="328">
        <f t="shared" ref="F5:F13" si="0">C5*D5*E5*31</f>
        <v>4519.8</v>
      </c>
      <c r="G5" s="328">
        <v>0</v>
      </c>
      <c r="H5" s="328">
        <f>F5*G5*$H$4</f>
        <v>0</v>
      </c>
      <c r="I5" s="328">
        <v>1</v>
      </c>
      <c r="J5" s="328">
        <f>F5*I5*$J$4</f>
        <v>5280.0303600000007</v>
      </c>
      <c r="K5" s="328">
        <v>1</v>
      </c>
      <c r="L5" s="328">
        <f>F5*K5*$L$4</f>
        <v>5808.0333960000016</v>
      </c>
      <c r="M5" s="328">
        <v>1</v>
      </c>
      <c r="N5" s="328">
        <f>F5*M5*$N$4</f>
        <v>6388.8367356000017</v>
      </c>
      <c r="O5" s="328">
        <v>1</v>
      </c>
      <c r="P5" s="328">
        <f>F5*O5*$P$4</f>
        <v>7027.7204091600033</v>
      </c>
      <c r="Q5" s="328">
        <v>1</v>
      </c>
      <c r="R5" s="328">
        <f>F5*Q5*$R$4</f>
        <v>7730.4924500760044</v>
      </c>
      <c r="S5" s="328">
        <v>1</v>
      </c>
      <c r="T5" s="328">
        <f>F5*S5*$T$4</f>
        <v>8503.5416950836061</v>
      </c>
      <c r="U5" s="328">
        <v>1</v>
      </c>
      <c r="V5" s="328">
        <f>F5*U5*$V$4</f>
        <v>9353.8958645919665</v>
      </c>
      <c r="W5" s="328">
        <v>1</v>
      </c>
      <c r="X5" s="328">
        <f>F5*W5*$X$4</f>
        <v>10289.285451051164</v>
      </c>
      <c r="Y5" s="328">
        <v>1</v>
      </c>
      <c r="Z5" s="328">
        <f>F5*Y5*$Z$4</f>
        <v>11318.213996156283</v>
      </c>
      <c r="AA5" s="794"/>
      <c r="AB5" s="324"/>
      <c r="AC5" s="324"/>
    </row>
    <row r="6" spans="1:30" x14ac:dyDescent="0.25">
      <c r="A6" s="322"/>
      <c r="B6" s="884" t="s">
        <v>650</v>
      </c>
      <c r="C6" s="904">
        <v>0.75</v>
      </c>
      <c r="D6" s="799">
        <v>0.81</v>
      </c>
      <c r="E6" s="328">
        <v>24</v>
      </c>
      <c r="F6" s="328">
        <f t="shared" si="0"/>
        <v>451.98000000000008</v>
      </c>
      <c r="G6" s="328">
        <v>0</v>
      </c>
      <c r="H6" s="328">
        <f t="shared" ref="H6:H17" si="1">F6*G6*$H$4</f>
        <v>0</v>
      </c>
      <c r="I6" s="328">
        <v>1</v>
      </c>
      <c r="J6" s="328">
        <f t="shared" ref="J6:J16" si="2">F6*I6*$J$4</f>
        <v>528.00303600000018</v>
      </c>
      <c r="K6" s="328">
        <v>1</v>
      </c>
      <c r="L6" s="328">
        <f t="shared" ref="L6:L20" si="3">F6*K6*$L$4</f>
        <v>580.80333960000019</v>
      </c>
      <c r="M6" s="328">
        <v>1</v>
      </c>
      <c r="N6" s="328">
        <f t="shared" ref="N6:N20" si="4">F6*M6*$N$4</f>
        <v>638.88367356000026</v>
      </c>
      <c r="O6" s="328">
        <v>1</v>
      </c>
      <c r="P6" s="328">
        <f t="shared" ref="P6:P20" si="5">F6*O6*$P$4</f>
        <v>702.77204091600038</v>
      </c>
      <c r="Q6" s="328">
        <v>1</v>
      </c>
      <c r="R6" s="328">
        <f t="shared" ref="R6:R20" si="6">F6*Q6*$R$4</f>
        <v>773.04924500760058</v>
      </c>
      <c r="S6" s="328">
        <v>1</v>
      </c>
      <c r="T6" s="328">
        <f t="shared" ref="T6:T20" si="7">F6*S6*$T$4</f>
        <v>850.35416950836066</v>
      </c>
      <c r="U6" s="328">
        <v>1</v>
      </c>
      <c r="V6" s="328">
        <f t="shared" ref="V6:V20" si="8">F6*U6*$V$4</f>
        <v>935.38958645919683</v>
      </c>
      <c r="W6" s="328">
        <v>1</v>
      </c>
      <c r="X6" s="328">
        <f t="shared" ref="X6:X20" si="9">F6*W6*$X$4</f>
        <v>1028.9285451051167</v>
      </c>
      <c r="Y6" s="328">
        <v>1</v>
      </c>
      <c r="Z6" s="328">
        <f t="shared" ref="Z6:Z20" si="10">F6*Y6*$Z$4</f>
        <v>1131.8213996156283</v>
      </c>
      <c r="AA6" s="794"/>
      <c r="AB6" s="324"/>
      <c r="AC6" s="324"/>
    </row>
    <row r="7" spans="1:30" x14ac:dyDescent="0.25">
      <c r="A7" s="892"/>
      <c r="B7" s="884" t="s">
        <v>1379</v>
      </c>
      <c r="C7" s="904">
        <v>3</v>
      </c>
      <c r="D7" s="799">
        <v>0.81</v>
      </c>
      <c r="E7" s="328">
        <v>24</v>
      </c>
      <c r="F7" s="328">
        <f t="shared" si="0"/>
        <v>1807.9200000000003</v>
      </c>
      <c r="G7" s="328"/>
      <c r="H7" s="328"/>
      <c r="I7" s="328">
        <v>1</v>
      </c>
      <c r="J7" s="328">
        <f t="shared" ref="J7:J10" si="11">F7*I7*$J$4</f>
        <v>2112.0121440000007</v>
      </c>
      <c r="K7" s="328">
        <v>1</v>
      </c>
      <c r="L7" s="328">
        <f t="shared" ref="L7:L10" si="12">F7*K7*$L$4</f>
        <v>2323.2133584000007</v>
      </c>
      <c r="M7" s="328">
        <v>1</v>
      </c>
      <c r="N7" s="328">
        <f t="shared" ref="N7:N10" si="13">F7*M7*$N$4</f>
        <v>2555.534694240001</v>
      </c>
      <c r="O7" s="328">
        <v>1</v>
      </c>
      <c r="P7" s="328">
        <f t="shared" ref="P7:P10" si="14">F7*O7*$P$4</f>
        <v>2811.0881636640015</v>
      </c>
      <c r="Q7" s="328">
        <v>1</v>
      </c>
      <c r="R7" s="328">
        <f t="shared" ref="R7:R10" si="15">F7*Q7*$R$4</f>
        <v>3092.1969800304023</v>
      </c>
      <c r="S7" s="328">
        <v>1</v>
      </c>
      <c r="T7" s="328">
        <f t="shared" ref="T7:T10" si="16">F7*S7*$T$4</f>
        <v>3401.4166780334426</v>
      </c>
      <c r="U7" s="328">
        <v>1</v>
      </c>
      <c r="V7" s="328">
        <f t="shared" ref="V7:V10" si="17">F7*U7*$V$4</f>
        <v>3741.5583458367873</v>
      </c>
      <c r="W7" s="328">
        <v>1</v>
      </c>
      <c r="X7" s="328">
        <f t="shared" ref="X7:X10" si="18">F7*W7*$X$4</f>
        <v>4115.7141804204666</v>
      </c>
      <c r="Y7" s="328">
        <v>1</v>
      </c>
      <c r="Z7" s="328">
        <f t="shared" ref="Z7:Z10" si="19">F7*Y7*$Z$4</f>
        <v>4527.285598462513</v>
      </c>
      <c r="AA7" s="794"/>
      <c r="AB7" s="893"/>
      <c r="AC7" s="893"/>
    </row>
    <row r="8" spans="1:30" x14ac:dyDescent="0.25">
      <c r="A8" s="892"/>
      <c r="B8" s="884" t="s">
        <v>1436</v>
      </c>
      <c r="C8" s="328">
        <v>1</v>
      </c>
      <c r="D8" s="799">
        <v>0.81</v>
      </c>
      <c r="E8" s="328">
        <v>12</v>
      </c>
      <c r="F8" s="328">
        <f t="shared" si="0"/>
        <v>301.32</v>
      </c>
      <c r="G8" s="328"/>
      <c r="H8" s="328"/>
      <c r="I8" s="328">
        <v>1</v>
      </c>
      <c r="J8" s="328">
        <f t="shared" si="11"/>
        <v>352.00202400000001</v>
      </c>
      <c r="K8" s="328">
        <v>1</v>
      </c>
      <c r="L8" s="328">
        <f t="shared" si="12"/>
        <v>387.20222640000009</v>
      </c>
      <c r="M8" s="328">
        <v>1</v>
      </c>
      <c r="N8" s="328">
        <f t="shared" si="13"/>
        <v>425.92244904000012</v>
      </c>
      <c r="O8" s="328">
        <v>1</v>
      </c>
      <c r="P8" s="328">
        <f t="shared" si="14"/>
        <v>468.51469394400016</v>
      </c>
      <c r="Q8" s="328">
        <v>1</v>
      </c>
      <c r="R8" s="328">
        <f t="shared" si="15"/>
        <v>515.36616333840027</v>
      </c>
      <c r="S8" s="328">
        <v>1</v>
      </c>
      <c r="T8" s="328">
        <f t="shared" si="16"/>
        <v>566.9027796722404</v>
      </c>
      <c r="U8" s="328">
        <v>1</v>
      </c>
      <c r="V8" s="328">
        <f t="shared" si="17"/>
        <v>623.5930576394644</v>
      </c>
      <c r="W8" s="328">
        <v>1</v>
      </c>
      <c r="X8" s="328">
        <f t="shared" si="18"/>
        <v>685.95236340341091</v>
      </c>
      <c r="Y8" s="328">
        <v>1</v>
      </c>
      <c r="Z8" s="328">
        <f t="shared" si="19"/>
        <v>754.54759974375213</v>
      </c>
      <c r="AA8" s="893"/>
      <c r="AB8" s="893"/>
      <c r="AC8" s="893"/>
    </row>
    <row r="9" spans="1:30" x14ac:dyDescent="0.25">
      <c r="A9" s="892"/>
      <c r="B9" s="884" t="s">
        <v>1437</v>
      </c>
      <c r="C9" s="328">
        <v>4.0999999999999996</v>
      </c>
      <c r="D9" s="799">
        <v>0.81</v>
      </c>
      <c r="E9" s="328">
        <v>12</v>
      </c>
      <c r="F9" s="328">
        <f t="shared" si="0"/>
        <v>1235.4119999999998</v>
      </c>
      <c r="G9" s="328"/>
      <c r="H9" s="328"/>
      <c r="I9" s="328">
        <v>1</v>
      </c>
      <c r="J9" s="328">
        <f t="shared" si="11"/>
        <v>1443.2082983999999</v>
      </c>
      <c r="K9" s="328">
        <v>1</v>
      </c>
      <c r="L9" s="328">
        <f t="shared" si="12"/>
        <v>1587.5291282400001</v>
      </c>
      <c r="M9" s="328">
        <v>1</v>
      </c>
      <c r="N9" s="328">
        <f t="shared" si="13"/>
        <v>1746.2820410640002</v>
      </c>
      <c r="O9" s="328">
        <v>1</v>
      </c>
      <c r="P9" s="328">
        <f t="shared" si="14"/>
        <v>1920.9102451704005</v>
      </c>
      <c r="Q9" s="328">
        <v>1</v>
      </c>
      <c r="R9" s="328">
        <f t="shared" si="15"/>
        <v>2113.001269687441</v>
      </c>
      <c r="S9" s="328">
        <v>1</v>
      </c>
      <c r="T9" s="328">
        <f t="shared" si="16"/>
        <v>2324.3013966561853</v>
      </c>
      <c r="U9" s="328">
        <v>1</v>
      </c>
      <c r="V9" s="328">
        <f t="shared" si="17"/>
        <v>2556.731536321804</v>
      </c>
      <c r="W9" s="328">
        <v>1</v>
      </c>
      <c r="X9" s="328">
        <f t="shared" si="18"/>
        <v>2812.4046899539844</v>
      </c>
      <c r="Y9" s="328">
        <v>1</v>
      </c>
      <c r="Z9" s="328">
        <f t="shared" si="19"/>
        <v>3093.6451589493831</v>
      </c>
      <c r="AA9" s="893">
        <v>1</v>
      </c>
      <c r="AB9" s="893"/>
      <c r="AC9" s="893"/>
    </row>
    <row r="10" spans="1:30" x14ac:dyDescent="0.25">
      <c r="A10" s="892"/>
      <c r="B10" s="884" t="s">
        <v>1438</v>
      </c>
      <c r="C10" s="328">
        <v>4.0999999999999996</v>
      </c>
      <c r="D10" s="799">
        <v>0.81</v>
      </c>
      <c r="E10" s="328">
        <v>12</v>
      </c>
      <c r="F10" s="328">
        <f t="shared" si="0"/>
        <v>1235.4119999999998</v>
      </c>
      <c r="G10" s="328"/>
      <c r="H10" s="328"/>
      <c r="I10" s="328">
        <v>1</v>
      </c>
      <c r="J10" s="328">
        <f t="shared" si="11"/>
        <v>1443.2082983999999</v>
      </c>
      <c r="K10" s="328">
        <v>1</v>
      </c>
      <c r="L10" s="328">
        <f t="shared" si="12"/>
        <v>1587.5291282400001</v>
      </c>
      <c r="M10" s="328">
        <v>1</v>
      </c>
      <c r="N10" s="328">
        <f t="shared" si="13"/>
        <v>1746.2820410640002</v>
      </c>
      <c r="O10" s="328">
        <v>1</v>
      </c>
      <c r="P10" s="328">
        <f t="shared" si="14"/>
        <v>1920.9102451704005</v>
      </c>
      <c r="Q10" s="328">
        <v>1</v>
      </c>
      <c r="R10" s="328">
        <f t="shared" si="15"/>
        <v>2113.001269687441</v>
      </c>
      <c r="S10" s="328">
        <v>1</v>
      </c>
      <c r="T10" s="328">
        <f t="shared" si="16"/>
        <v>2324.3013966561853</v>
      </c>
      <c r="U10" s="328">
        <v>1</v>
      </c>
      <c r="V10" s="328">
        <f t="shared" si="17"/>
        <v>2556.731536321804</v>
      </c>
      <c r="W10" s="328">
        <v>1</v>
      </c>
      <c r="X10" s="328">
        <f t="shared" si="18"/>
        <v>2812.4046899539844</v>
      </c>
      <c r="Y10" s="328">
        <v>1</v>
      </c>
      <c r="Z10" s="328">
        <f t="shared" si="19"/>
        <v>3093.6451589493831</v>
      </c>
      <c r="AA10" s="893"/>
      <c r="AB10" s="893"/>
      <c r="AC10" s="893"/>
    </row>
    <row r="11" spans="1:30" x14ac:dyDescent="0.25">
      <c r="A11" s="322"/>
      <c r="B11" s="884" t="s">
        <v>1265</v>
      </c>
      <c r="C11" s="896">
        <v>4.5</v>
      </c>
      <c r="D11" s="799">
        <v>0.81</v>
      </c>
      <c r="E11" s="328">
        <v>24</v>
      </c>
      <c r="F11" s="328">
        <f t="shared" si="0"/>
        <v>2711.8800000000006</v>
      </c>
      <c r="G11" s="328"/>
      <c r="H11" s="328"/>
      <c r="I11" s="328">
        <v>1</v>
      </c>
      <c r="J11" s="328">
        <f t="shared" si="2"/>
        <v>3168.0182160000008</v>
      </c>
      <c r="K11" s="328">
        <v>1</v>
      </c>
      <c r="L11" s="328">
        <f t="shared" si="3"/>
        <v>3484.8200376000013</v>
      </c>
      <c r="M11" s="328">
        <v>1</v>
      </c>
      <c r="N11" s="328">
        <f t="shared" si="4"/>
        <v>3833.302041360002</v>
      </c>
      <c r="O11" s="328">
        <v>1</v>
      </c>
      <c r="P11" s="328">
        <f t="shared" si="5"/>
        <v>4216.6322454960027</v>
      </c>
      <c r="Q11" s="328">
        <v>1</v>
      </c>
      <c r="R11" s="328">
        <f t="shared" si="6"/>
        <v>4638.295470045603</v>
      </c>
      <c r="S11" s="328">
        <v>1</v>
      </c>
      <c r="T11" s="328">
        <f t="shared" si="7"/>
        <v>5102.1250170501644</v>
      </c>
      <c r="U11" s="328">
        <v>1</v>
      </c>
      <c r="V11" s="328">
        <f t="shared" si="8"/>
        <v>5612.337518755181</v>
      </c>
      <c r="W11" s="328">
        <v>1</v>
      </c>
      <c r="X11" s="328">
        <f t="shared" si="9"/>
        <v>6173.5712706306995</v>
      </c>
      <c r="Y11" s="328">
        <v>1</v>
      </c>
      <c r="Z11" s="328">
        <f t="shared" si="10"/>
        <v>6790.9283976937704</v>
      </c>
      <c r="AA11" s="324"/>
      <c r="AB11" s="324"/>
      <c r="AC11" s="324"/>
    </row>
    <row r="12" spans="1:30" x14ac:dyDescent="0.25">
      <c r="A12" s="892"/>
      <c r="B12" s="884" t="s">
        <v>1268</v>
      </c>
      <c r="C12" s="896">
        <v>0.8</v>
      </c>
      <c r="D12" s="799">
        <v>0.81</v>
      </c>
      <c r="E12" s="328">
        <v>24</v>
      </c>
      <c r="F12" s="328">
        <f t="shared" si="0"/>
        <v>482.11200000000008</v>
      </c>
      <c r="G12" s="328"/>
      <c r="H12" s="328"/>
      <c r="I12" s="328">
        <v>1</v>
      </c>
      <c r="J12" s="328">
        <f t="shared" ref="J12" si="20">F12*I12*$J$4</f>
        <v>563.20323840000015</v>
      </c>
      <c r="K12" s="328">
        <v>1</v>
      </c>
      <c r="L12" s="328">
        <f t="shared" ref="L12" si="21">F12*K12*$L$4</f>
        <v>619.52356224000027</v>
      </c>
      <c r="M12" s="328">
        <v>1</v>
      </c>
      <c r="N12" s="328">
        <f t="shared" ref="N12" si="22">F12*M12*$N$4</f>
        <v>681.4759184640003</v>
      </c>
      <c r="O12" s="328">
        <v>1</v>
      </c>
      <c r="P12" s="328">
        <f t="shared" ref="P12" si="23">F12*O12*$P$4</f>
        <v>749.62351031040043</v>
      </c>
      <c r="Q12" s="328">
        <v>1</v>
      </c>
      <c r="R12" s="328">
        <f t="shared" ref="R12" si="24">F12*Q12*$R$4</f>
        <v>824.58586134144059</v>
      </c>
      <c r="S12" s="328">
        <v>1</v>
      </c>
      <c r="T12" s="328">
        <f t="shared" ref="T12" si="25">F12*S12*$T$4</f>
        <v>907.04444747558478</v>
      </c>
      <c r="U12" s="328">
        <v>1</v>
      </c>
      <c r="V12" s="328">
        <f t="shared" ref="V12" si="26">F12*U12*$V$4</f>
        <v>997.74889222314323</v>
      </c>
      <c r="W12" s="328">
        <v>1</v>
      </c>
      <c r="X12" s="328">
        <f t="shared" ref="X12" si="27">F12*W12*$X$4</f>
        <v>1097.5237814454576</v>
      </c>
      <c r="Y12" s="328">
        <v>1</v>
      </c>
      <c r="Z12" s="328">
        <f t="shared" ref="Z12" si="28">F12*Y12*$Z$4</f>
        <v>1207.2761595900035</v>
      </c>
      <c r="AA12" s="893"/>
      <c r="AB12" s="893"/>
      <c r="AC12" s="893"/>
    </row>
    <row r="13" spans="1:30" x14ac:dyDescent="0.25">
      <c r="A13" s="892"/>
      <c r="B13" s="884" t="s">
        <v>712</v>
      </c>
      <c r="C13" s="896">
        <v>1.5</v>
      </c>
      <c r="D13" s="799">
        <v>0.81</v>
      </c>
      <c r="E13" s="328">
        <v>24</v>
      </c>
      <c r="F13" s="328">
        <f t="shared" si="0"/>
        <v>903.96000000000015</v>
      </c>
      <c r="G13" s="328"/>
      <c r="H13" s="328"/>
      <c r="I13" s="328">
        <v>1</v>
      </c>
      <c r="J13" s="328">
        <f t="shared" si="2"/>
        <v>1056.0060720000004</v>
      </c>
      <c r="K13" s="328">
        <v>1</v>
      </c>
      <c r="L13" s="328">
        <f t="shared" si="3"/>
        <v>1161.6066792000004</v>
      </c>
      <c r="M13" s="328">
        <v>1</v>
      </c>
      <c r="N13" s="328">
        <f t="shared" si="4"/>
        <v>1277.7673471200005</v>
      </c>
      <c r="O13" s="328">
        <v>1</v>
      </c>
      <c r="P13" s="328">
        <f t="shared" si="5"/>
        <v>1405.5440818320008</v>
      </c>
      <c r="Q13" s="328">
        <v>1</v>
      </c>
      <c r="R13" s="328">
        <f t="shared" si="6"/>
        <v>1546.0984900152012</v>
      </c>
      <c r="S13" s="328">
        <v>1</v>
      </c>
      <c r="T13" s="328">
        <f t="shared" si="7"/>
        <v>1700.7083390167213</v>
      </c>
      <c r="U13" s="328">
        <v>1</v>
      </c>
      <c r="V13" s="328">
        <f t="shared" si="8"/>
        <v>1870.7791729183937</v>
      </c>
      <c r="W13" s="328">
        <v>1</v>
      </c>
      <c r="X13" s="328">
        <f t="shared" si="9"/>
        <v>2057.8570902102333</v>
      </c>
      <c r="Y13" s="328">
        <v>1</v>
      </c>
      <c r="Z13" s="328">
        <f t="shared" si="10"/>
        <v>2263.6427992312565</v>
      </c>
      <c r="AA13" s="893"/>
      <c r="AB13" s="893"/>
      <c r="AC13" s="893"/>
    </row>
    <row r="14" spans="1:30" ht="15.75" x14ac:dyDescent="0.25">
      <c r="A14" s="322"/>
      <c r="B14" s="884" t="s">
        <v>1266</v>
      </c>
      <c r="C14" s="904">
        <v>0.55000000000000004</v>
      </c>
      <c r="D14" s="799">
        <v>0.81</v>
      </c>
      <c r="E14" s="328">
        <v>24</v>
      </c>
      <c r="F14" s="328">
        <f t="shared" ref="F14:F17" si="29">C14*D14*E14*31</f>
        <v>331.45200000000006</v>
      </c>
      <c r="G14" s="328">
        <v>0</v>
      </c>
      <c r="H14" s="328">
        <f t="shared" si="1"/>
        <v>0</v>
      </c>
      <c r="I14" s="328">
        <v>2</v>
      </c>
      <c r="J14" s="328">
        <f t="shared" si="2"/>
        <v>774.40445280000017</v>
      </c>
      <c r="K14" s="328">
        <v>1</v>
      </c>
      <c r="L14" s="328">
        <f t="shared" si="3"/>
        <v>425.92244904000017</v>
      </c>
      <c r="M14" s="328">
        <v>1</v>
      </c>
      <c r="N14" s="328">
        <f t="shared" si="4"/>
        <v>468.51469394400021</v>
      </c>
      <c r="O14" s="328">
        <v>1</v>
      </c>
      <c r="P14" s="328">
        <f t="shared" si="5"/>
        <v>515.36616333840027</v>
      </c>
      <c r="Q14" s="328">
        <v>1</v>
      </c>
      <c r="R14" s="328">
        <f t="shared" si="6"/>
        <v>566.9027796722404</v>
      </c>
      <c r="S14" s="328">
        <v>1</v>
      </c>
      <c r="T14" s="328">
        <f t="shared" si="7"/>
        <v>623.59305763946452</v>
      </c>
      <c r="U14" s="328">
        <v>1</v>
      </c>
      <c r="V14" s="328">
        <f t="shared" si="8"/>
        <v>685.95236340341103</v>
      </c>
      <c r="W14" s="328">
        <v>1</v>
      </c>
      <c r="X14" s="328">
        <f t="shared" si="9"/>
        <v>754.54759974375213</v>
      </c>
      <c r="Y14" s="328">
        <v>1</v>
      </c>
      <c r="Z14" s="328">
        <f t="shared" si="10"/>
        <v>830.00235971812742</v>
      </c>
      <c r="AA14" s="324"/>
      <c r="AB14" s="324"/>
      <c r="AC14" s="324"/>
    </row>
    <row r="15" spans="1:30" x14ac:dyDescent="0.25">
      <c r="A15" s="322"/>
      <c r="B15" s="884" t="s">
        <v>713</v>
      </c>
      <c r="C15" s="904">
        <v>2.2000000000000002</v>
      </c>
      <c r="D15" s="799">
        <v>0.81</v>
      </c>
      <c r="E15" s="328">
        <v>24</v>
      </c>
      <c r="F15" s="328">
        <f t="shared" si="29"/>
        <v>1325.8080000000002</v>
      </c>
      <c r="G15" s="328"/>
      <c r="H15" s="328"/>
      <c r="I15" s="328">
        <v>2</v>
      </c>
      <c r="J15" s="328">
        <f t="shared" si="2"/>
        <v>3097.6178112000007</v>
      </c>
      <c r="K15" s="328">
        <v>1</v>
      </c>
      <c r="L15" s="328">
        <f t="shared" si="3"/>
        <v>1703.6897961600007</v>
      </c>
      <c r="M15" s="328">
        <v>1</v>
      </c>
      <c r="N15" s="328">
        <f t="shared" si="4"/>
        <v>1874.0587757760009</v>
      </c>
      <c r="O15" s="328">
        <v>1</v>
      </c>
      <c r="P15" s="328">
        <f t="shared" si="5"/>
        <v>2061.4646533536011</v>
      </c>
      <c r="Q15" s="328">
        <v>1</v>
      </c>
      <c r="R15" s="328">
        <f t="shared" si="6"/>
        <v>2267.6111186889616</v>
      </c>
      <c r="S15" s="328">
        <v>1</v>
      </c>
      <c r="T15" s="328">
        <f t="shared" si="7"/>
        <v>2494.3722305578581</v>
      </c>
      <c r="U15" s="328">
        <v>1</v>
      </c>
      <c r="V15" s="328">
        <f t="shared" si="8"/>
        <v>2743.8094536136441</v>
      </c>
      <c r="W15" s="328">
        <v>1</v>
      </c>
      <c r="X15" s="328">
        <f t="shared" si="9"/>
        <v>3018.1903989750085</v>
      </c>
      <c r="Y15" s="328">
        <v>1</v>
      </c>
      <c r="Z15" s="328">
        <f t="shared" si="10"/>
        <v>3320.0094388725097</v>
      </c>
      <c r="AA15" s="324"/>
      <c r="AB15" s="324"/>
      <c r="AC15" s="324"/>
      <c r="AD15" s="800"/>
    </row>
    <row r="16" spans="1:30" x14ac:dyDescent="0.25">
      <c r="A16" s="322"/>
      <c r="B16" s="884" t="s">
        <v>710</v>
      </c>
      <c r="C16" s="904">
        <v>1.5</v>
      </c>
      <c r="D16" s="799">
        <v>0.81</v>
      </c>
      <c r="E16" s="328">
        <v>24</v>
      </c>
      <c r="F16" s="328">
        <f t="shared" si="29"/>
        <v>903.96000000000015</v>
      </c>
      <c r="G16" s="328"/>
      <c r="H16" s="328"/>
      <c r="I16" s="328">
        <v>2</v>
      </c>
      <c r="J16" s="328">
        <f t="shared" si="2"/>
        <v>2112.0121440000007</v>
      </c>
      <c r="K16" s="328">
        <v>2</v>
      </c>
      <c r="L16" s="328">
        <f t="shared" si="3"/>
        <v>2323.2133584000007</v>
      </c>
      <c r="M16" s="328">
        <v>2</v>
      </c>
      <c r="N16" s="328">
        <f t="shared" si="4"/>
        <v>2555.534694240001</v>
      </c>
      <c r="O16" s="328">
        <v>2</v>
      </c>
      <c r="P16" s="328">
        <f t="shared" si="5"/>
        <v>2811.0881636640015</v>
      </c>
      <c r="Q16" s="328">
        <v>2</v>
      </c>
      <c r="R16" s="328">
        <f t="shared" si="6"/>
        <v>3092.1969800304023</v>
      </c>
      <c r="S16" s="328">
        <v>2</v>
      </c>
      <c r="T16" s="328">
        <f t="shared" si="7"/>
        <v>3401.4166780334426</v>
      </c>
      <c r="U16" s="328">
        <v>2</v>
      </c>
      <c r="V16" s="328">
        <f t="shared" si="8"/>
        <v>3741.5583458367873</v>
      </c>
      <c r="W16" s="328">
        <v>2</v>
      </c>
      <c r="X16" s="328">
        <f t="shared" si="9"/>
        <v>4115.7141804204666</v>
      </c>
      <c r="Y16" s="328">
        <v>2</v>
      </c>
      <c r="Z16" s="328">
        <f t="shared" si="10"/>
        <v>4527.285598462513</v>
      </c>
      <c r="AA16" s="324"/>
      <c r="AB16" s="324"/>
      <c r="AC16" s="324"/>
      <c r="AD16" s="800"/>
    </row>
    <row r="17" spans="1:30" x14ac:dyDescent="0.25">
      <c r="A17" s="322"/>
      <c r="B17" s="327" t="s">
        <v>628</v>
      </c>
      <c r="C17" s="328">
        <v>4.0999999999999996</v>
      </c>
      <c r="D17" s="799">
        <v>0.81</v>
      </c>
      <c r="E17" s="328">
        <v>24</v>
      </c>
      <c r="F17" s="328">
        <f t="shared" si="29"/>
        <v>2470.8239999999996</v>
      </c>
      <c r="G17" s="328">
        <v>0</v>
      </c>
      <c r="H17" s="328">
        <f t="shared" si="1"/>
        <v>0</v>
      </c>
      <c r="I17" s="328">
        <v>1</v>
      </c>
      <c r="J17" s="328">
        <f t="shared" ref="J17" si="30">F17*I17*$J$4</f>
        <v>2886.4165967999998</v>
      </c>
      <c r="K17" s="328">
        <v>1</v>
      </c>
      <c r="L17" s="328">
        <f t="shared" si="3"/>
        <v>3175.0582564800002</v>
      </c>
      <c r="M17" s="328">
        <v>1</v>
      </c>
      <c r="N17" s="328">
        <f t="shared" si="4"/>
        <v>3492.5640821280003</v>
      </c>
      <c r="O17" s="328">
        <v>1</v>
      </c>
      <c r="P17" s="328">
        <f t="shared" si="5"/>
        <v>3841.8204903408009</v>
      </c>
      <c r="Q17" s="328">
        <v>1</v>
      </c>
      <c r="R17" s="328">
        <f t="shared" si="6"/>
        <v>4226.002539374882</v>
      </c>
      <c r="S17" s="328">
        <v>1</v>
      </c>
      <c r="T17" s="328">
        <f t="shared" si="7"/>
        <v>4648.6027933123705</v>
      </c>
      <c r="U17" s="328">
        <v>1</v>
      </c>
      <c r="V17" s="328">
        <f t="shared" si="8"/>
        <v>5113.463072643608</v>
      </c>
      <c r="W17" s="328">
        <v>1</v>
      </c>
      <c r="X17" s="328">
        <f t="shared" si="9"/>
        <v>5624.8093799079688</v>
      </c>
      <c r="Y17" s="328">
        <v>1</v>
      </c>
      <c r="Z17" s="328">
        <f t="shared" si="10"/>
        <v>6187.2903178987663</v>
      </c>
      <c r="AA17" s="324"/>
      <c r="AB17" s="324"/>
      <c r="AC17" s="324"/>
      <c r="AD17" s="800"/>
    </row>
    <row r="18" spans="1:30" ht="17.25" customHeight="1" x14ac:dyDescent="0.25">
      <c r="A18" s="322"/>
      <c r="B18" s="327" t="s">
        <v>1267</v>
      </c>
      <c r="C18" s="328">
        <v>20</v>
      </c>
      <c r="D18" s="799">
        <v>0.81</v>
      </c>
      <c r="E18" s="328">
        <v>24</v>
      </c>
      <c r="F18" s="328">
        <f>C18*D18*E18*31</f>
        <v>12052.800000000003</v>
      </c>
      <c r="G18" s="328"/>
      <c r="H18" s="328">
        <v>0</v>
      </c>
      <c r="I18" s="328"/>
      <c r="J18" s="328">
        <v>0</v>
      </c>
      <c r="K18" s="328">
        <v>1</v>
      </c>
      <c r="L18" s="328">
        <f t="shared" si="3"/>
        <v>15488.089056000006</v>
      </c>
      <c r="M18" s="328">
        <v>1</v>
      </c>
      <c r="N18" s="328">
        <f t="shared" si="4"/>
        <v>17036.897961600011</v>
      </c>
      <c r="O18" s="328">
        <v>1</v>
      </c>
      <c r="P18" s="328">
        <f t="shared" si="5"/>
        <v>18740.587757760011</v>
      </c>
      <c r="Q18" s="328">
        <v>1</v>
      </c>
      <c r="R18" s="328">
        <f t="shared" si="6"/>
        <v>20614.646533536015</v>
      </c>
      <c r="S18" s="328">
        <v>1</v>
      </c>
      <c r="T18" s="328">
        <f t="shared" si="7"/>
        <v>22676.111186889619</v>
      </c>
      <c r="U18" s="328">
        <v>1</v>
      </c>
      <c r="V18" s="328">
        <f t="shared" si="8"/>
        <v>24943.722305578583</v>
      </c>
      <c r="W18" s="328">
        <v>1</v>
      </c>
      <c r="X18" s="328">
        <f t="shared" si="9"/>
        <v>27438.094536136443</v>
      </c>
      <c r="Y18" s="328">
        <v>1</v>
      </c>
      <c r="Z18" s="328">
        <f t="shared" si="10"/>
        <v>30181.903989750092</v>
      </c>
      <c r="AA18" s="324"/>
      <c r="AB18" s="324"/>
      <c r="AC18" s="324"/>
      <c r="AD18" s="800"/>
    </row>
    <row r="19" spans="1:30" ht="15.75" thickBot="1" x14ac:dyDescent="0.3">
      <c r="A19" s="322"/>
      <c r="B19" s="327" t="s">
        <v>681</v>
      </c>
      <c r="C19" s="328">
        <v>17</v>
      </c>
      <c r="D19" s="799">
        <v>0.81</v>
      </c>
      <c r="E19" s="328">
        <v>24</v>
      </c>
      <c r="F19" s="328">
        <f>C19*D19*E19*31</f>
        <v>10244.880000000001</v>
      </c>
      <c r="G19" s="328"/>
      <c r="H19" s="328"/>
      <c r="I19" s="328"/>
      <c r="J19" s="328"/>
      <c r="K19" s="328">
        <v>0</v>
      </c>
      <c r="L19" s="328">
        <f t="shared" si="3"/>
        <v>0</v>
      </c>
      <c r="M19" s="328">
        <v>0</v>
      </c>
      <c r="N19" s="328">
        <f t="shared" si="4"/>
        <v>0</v>
      </c>
      <c r="O19" s="328">
        <v>0</v>
      </c>
      <c r="P19" s="328">
        <f t="shared" si="5"/>
        <v>0</v>
      </c>
      <c r="Q19" s="328">
        <v>0</v>
      </c>
      <c r="R19" s="328">
        <f t="shared" si="6"/>
        <v>0</v>
      </c>
      <c r="S19" s="328">
        <v>0</v>
      </c>
      <c r="T19" s="328">
        <f t="shared" si="7"/>
        <v>0</v>
      </c>
      <c r="U19" s="328">
        <v>0</v>
      </c>
      <c r="V19" s="328">
        <f t="shared" si="8"/>
        <v>0</v>
      </c>
      <c r="W19" s="328">
        <v>0</v>
      </c>
      <c r="X19" s="328">
        <f t="shared" si="9"/>
        <v>0</v>
      </c>
      <c r="Y19" s="328">
        <v>0</v>
      </c>
      <c r="Z19" s="328">
        <f t="shared" si="10"/>
        <v>0</v>
      </c>
      <c r="AA19" s="802"/>
      <c r="AB19" s="324"/>
      <c r="AC19" s="324"/>
      <c r="AD19" s="800"/>
    </row>
    <row r="20" spans="1:30" x14ac:dyDescent="0.25">
      <c r="A20" s="322"/>
      <c r="B20" s="327" t="s">
        <v>728</v>
      </c>
      <c r="C20" s="328">
        <v>16</v>
      </c>
      <c r="D20" s="799">
        <v>0.81</v>
      </c>
      <c r="E20" s="328">
        <v>24</v>
      </c>
      <c r="F20" s="328">
        <f>C20*D20*E20*31</f>
        <v>9642.24</v>
      </c>
      <c r="G20" s="328"/>
      <c r="H20" s="328">
        <v>0</v>
      </c>
      <c r="I20" s="328">
        <v>1</v>
      </c>
      <c r="J20" s="328">
        <v>0</v>
      </c>
      <c r="K20" s="328">
        <v>1</v>
      </c>
      <c r="L20" s="328">
        <f t="shared" si="3"/>
        <v>12390.471244800003</v>
      </c>
      <c r="M20" s="328">
        <v>1</v>
      </c>
      <c r="N20" s="328">
        <f t="shared" si="4"/>
        <v>13629.518369280004</v>
      </c>
      <c r="O20" s="328">
        <v>1</v>
      </c>
      <c r="P20" s="328">
        <f t="shared" si="5"/>
        <v>14992.470206208005</v>
      </c>
      <c r="Q20" s="328">
        <v>1</v>
      </c>
      <c r="R20" s="328">
        <f t="shared" si="6"/>
        <v>16491.717226828809</v>
      </c>
      <c r="S20" s="328">
        <v>1</v>
      </c>
      <c r="T20" s="328">
        <f t="shared" si="7"/>
        <v>18140.888949511693</v>
      </c>
      <c r="U20" s="327">
        <v>1</v>
      </c>
      <c r="V20" s="328">
        <f t="shared" si="8"/>
        <v>19954.977844462861</v>
      </c>
      <c r="W20" s="801">
        <v>1</v>
      </c>
      <c r="X20" s="328">
        <f t="shared" si="9"/>
        <v>21950.475628909149</v>
      </c>
      <c r="Y20" s="328">
        <v>1</v>
      </c>
      <c r="Z20" s="328">
        <f t="shared" si="10"/>
        <v>24145.523191800068</v>
      </c>
      <c r="AA20" s="324"/>
      <c r="AB20" s="324"/>
      <c r="AC20" s="324"/>
      <c r="AD20" s="800"/>
    </row>
    <row r="21" spans="1:30" hidden="1" x14ac:dyDescent="0.25">
      <c r="A21" s="322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800"/>
    </row>
    <row r="22" spans="1:30" ht="15.75" hidden="1" thickBot="1" x14ac:dyDescent="0.3">
      <c r="A22" s="322"/>
      <c r="B22" s="324"/>
      <c r="C22" s="802"/>
      <c r="D22" s="802"/>
      <c r="E22" s="802"/>
      <c r="F22" s="802"/>
      <c r="G22" s="803" t="s">
        <v>629</v>
      </c>
      <c r="H22" s="804">
        <f>SUM(H5:H17)</f>
        <v>0</v>
      </c>
      <c r="I22" s="804"/>
      <c r="J22" s="804">
        <f>SUM(J5:J17)</f>
        <v>24816.142692000001</v>
      </c>
      <c r="K22" s="804"/>
      <c r="L22" s="804">
        <f>SUM(L5:L20)</f>
        <v>53046.705016800013</v>
      </c>
      <c r="M22" s="804"/>
      <c r="N22" s="804">
        <f>SUM(N5:N19)</f>
        <v>44721.857149200012</v>
      </c>
      <c r="O22" s="804"/>
      <c r="P22" s="804">
        <f>SUM(P5:P19)</f>
        <v>49194.042864120027</v>
      </c>
      <c r="Q22" s="804"/>
      <c r="R22" s="804">
        <f>SUM(R5:R19)</f>
        <v>54113.44715053204</v>
      </c>
      <c r="S22" s="804"/>
      <c r="T22" s="804">
        <f>SUM(T5:T19)</f>
        <v>59524.791865585248</v>
      </c>
      <c r="U22" s="804"/>
      <c r="V22" s="804">
        <f>SUM(V5:V19)</f>
        <v>65477.271052143784</v>
      </c>
      <c r="W22" s="804"/>
      <c r="X22" s="804">
        <f>SUM(X5:X19)</f>
        <v>72024.998157358161</v>
      </c>
      <c r="Y22" s="804"/>
      <c r="Z22" s="804">
        <f>SUM(Z5:Z19)</f>
        <v>79227.497973093996</v>
      </c>
      <c r="AA22" s="324"/>
      <c r="AB22" s="324"/>
      <c r="AC22" s="324"/>
      <c r="AD22" s="800"/>
    </row>
    <row r="23" spans="1:30" hidden="1" x14ac:dyDescent="0.25">
      <c r="A23" s="322"/>
      <c r="B23" s="324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2"/>
      <c r="U23" s="332"/>
      <c r="V23" s="331"/>
      <c r="W23" s="331"/>
      <c r="X23" s="805"/>
      <c r="Y23" s="805"/>
      <c r="Z23" s="806"/>
      <c r="AA23" s="809" t="e">
        <v>#DIV/0!</v>
      </c>
      <c r="AB23" s="810"/>
      <c r="AC23" s="324"/>
      <c r="AD23" s="800"/>
    </row>
    <row r="24" spans="1:30" ht="15.75" thickBot="1" x14ac:dyDescent="0.3">
      <c r="A24" s="893"/>
      <c r="B24" s="802"/>
      <c r="C24" s="802"/>
      <c r="D24" s="802"/>
      <c r="E24" s="802"/>
      <c r="F24" s="803" t="s">
        <v>629</v>
      </c>
      <c r="G24" s="804"/>
      <c r="H24" s="804"/>
      <c r="I24" s="804"/>
      <c r="J24" s="804">
        <f>SUM(J3:J19)</f>
        <v>24817.310892000001</v>
      </c>
      <c r="K24" s="804"/>
      <c r="L24" s="804">
        <f t="shared" ref="L24:Z24" si="31">SUM(L3:L19)</f>
        <v>40657.51879200001</v>
      </c>
      <c r="M24" s="804"/>
      <c r="N24" s="804">
        <f t="shared" si="31"/>
        <v>44723.270671200014</v>
      </c>
      <c r="O24" s="804"/>
      <c r="P24" s="804">
        <f t="shared" si="31"/>
        <v>49195.597738320022</v>
      </c>
      <c r="Q24" s="804"/>
      <c r="R24" s="804">
        <f t="shared" si="31"/>
        <v>54115.157512152029</v>
      </c>
      <c r="S24" s="804"/>
      <c r="T24" s="804">
        <f t="shared" si="31"/>
        <v>59526.673263367244</v>
      </c>
      <c r="U24" s="804"/>
      <c r="V24" s="804">
        <f t="shared" si="31"/>
        <v>65479.340589703977</v>
      </c>
      <c r="W24" s="804"/>
      <c r="X24" s="804">
        <f t="shared" si="31"/>
        <v>72027.274648674371</v>
      </c>
      <c r="Y24" s="804"/>
      <c r="Z24" s="804">
        <f t="shared" si="31"/>
        <v>79230.002113541836</v>
      </c>
    </row>
    <row r="25" spans="1:30" hidden="1" x14ac:dyDescent="0.25">
      <c r="B25" s="324"/>
      <c r="C25" s="331"/>
      <c r="D25" s="331"/>
      <c r="E25" s="331"/>
      <c r="F25" s="331"/>
      <c r="G25" s="807" t="s">
        <v>630</v>
      </c>
      <c r="H25" s="808">
        <v>11148.451200000003</v>
      </c>
      <c r="I25" s="331"/>
      <c r="J25" s="808">
        <v>49697.318016000005</v>
      </c>
      <c r="K25" s="331"/>
      <c r="L25" s="808">
        <v>58642.835258880004</v>
      </c>
      <c r="M25" s="331"/>
      <c r="N25" s="808">
        <v>69198.545605478401</v>
      </c>
      <c r="O25" s="331"/>
      <c r="P25" s="808">
        <v>74734.429253916678</v>
      </c>
      <c r="Q25" s="331"/>
      <c r="R25" s="808">
        <v>80713.183594230009</v>
      </c>
      <c r="S25" s="331"/>
      <c r="T25" s="808">
        <v>87170.238281768427</v>
      </c>
      <c r="U25" s="332"/>
      <c r="V25" s="808">
        <v>94143.857344309901</v>
      </c>
      <c r="W25" s="331"/>
      <c r="X25" s="808">
        <v>101675.3659318547</v>
      </c>
      <c r="Y25" s="334"/>
      <c r="Z25" s="808">
        <v>1080000</v>
      </c>
    </row>
    <row r="26" spans="1:30" s="813" customFormat="1" hidden="1" x14ac:dyDescent="0.25">
      <c r="A26" s="792"/>
      <c r="B26" s="324"/>
      <c r="C26" s="331"/>
      <c r="D26" s="331"/>
      <c r="E26" s="331"/>
      <c r="F26" s="331"/>
      <c r="G26" s="807" t="s">
        <v>631</v>
      </c>
      <c r="H26" s="808">
        <v>360000</v>
      </c>
      <c r="I26" s="808"/>
      <c r="J26" s="808">
        <v>1080000</v>
      </c>
      <c r="K26" s="808"/>
      <c r="L26" s="808">
        <v>1080000</v>
      </c>
      <c r="M26" s="808"/>
      <c r="N26" s="808">
        <v>1080000</v>
      </c>
      <c r="O26" s="808"/>
      <c r="P26" s="808">
        <v>1080000</v>
      </c>
      <c r="Q26" s="808"/>
      <c r="R26" s="808">
        <v>1080000</v>
      </c>
      <c r="S26" s="808"/>
      <c r="T26" s="808">
        <v>1080000</v>
      </c>
      <c r="U26" s="808"/>
      <c r="V26" s="808">
        <v>1080000</v>
      </c>
      <c r="W26" s="808"/>
      <c r="X26" s="808">
        <v>1080000</v>
      </c>
      <c r="Y26" s="808"/>
      <c r="Z26" s="809">
        <v>10.167536593185471</v>
      </c>
    </row>
    <row r="27" spans="1:30" hidden="1" x14ac:dyDescent="0.25">
      <c r="A27" s="813"/>
      <c r="B27" s="326"/>
      <c r="C27" s="326"/>
      <c r="D27" s="326"/>
      <c r="E27" s="326"/>
      <c r="F27" s="326"/>
      <c r="G27" s="807" t="s">
        <v>632</v>
      </c>
      <c r="H27" s="809">
        <v>3.0967920000000011</v>
      </c>
      <c r="I27" s="809"/>
      <c r="J27" s="809">
        <v>4.6016035200000003</v>
      </c>
      <c r="K27" s="809"/>
      <c r="L27" s="809">
        <v>5.4298921536</v>
      </c>
      <c r="M27" s="809"/>
      <c r="N27" s="809">
        <v>6.4072727412480006</v>
      </c>
      <c r="O27" s="809"/>
      <c r="P27" s="809">
        <v>6.9198545605478401</v>
      </c>
      <c r="Q27" s="809"/>
      <c r="R27" s="809">
        <v>7.4734429253916668</v>
      </c>
      <c r="S27" s="809"/>
      <c r="T27" s="809">
        <v>8.0713183594230014</v>
      </c>
      <c r="U27" s="809"/>
      <c r="V27" s="809">
        <v>8.717023828176842</v>
      </c>
      <c r="W27" s="809"/>
      <c r="X27" s="809">
        <v>9.4143857344309918</v>
      </c>
      <c r="Y27" s="809"/>
    </row>
    <row r="28" spans="1:30" hidden="1" x14ac:dyDescent="0.25">
      <c r="B28" s="811"/>
    </row>
    <row r="29" spans="1:30" ht="23.25" x14ac:dyDescent="0.35">
      <c r="B29" s="812" t="s">
        <v>657</v>
      </c>
      <c r="Z29" s="813"/>
    </row>
    <row r="30" spans="1:30" ht="26.25" x14ac:dyDescent="0.25">
      <c r="B30" s="814" t="s">
        <v>656</v>
      </c>
      <c r="C30" s="815" t="s">
        <v>200</v>
      </c>
      <c r="D30" s="815" t="s">
        <v>633</v>
      </c>
      <c r="E30" s="815" t="s">
        <v>634</v>
      </c>
      <c r="F30" s="815" t="s">
        <v>635</v>
      </c>
      <c r="G30" s="1388" t="s">
        <v>636</v>
      </c>
      <c r="H30" s="1388"/>
      <c r="I30" s="1389" t="s">
        <v>637</v>
      </c>
      <c r="J30" s="1389"/>
      <c r="K30" s="813"/>
      <c r="L30" s="816" t="s">
        <v>638</v>
      </c>
      <c r="M30" s="816" t="s">
        <v>639</v>
      </c>
      <c r="N30" s="816" t="s">
        <v>640</v>
      </c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813"/>
    </row>
    <row r="31" spans="1:30" x14ac:dyDescent="0.25">
      <c r="B31" s="1385" t="s">
        <v>641</v>
      </c>
      <c r="C31" s="327" t="s">
        <v>642</v>
      </c>
      <c r="D31" s="817">
        <v>2.6806000000000001</v>
      </c>
      <c r="E31" s="328">
        <v>25</v>
      </c>
      <c r="F31" s="328">
        <v>13</v>
      </c>
      <c r="G31" s="1396">
        <f>D31*E31*F31</f>
        <v>871.19500000000005</v>
      </c>
      <c r="H31" s="1397"/>
      <c r="I31" s="1390">
        <v>0.64</v>
      </c>
      <c r="J31" s="1391"/>
      <c r="L31" s="818"/>
      <c r="M31" s="1382">
        <v>0.96028000000000002</v>
      </c>
      <c r="N31" s="818"/>
      <c r="R31" s="856"/>
    </row>
    <row r="32" spans="1:30" x14ac:dyDescent="0.25">
      <c r="B32" s="1386"/>
      <c r="C32" s="327" t="s">
        <v>643</v>
      </c>
      <c r="D32" s="817">
        <v>0.81210000000000004</v>
      </c>
      <c r="E32" s="328">
        <v>62</v>
      </c>
      <c r="F32" s="328">
        <v>13</v>
      </c>
      <c r="G32" s="1396">
        <f t="shared" ref="G32:G36" si="32">D32*E32*F32</f>
        <v>654.55259999999998</v>
      </c>
      <c r="H32" s="1397"/>
      <c r="I32" s="1392"/>
      <c r="J32" s="1393"/>
      <c r="L32" s="818"/>
      <c r="M32" s="1382"/>
      <c r="N32" s="818"/>
      <c r="R32" s="856"/>
    </row>
    <row r="33" spans="1:26" x14ac:dyDescent="0.25">
      <c r="B33" s="1387"/>
      <c r="C33" s="327" t="s">
        <v>644</v>
      </c>
      <c r="D33" s="817">
        <v>0.441</v>
      </c>
      <c r="E33" s="328">
        <v>81</v>
      </c>
      <c r="F33" s="328">
        <v>13</v>
      </c>
      <c r="G33" s="1396">
        <f t="shared" si="32"/>
        <v>464.37300000000005</v>
      </c>
      <c r="H33" s="1397"/>
      <c r="I33" s="1392"/>
      <c r="J33" s="1393"/>
      <c r="L33" s="818"/>
      <c r="M33" s="1382"/>
      <c r="N33" s="818"/>
      <c r="R33" s="856"/>
    </row>
    <row r="34" spans="1:26" x14ac:dyDescent="0.25">
      <c r="B34" s="1385" t="s">
        <v>645</v>
      </c>
      <c r="C34" s="327" t="s">
        <v>642</v>
      </c>
      <c r="D34" s="817">
        <v>0.87439999999999996</v>
      </c>
      <c r="E34" s="328">
        <v>25</v>
      </c>
      <c r="F34" s="328">
        <v>39</v>
      </c>
      <c r="G34" s="1396">
        <f t="shared" si="32"/>
        <v>852.54</v>
      </c>
      <c r="H34" s="1397"/>
      <c r="I34" s="1392"/>
      <c r="J34" s="1393"/>
      <c r="L34" s="818"/>
      <c r="M34" s="1382">
        <v>0.96028000000000002</v>
      </c>
      <c r="N34" s="818"/>
      <c r="R34" s="856"/>
    </row>
    <row r="35" spans="1:26" s="813" customFormat="1" x14ac:dyDescent="0.25">
      <c r="A35" s="792"/>
      <c r="B35" s="1386"/>
      <c r="C35" s="327" t="s">
        <v>643</v>
      </c>
      <c r="D35" s="817">
        <v>0.61639999999999995</v>
      </c>
      <c r="E35" s="328">
        <v>62</v>
      </c>
      <c r="F35" s="328">
        <v>39</v>
      </c>
      <c r="G35" s="1396">
        <f t="shared" si="32"/>
        <v>1490.4551999999999</v>
      </c>
      <c r="H35" s="1397"/>
      <c r="I35" s="1392"/>
      <c r="J35" s="1393"/>
      <c r="K35" s="792"/>
      <c r="L35" s="819"/>
      <c r="M35" s="1382"/>
      <c r="N35" s="819"/>
      <c r="O35" s="792"/>
      <c r="P35" s="792"/>
      <c r="Q35" s="792"/>
      <c r="R35" s="856"/>
      <c r="S35" s="792"/>
      <c r="T35" s="792"/>
      <c r="U35" s="792"/>
      <c r="V35" s="792"/>
      <c r="W35" s="792"/>
      <c r="X35" s="792"/>
      <c r="Y35" s="792"/>
      <c r="Z35" s="792"/>
    </row>
    <row r="36" spans="1:26" x14ac:dyDescent="0.25">
      <c r="A36" s="813"/>
      <c r="B36" s="1387"/>
      <c r="C36" s="327" t="s">
        <v>644</v>
      </c>
      <c r="D36" s="817">
        <v>0.39229999999999998</v>
      </c>
      <c r="E36" s="328">
        <v>81</v>
      </c>
      <c r="F36" s="328">
        <v>39</v>
      </c>
      <c r="G36" s="1396">
        <f t="shared" si="32"/>
        <v>1239.2756999999999</v>
      </c>
      <c r="H36" s="1397"/>
      <c r="I36" s="1394"/>
      <c r="J36" s="1395"/>
      <c r="L36" s="819"/>
      <c r="M36" s="1382"/>
      <c r="N36" s="819"/>
      <c r="R36" s="856"/>
    </row>
    <row r="37" spans="1:26" x14ac:dyDescent="0.25">
      <c r="E37" s="855"/>
      <c r="M37" s="820"/>
      <c r="R37" s="856"/>
    </row>
    <row r="38" spans="1:26" ht="23.25" x14ac:dyDescent="0.35">
      <c r="B38" s="812" t="s">
        <v>646</v>
      </c>
      <c r="M38" s="820"/>
      <c r="Z38" s="813"/>
    </row>
    <row r="39" spans="1:26" ht="26.25" x14ac:dyDescent="0.25">
      <c r="B39" s="814" t="s">
        <v>647</v>
      </c>
      <c r="C39" s="815" t="s">
        <v>200</v>
      </c>
      <c r="D39" s="815" t="s">
        <v>633</v>
      </c>
      <c r="E39" s="815" t="s">
        <v>634</v>
      </c>
      <c r="F39" s="815" t="s">
        <v>635</v>
      </c>
      <c r="G39" s="1388" t="s">
        <v>636</v>
      </c>
      <c r="H39" s="1388"/>
      <c r="I39" s="1389" t="s">
        <v>648</v>
      </c>
      <c r="J39" s="1389"/>
      <c r="K39" s="813"/>
      <c r="L39" s="816" t="s">
        <v>638</v>
      </c>
      <c r="M39" s="816" t="s">
        <v>639</v>
      </c>
      <c r="N39" s="816" t="s">
        <v>640</v>
      </c>
      <c r="O39" s="813"/>
      <c r="P39" s="813"/>
      <c r="Q39" s="813"/>
      <c r="R39" s="813"/>
      <c r="S39" s="813"/>
      <c r="T39" s="813"/>
      <c r="U39" s="813"/>
      <c r="V39" s="813"/>
      <c r="W39" s="813"/>
      <c r="X39" s="813"/>
      <c r="Y39" s="813"/>
    </row>
    <row r="40" spans="1:26" x14ac:dyDescent="0.25">
      <c r="B40" s="1385" t="s">
        <v>641</v>
      </c>
      <c r="C40" s="327" t="s">
        <v>642</v>
      </c>
      <c r="D40" s="817">
        <v>2.7921</v>
      </c>
      <c r="E40" s="328">
        <v>25</v>
      </c>
      <c r="F40" s="328">
        <v>13</v>
      </c>
      <c r="G40" s="1383">
        <f>D40*E40*F40</f>
        <v>907.43249999999989</v>
      </c>
      <c r="H40" s="1384"/>
      <c r="I40" s="1390">
        <v>0.66</v>
      </c>
      <c r="J40" s="1391"/>
      <c r="L40" s="818"/>
      <c r="M40" s="1382">
        <v>0.96028000000000002</v>
      </c>
      <c r="N40" s="818"/>
      <c r="P40" s="855"/>
      <c r="R40" s="856"/>
    </row>
    <row r="41" spans="1:26" x14ac:dyDescent="0.25">
      <c r="B41" s="1386"/>
      <c r="C41" s="327" t="s">
        <v>643</v>
      </c>
      <c r="D41" s="817">
        <v>0.84589999999999999</v>
      </c>
      <c r="E41" s="328">
        <v>62</v>
      </c>
      <c r="F41" s="328">
        <v>13</v>
      </c>
      <c r="G41" s="1383">
        <f t="shared" ref="G41:G45" si="33">D41*E41*F41</f>
        <v>681.79539999999997</v>
      </c>
      <c r="H41" s="1384"/>
      <c r="I41" s="1392"/>
      <c r="J41" s="1393"/>
      <c r="L41" s="818"/>
      <c r="M41" s="1382"/>
      <c r="N41" s="818"/>
      <c r="P41" s="855"/>
      <c r="R41" s="856"/>
    </row>
    <row r="42" spans="1:26" x14ac:dyDescent="0.25">
      <c r="B42" s="1387"/>
      <c r="C42" s="327" t="s">
        <v>644</v>
      </c>
      <c r="D42" s="817">
        <v>0.45929999999999999</v>
      </c>
      <c r="E42" s="328">
        <v>81</v>
      </c>
      <c r="F42" s="328">
        <v>13</v>
      </c>
      <c r="G42" s="1383">
        <f t="shared" si="33"/>
        <v>483.6429</v>
      </c>
      <c r="H42" s="1384"/>
      <c r="I42" s="1392"/>
      <c r="J42" s="1393"/>
      <c r="L42" s="818"/>
      <c r="M42" s="1382"/>
      <c r="N42" s="818"/>
      <c r="P42" s="855"/>
      <c r="R42" s="856"/>
    </row>
    <row r="43" spans="1:26" x14ac:dyDescent="0.25">
      <c r="B43" s="1385" t="s">
        <v>645</v>
      </c>
      <c r="C43" s="327" t="s">
        <v>642</v>
      </c>
      <c r="D43" s="817">
        <v>0.91090000000000004</v>
      </c>
      <c r="E43" s="328">
        <v>25</v>
      </c>
      <c r="F43" s="328">
        <v>39</v>
      </c>
      <c r="G43" s="1383">
        <f t="shared" si="33"/>
        <v>888.12750000000005</v>
      </c>
      <c r="H43" s="1384"/>
      <c r="I43" s="1392"/>
      <c r="J43" s="1393"/>
      <c r="L43" s="818"/>
      <c r="M43" s="1382">
        <v>0.96028000000000002</v>
      </c>
      <c r="N43" s="818"/>
      <c r="P43" s="855"/>
      <c r="R43" s="856"/>
    </row>
    <row r="44" spans="1:26" x14ac:dyDescent="0.25">
      <c r="B44" s="1386"/>
      <c r="C44" s="327" t="s">
        <v>643</v>
      </c>
      <c r="D44" s="817">
        <v>0.62680000000000002</v>
      </c>
      <c r="E44" s="328">
        <v>62</v>
      </c>
      <c r="F44" s="328">
        <v>39</v>
      </c>
      <c r="G44" s="1383">
        <f t="shared" si="33"/>
        <v>1515.6024000000002</v>
      </c>
      <c r="H44" s="1384"/>
      <c r="I44" s="1392"/>
      <c r="J44" s="1393"/>
      <c r="L44" s="819"/>
      <c r="M44" s="1382"/>
      <c r="N44" s="819"/>
      <c r="P44" s="855"/>
      <c r="R44" s="856"/>
    </row>
    <row r="45" spans="1:26" x14ac:dyDescent="0.25">
      <c r="B45" s="1387"/>
      <c r="C45" s="327" t="s">
        <v>644</v>
      </c>
      <c r="D45" s="817">
        <v>0.39760000000000001</v>
      </c>
      <c r="E45" s="328">
        <v>81</v>
      </c>
      <c r="F45" s="328">
        <v>39</v>
      </c>
      <c r="G45" s="1383">
        <f t="shared" si="33"/>
        <v>1256.0184000000002</v>
      </c>
      <c r="H45" s="1384"/>
      <c r="I45" s="1394"/>
      <c r="J45" s="1395"/>
      <c r="L45" s="819"/>
      <c r="M45" s="1382"/>
      <c r="N45" s="819"/>
      <c r="P45" s="855"/>
      <c r="R45" s="856"/>
    </row>
    <row r="46" spans="1:26" x14ac:dyDescent="0.25">
      <c r="P46" s="855"/>
      <c r="R46" s="856"/>
    </row>
  </sheetData>
  <mergeCells count="46">
    <mergeCell ref="S2:T2"/>
    <mergeCell ref="U2:V2"/>
    <mergeCell ref="W2:X2"/>
    <mergeCell ref="Y2:Z2"/>
    <mergeCell ref="G3:H3"/>
    <mergeCell ref="I3:J3"/>
    <mergeCell ref="K3:L3"/>
    <mergeCell ref="M3:N3"/>
    <mergeCell ref="O3:P3"/>
    <mergeCell ref="Q3:R3"/>
    <mergeCell ref="G2:H2"/>
    <mergeCell ref="I2:J2"/>
    <mergeCell ref="K2:L2"/>
    <mergeCell ref="M2:N2"/>
    <mergeCell ref="O2:P2"/>
    <mergeCell ref="Q2:R2"/>
    <mergeCell ref="S3:T3"/>
    <mergeCell ref="U3:V3"/>
    <mergeCell ref="W3:X3"/>
    <mergeCell ref="Y3:Z3"/>
    <mergeCell ref="G30:H30"/>
    <mergeCell ref="I30:J30"/>
    <mergeCell ref="B31:B33"/>
    <mergeCell ref="G31:H31"/>
    <mergeCell ref="I31:J36"/>
    <mergeCell ref="M31:M33"/>
    <mergeCell ref="G32:H32"/>
    <mergeCell ref="G33:H33"/>
    <mergeCell ref="B34:B36"/>
    <mergeCell ref="G34:H34"/>
    <mergeCell ref="M34:M36"/>
    <mergeCell ref="G35:H35"/>
    <mergeCell ref="G36:H36"/>
    <mergeCell ref="G39:H39"/>
    <mergeCell ref="I39:J39"/>
    <mergeCell ref="B40:B42"/>
    <mergeCell ref="G40:H40"/>
    <mergeCell ref="I40:J45"/>
    <mergeCell ref="M40:M42"/>
    <mergeCell ref="G41:H41"/>
    <mergeCell ref="G42:H42"/>
    <mergeCell ref="B43:B45"/>
    <mergeCell ref="G43:H43"/>
    <mergeCell ref="M43:M45"/>
    <mergeCell ref="G44:H44"/>
    <mergeCell ref="G45:H4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X36"/>
  <sheetViews>
    <sheetView zoomScale="120" zoomScaleNormal="120" workbookViewId="0">
      <selection activeCell="D10" sqref="D10"/>
    </sheetView>
  </sheetViews>
  <sheetFormatPr defaultColWidth="9.140625" defaultRowHeight="16.5" x14ac:dyDescent="0.3"/>
  <cols>
    <col min="1" max="1" width="2.7109375" style="419" customWidth="1"/>
    <col min="2" max="2" width="19.140625" style="419" customWidth="1"/>
    <col min="3" max="3" width="27.42578125" style="419" customWidth="1"/>
    <col min="4" max="4" width="21.7109375" style="419" customWidth="1"/>
    <col min="5" max="5" width="10.7109375" style="419" customWidth="1"/>
    <col min="6" max="6" width="26.140625" style="422" customWidth="1"/>
    <col min="7" max="7" width="16.5703125" style="422" customWidth="1"/>
    <col min="8" max="8" width="17.42578125" style="422" customWidth="1"/>
    <col min="9" max="9" width="91.85546875" style="422" customWidth="1"/>
    <col min="10" max="11" width="8.28515625" style="419" customWidth="1"/>
    <col min="12" max="12" width="8.28515625" style="423" customWidth="1"/>
    <col min="13" max="14" width="8.28515625" style="419" customWidth="1"/>
    <col min="15" max="19" width="10.28515625" style="419" customWidth="1"/>
    <col min="20" max="20" width="12.42578125" style="419" customWidth="1"/>
    <col min="21" max="21" width="33.7109375" style="419" customWidth="1"/>
    <col min="22" max="22" width="2" style="419" customWidth="1"/>
    <col min="23" max="23" width="13.140625" style="419" customWidth="1"/>
    <col min="24" max="16384" width="9.140625" style="419"/>
  </cols>
  <sheetData>
    <row r="1" spans="1:24" ht="12" customHeight="1" x14ac:dyDescent="0.45">
      <c r="A1" s="411"/>
      <c r="B1" s="1380" t="s">
        <v>330</v>
      </c>
      <c r="C1" s="1380"/>
      <c r="D1" s="1380"/>
      <c r="E1" s="1380"/>
      <c r="F1" s="1380"/>
      <c r="G1" s="412"/>
      <c r="H1" s="413"/>
      <c r="I1" s="413"/>
      <c r="J1" s="414"/>
      <c r="K1" s="414"/>
      <c r="L1" s="415"/>
      <c r="M1" s="414"/>
      <c r="N1" s="416"/>
      <c r="O1" s="416"/>
      <c r="P1" s="416"/>
      <c r="Q1" s="416"/>
      <c r="R1" s="416"/>
      <c r="S1" s="416"/>
      <c r="T1" s="416"/>
      <c r="U1" s="416"/>
      <c r="V1" s="416"/>
      <c r="W1" s="417"/>
      <c r="X1" s="418"/>
    </row>
    <row r="2" spans="1:24" ht="38.25" customHeight="1" x14ac:dyDescent="0.3">
      <c r="A2" s="420"/>
      <c r="B2" s="1381"/>
      <c r="C2" s="1381"/>
      <c r="D2" s="1381"/>
      <c r="E2" s="1381"/>
      <c r="F2" s="1381"/>
      <c r="G2" s="421"/>
      <c r="M2" s="424"/>
      <c r="N2" s="425"/>
      <c r="O2" s="426"/>
      <c r="W2" s="427"/>
      <c r="X2" s="418"/>
    </row>
    <row r="3" spans="1:24" s="418" customFormat="1" ht="14.25" x14ac:dyDescent="0.25">
      <c r="E3" s="450"/>
      <c r="F3" s="450"/>
      <c r="G3" s="450"/>
      <c r="H3" s="450"/>
      <c r="I3" s="450"/>
      <c r="L3" s="452"/>
    </row>
    <row r="4" spans="1:24" s="418" customFormat="1" ht="20.25" x14ac:dyDescent="0.35">
      <c r="B4" s="428" t="s">
        <v>330</v>
      </c>
      <c r="C4" s="428"/>
      <c r="F4" s="450"/>
      <c r="G4" s="450"/>
      <c r="H4" s="450"/>
      <c r="I4" s="450"/>
      <c r="L4" s="452"/>
    </row>
    <row r="5" spans="1:24" s="418" customFormat="1" ht="14.25" x14ac:dyDescent="0.25">
      <c r="B5" s="435" t="s">
        <v>56</v>
      </c>
      <c r="C5" s="435" t="s">
        <v>311</v>
      </c>
      <c r="D5" s="435" t="s">
        <v>331</v>
      </c>
      <c r="E5" s="436" t="s">
        <v>332</v>
      </c>
      <c r="F5" s="435" t="s">
        <v>333</v>
      </c>
      <c r="G5" s="435" t="s">
        <v>358</v>
      </c>
      <c r="H5" s="435" t="s">
        <v>359</v>
      </c>
      <c r="I5" s="435" t="s">
        <v>250</v>
      </c>
      <c r="L5" s="452"/>
    </row>
    <row r="6" spans="1:24" s="418" customFormat="1" ht="14.25" x14ac:dyDescent="0.25">
      <c r="B6" s="327" t="s">
        <v>688</v>
      </c>
      <c r="C6" s="327"/>
      <c r="D6" s="442"/>
      <c r="E6" s="442">
        <v>4</v>
      </c>
      <c r="F6" s="442">
        <v>5</v>
      </c>
      <c r="G6" s="451"/>
      <c r="H6" s="453"/>
      <c r="I6" s="454"/>
      <c r="L6" s="452"/>
    </row>
    <row r="7" spans="1:24" x14ac:dyDescent="0.3">
      <c r="B7" s="327" t="s">
        <v>689</v>
      </c>
      <c r="C7" s="327"/>
      <c r="D7" s="442"/>
      <c r="E7" s="442">
        <v>3</v>
      </c>
      <c r="F7" s="442">
        <v>4</v>
      </c>
      <c r="G7" s="451"/>
      <c r="H7" s="453"/>
      <c r="I7" s="454"/>
    </row>
    <row r="8" spans="1:24" x14ac:dyDescent="0.3">
      <c r="B8" s="327" t="s">
        <v>61</v>
      </c>
      <c r="C8" s="327"/>
      <c r="D8" s="442"/>
      <c r="E8" s="442">
        <v>4</v>
      </c>
      <c r="F8" s="442">
        <v>5</v>
      </c>
      <c r="G8" s="451"/>
      <c r="H8" s="453"/>
      <c r="I8" s="454"/>
    </row>
    <row r="9" spans="1:24" x14ac:dyDescent="0.3">
      <c r="B9" s="327" t="s">
        <v>690</v>
      </c>
      <c r="C9" s="327"/>
      <c r="D9" s="442"/>
      <c r="E9" s="442">
        <v>3</v>
      </c>
      <c r="F9" s="442">
        <v>4</v>
      </c>
      <c r="G9" s="451"/>
      <c r="H9" s="453"/>
      <c r="I9" s="454"/>
    </row>
    <row r="10" spans="1:24" x14ac:dyDescent="0.3">
      <c r="B10" s="327" t="s">
        <v>691</v>
      </c>
      <c r="C10" s="327"/>
      <c r="D10" s="442"/>
      <c r="E10" s="442">
        <v>4</v>
      </c>
      <c r="F10" s="442">
        <v>5</v>
      </c>
      <c r="G10" s="451"/>
      <c r="H10" s="453"/>
      <c r="I10" s="454"/>
    </row>
    <row r="11" spans="1:24" x14ac:dyDescent="0.3">
      <c r="B11" s="327"/>
      <c r="C11" s="327"/>
      <c r="D11" s="442"/>
      <c r="E11" s="442"/>
      <c r="F11" s="442"/>
      <c r="G11" s="451"/>
      <c r="H11" s="453"/>
      <c r="I11" s="454"/>
    </row>
    <row r="12" spans="1:24" x14ac:dyDescent="0.3">
      <c r="B12" s="327"/>
      <c r="C12" s="327"/>
      <c r="D12" s="442"/>
      <c r="E12" s="442"/>
      <c r="F12" s="442"/>
      <c r="G12" s="451"/>
      <c r="H12" s="453"/>
      <c r="I12" s="454"/>
    </row>
    <row r="13" spans="1:24" x14ac:dyDescent="0.3">
      <c r="B13" s="327"/>
      <c r="C13" s="327"/>
      <c r="D13" s="442"/>
      <c r="E13" s="442"/>
      <c r="F13" s="442"/>
      <c r="G13" s="451"/>
      <c r="H13" s="453"/>
      <c r="I13" s="454"/>
    </row>
    <row r="14" spans="1:24" x14ac:dyDescent="0.3">
      <c r="B14" s="327"/>
      <c r="C14" s="327"/>
      <c r="D14" s="442"/>
      <c r="E14" s="442"/>
      <c r="F14" s="442"/>
      <c r="G14" s="451"/>
      <c r="H14" s="453"/>
      <c r="I14" s="454"/>
    </row>
    <row r="15" spans="1:24" x14ac:dyDescent="0.3">
      <c r="B15" s="327"/>
      <c r="C15" s="327"/>
      <c r="D15" s="442"/>
      <c r="E15" s="442"/>
      <c r="F15" s="442"/>
      <c r="G15" s="451"/>
      <c r="H15" s="453"/>
      <c r="I15" s="454"/>
    </row>
    <row r="16" spans="1:24" x14ac:dyDescent="0.3">
      <c r="B16" s="327"/>
      <c r="C16" s="327"/>
      <c r="D16" s="442"/>
      <c r="E16" s="442"/>
      <c r="F16" s="442"/>
      <c r="G16" s="451"/>
      <c r="H16" s="453"/>
      <c r="I16" s="454"/>
    </row>
    <row r="17" spans="1:24" x14ac:dyDescent="0.3">
      <c r="B17" s="327"/>
      <c r="C17" s="327"/>
      <c r="D17" s="442"/>
      <c r="E17" s="442"/>
      <c r="F17" s="442"/>
      <c r="G17" s="451"/>
      <c r="H17" s="453"/>
      <c r="I17" s="454"/>
    </row>
    <row r="18" spans="1:24" x14ac:dyDescent="0.3">
      <c r="B18" s="327"/>
      <c r="C18" s="327"/>
      <c r="D18" s="442"/>
      <c r="E18" s="442"/>
      <c r="F18" s="442"/>
      <c r="G18" s="451"/>
      <c r="H18" s="453"/>
      <c r="I18" s="454"/>
    </row>
    <row r="19" spans="1:24" x14ac:dyDescent="0.3">
      <c r="B19" s="327"/>
      <c r="C19" s="327"/>
      <c r="D19" s="442"/>
      <c r="E19" s="442"/>
      <c r="F19" s="442"/>
      <c r="G19" s="451"/>
      <c r="H19" s="453"/>
      <c r="I19" s="454"/>
    </row>
    <row r="20" spans="1:24" s="422" customFormat="1" x14ac:dyDescent="0.3">
      <c r="A20" s="419"/>
      <c r="B20" s="327"/>
      <c r="C20" s="327"/>
      <c r="D20" s="442"/>
      <c r="E20" s="442"/>
      <c r="F20" s="442"/>
      <c r="G20" s="451"/>
      <c r="H20" s="453"/>
      <c r="I20" s="454"/>
      <c r="J20" s="419"/>
      <c r="K20" s="419"/>
      <c r="L20" s="423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</row>
    <row r="21" spans="1:24" s="422" customFormat="1" x14ac:dyDescent="0.3">
      <c r="A21" s="419"/>
      <c r="B21" s="327"/>
      <c r="C21" s="327"/>
      <c r="D21" s="442"/>
      <c r="E21" s="442"/>
      <c r="F21" s="442"/>
      <c r="G21" s="451"/>
      <c r="H21" s="453"/>
      <c r="I21" s="454"/>
      <c r="J21" s="419"/>
      <c r="K21" s="419"/>
      <c r="L21" s="423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</row>
    <row r="22" spans="1:24" s="422" customFormat="1" x14ac:dyDescent="0.3">
      <c r="A22" s="419"/>
      <c r="B22" s="327"/>
      <c r="C22" s="327"/>
      <c r="D22" s="442"/>
      <c r="E22" s="442"/>
      <c r="F22" s="442"/>
      <c r="G22" s="451"/>
      <c r="H22" s="453"/>
      <c r="I22" s="454"/>
      <c r="J22" s="419"/>
      <c r="K22" s="419"/>
      <c r="L22" s="423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</row>
    <row r="23" spans="1:24" s="422" customFormat="1" x14ac:dyDescent="0.3">
      <c r="A23" s="419"/>
      <c r="B23" s="327"/>
      <c r="C23" s="327"/>
      <c r="D23" s="442"/>
      <c r="E23" s="442"/>
      <c r="F23" s="442"/>
      <c r="G23" s="451"/>
      <c r="H23" s="453"/>
      <c r="I23" s="454"/>
      <c r="J23" s="419"/>
      <c r="K23" s="419"/>
      <c r="L23" s="423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</row>
    <row r="24" spans="1:24" s="422" customFormat="1" x14ac:dyDescent="0.3">
      <c r="A24" s="419"/>
      <c r="B24" s="327"/>
      <c r="C24" s="327"/>
      <c r="D24" s="442"/>
      <c r="E24" s="442"/>
      <c r="F24" s="442"/>
      <c r="G24" s="451"/>
      <c r="H24" s="453"/>
      <c r="I24" s="454"/>
      <c r="J24" s="419"/>
      <c r="K24" s="419"/>
      <c r="L24" s="423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</row>
    <row r="25" spans="1:24" s="422" customFormat="1" x14ac:dyDescent="0.3">
      <c r="A25" s="419"/>
      <c r="B25" s="327"/>
      <c r="C25" s="327"/>
      <c r="D25" s="442"/>
      <c r="E25" s="442"/>
      <c r="F25" s="442"/>
      <c r="G25" s="451"/>
      <c r="H25" s="453"/>
      <c r="I25" s="454"/>
      <c r="J25" s="419"/>
      <c r="K25" s="419"/>
      <c r="L25" s="423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</row>
    <row r="26" spans="1:24" s="422" customFormat="1" x14ac:dyDescent="0.3">
      <c r="A26" s="419"/>
      <c r="B26" s="327"/>
      <c r="C26" s="327"/>
      <c r="D26" s="442"/>
      <c r="E26" s="442"/>
      <c r="F26" s="442"/>
      <c r="G26" s="451"/>
      <c r="H26" s="453"/>
      <c r="I26" s="454"/>
      <c r="J26" s="419"/>
      <c r="K26" s="419"/>
      <c r="L26" s="423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</row>
    <row r="27" spans="1:24" s="422" customFormat="1" x14ac:dyDescent="0.3">
      <c r="A27" s="419"/>
      <c r="B27" s="327"/>
      <c r="C27" s="327"/>
      <c r="D27" s="442"/>
      <c r="E27" s="442"/>
      <c r="F27" s="442"/>
      <c r="G27" s="451"/>
      <c r="H27" s="453"/>
      <c r="I27" s="454"/>
      <c r="J27" s="419"/>
      <c r="K27" s="419"/>
      <c r="L27" s="423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</row>
    <row r="28" spans="1:24" s="422" customFormat="1" x14ac:dyDescent="0.3">
      <c r="A28" s="419"/>
      <c r="B28" s="327"/>
      <c r="C28" s="327"/>
      <c r="D28" s="442"/>
      <c r="E28" s="442"/>
      <c r="F28" s="442"/>
      <c r="G28" s="451"/>
      <c r="H28" s="453"/>
      <c r="I28" s="454"/>
      <c r="J28" s="419"/>
      <c r="K28" s="419"/>
      <c r="L28" s="423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</row>
    <row r="29" spans="1:24" s="422" customFormat="1" x14ac:dyDescent="0.3">
      <c r="A29" s="419"/>
      <c r="B29" s="327"/>
      <c r="C29" s="327"/>
      <c r="D29" s="442"/>
      <c r="E29" s="442"/>
      <c r="F29" s="442"/>
      <c r="G29" s="451"/>
      <c r="H29" s="453"/>
      <c r="I29" s="454"/>
      <c r="J29" s="419"/>
      <c r="K29" s="419"/>
      <c r="L29" s="423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</row>
    <row r="30" spans="1:24" s="422" customFormat="1" x14ac:dyDescent="0.3">
      <c r="A30" s="419"/>
      <c r="B30" s="327"/>
      <c r="C30" s="327"/>
      <c r="D30" s="442"/>
      <c r="E30" s="442"/>
      <c r="F30" s="442"/>
      <c r="G30" s="451"/>
      <c r="H30" s="453"/>
      <c r="I30" s="454"/>
      <c r="J30" s="419"/>
      <c r="K30" s="419"/>
      <c r="L30" s="423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</row>
    <row r="31" spans="1:24" s="422" customFormat="1" x14ac:dyDescent="0.3">
      <c r="A31" s="419"/>
      <c r="B31" s="327"/>
      <c r="C31" s="327"/>
      <c r="D31" s="442"/>
      <c r="E31" s="442"/>
      <c r="F31" s="442"/>
      <c r="G31" s="451"/>
      <c r="H31" s="453"/>
      <c r="I31" s="454"/>
      <c r="J31" s="419"/>
      <c r="K31" s="419"/>
      <c r="L31" s="423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</row>
    <row r="32" spans="1:24" s="422" customFormat="1" x14ac:dyDescent="0.3">
      <c r="A32" s="419"/>
      <c r="B32" s="327"/>
      <c r="C32" s="327"/>
      <c r="D32" s="442"/>
      <c r="E32" s="442"/>
      <c r="F32" s="442"/>
      <c r="G32" s="451"/>
      <c r="H32" s="453"/>
      <c r="I32" s="454"/>
      <c r="J32" s="419"/>
      <c r="K32" s="419"/>
      <c r="L32" s="423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</row>
    <row r="33" spans="1:24" s="422" customFormat="1" x14ac:dyDescent="0.3">
      <c r="A33" s="419"/>
      <c r="B33" s="327"/>
      <c r="C33" s="327"/>
      <c r="D33" s="442"/>
      <c r="E33" s="442"/>
      <c r="F33" s="442"/>
      <c r="G33" s="451"/>
      <c r="H33" s="453"/>
      <c r="I33" s="454"/>
      <c r="J33" s="419"/>
      <c r="K33" s="419"/>
      <c r="L33" s="423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</row>
    <row r="34" spans="1:24" s="422" customFormat="1" x14ac:dyDescent="0.3">
      <c r="A34" s="419"/>
      <c r="B34" s="327"/>
      <c r="C34" s="327"/>
      <c r="D34" s="442"/>
      <c r="E34" s="442"/>
      <c r="F34" s="442"/>
      <c r="G34" s="451"/>
      <c r="H34" s="453"/>
      <c r="I34" s="454"/>
      <c r="J34" s="419"/>
      <c r="K34" s="419"/>
      <c r="L34" s="423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</row>
    <row r="35" spans="1:24" s="422" customFormat="1" x14ac:dyDescent="0.3">
      <c r="A35" s="419"/>
      <c r="B35" s="327"/>
      <c r="C35" s="327"/>
      <c r="D35" s="442"/>
      <c r="E35" s="442"/>
      <c r="F35" s="442">
        <f t="shared" ref="F35" si="0">D35+E35</f>
        <v>0</v>
      </c>
      <c r="G35" s="451" t="e">
        <f>IF(F35&lt;#REF!,-(H35*(HLOOKUP(F35,#REF!,5,FALSE))),(0))</f>
        <v>#REF!</v>
      </c>
      <c r="H35" s="453"/>
      <c r="I35" s="454"/>
      <c r="J35" s="419"/>
      <c r="K35" s="419"/>
      <c r="L35" s="423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</row>
    <row r="36" spans="1:24" s="422" customFormat="1" ht="17.25" thickBot="1" x14ac:dyDescent="0.35">
      <c r="A36" s="419"/>
      <c r="B36" s="455"/>
      <c r="C36" s="455"/>
      <c r="D36" s="456"/>
      <c r="E36" s="456"/>
      <c r="F36" s="456"/>
      <c r="G36" s="457"/>
      <c r="H36" s="458"/>
      <c r="I36" s="454"/>
      <c r="J36" s="419"/>
      <c r="K36" s="419"/>
      <c r="L36" s="423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</row>
  </sheetData>
  <mergeCells count="1">
    <mergeCell ref="B1:F2"/>
  </mergeCells>
  <pageMargins left="0.25" right="0.25" top="0.75" bottom="0.75" header="0.3" footer="0.3"/>
  <pageSetup paperSize="8" scale="85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155"/>
  <sheetViews>
    <sheetView topLeftCell="A4" zoomScale="70" zoomScaleNormal="70" workbookViewId="0">
      <selection activeCell="G17" sqref="G17"/>
    </sheetView>
  </sheetViews>
  <sheetFormatPr defaultRowHeight="15" x14ac:dyDescent="0.25"/>
  <cols>
    <col min="1" max="1" width="1" style="6" customWidth="1"/>
    <col min="2" max="3" width="9.140625" style="6"/>
    <col min="4" max="4" width="12.140625" style="6" customWidth="1"/>
    <col min="5" max="5" width="6.140625" style="6" customWidth="1"/>
    <col min="6" max="8" width="9.140625" style="6"/>
    <col min="9" max="9" width="6.140625" style="6" customWidth="1"/>
    <col min="10" max="10" width="9.140625" style="6"/>
    <col min="11" max="11" width="15" style="6" customWidth="1"/>
    <col min="12" max="12" width="4.7109375" style="6" customWidth="1"/>
    <col min="13" max="13" width="5.85546875" style="6" bestFit="1" customWidth="1"/>
    <col min="14" max="14" width="6.7109375" style="6" customWidth="1"/>
    <col min="15" max="16" width="12.42578125" style="6" bestFit="1" customWidth="1"/>
    <col min="17" max="17" width="22.140625" style="6" bestFit="1" customWidth="1"/>
    <col min="18" max="18" width="22.140625" style="6" customWidth="1"/>
    <col min="19" max="19" width="19" style="6" bestFit="1" customWidth="1"/>
    <col min="20" max="20" width="18" style="6" bestFit="1" customWidth="1"/>
    <col min="21" max="21" width="12.5703125" style="6" bestFit="1" customWidth="1"/>
    <col min="22" max="22" width="8.5703125" bestFit="1" customWidth="1"/>
    <col min="23" max="23" width="11.140625" bestFit="1" customWidth="1"/>
    <col min="24" max="25" width="9.42578125" bestFit="1" customWidth="1"/>
    <col min="26" max="26" width="9.28515625" bestFit="1" customWidth="1"/>
  </cols>
  <sheetData>
    <row r="1" spans="1:22" s="6" customFormat="1" x14ac:dyDescent="0.25">
      <c r="B1" s="71" t="s">
        <v>721</v>
      </c>
      <c r="C1" s="71"/>
    </row>
    <row r="2" spans="1:22" s="6" customFormat="1" ht="4.5" customHeight="1" thickBot="1" x14ac:dyDescent="0.3"/>
    <row r="3" spans="1:22" s="5" customFormat="1" ht="30.75" customHeight="1" x14ac:dyDescent="0.25">
      <c r="J3" s="5" t="s">
        <v>444</v>
      </c>
      <c r="N3" s="5" t="s">
        <v>445</v>
      </c>
      <c r="Q3" s="740" t="s">
        <v>549</v>
      </c>
      <c r="R3" s="1150" t="s">
        <v>1385</v>
      </c>
      <c r="S3" s="740" t="s">
        <v>550</v>
      </c>
      <c r="T3" s="740" t="s">
        <v>548</v>
      </c>
    </row>
    <row r="4" spans="1:22" ht="51.75" customHeight="1" thickBot="1" x14ac:dyDescent="0.3">
      <c r="B4" s="926" t="s">
        <v>474</v>
      </c>
      <c r="C4" s="558" t="s">
        <v>446</v>
      </c>
      <c r="D4" s="742"/>
      <c r="F4" s="5" t="s">
        <v>711</v>
      </c>
      <c r="G4" s="5"/>
      <c r="H4" s="5"/>
      <c r="J4" s="560" t="s">
        <v>448</v>
      </c>
      <c r="K4" s="559" t="s">
        <v>449</v>
      </c>
      <c r="M4" s="2"/>
      <c r="N4" s="560" t="s">
        <v>405</v>
      </c>
      <c r="O4" s="560" t="s">
        <v>446</v>
      </c>
      <c r="P4" s="560" t="s">
        <v>451</v>
      </c>
      <c r="Q4" s="921">
        <f>Assumptions!C56</f>
        <v>82000</v>
      </c>
      <c r="R4" s="921">
        <v>2</v>
      </c>
      <c r="S4" s="921">
        <f>Assumptions!C59</f>
        <v>20000</v>
      </c>
      <c r="T4" s="741">
        <v>2000</v>
      </c>
    </row>
    <row r="5" spans="1:22" ht="64.5" thickBot="1" x14ac:dyDescent="0.3">
      <c r="B5" s="927" t="s">
        <v>448</v>
      </c>
      <c r="C5" s="922" t="s">
        <v>452</v>
      </c>
      <c r="D5" s="925" t="s">
        <v>722</v>
      </c>
      <c r="F5" s="928" t="s">
        <v>444</v>
      </c>
      <c r="G5" s="929" t="s">
        <v>551</v>
      </c>
      <c r="H5" s="929" t="s">
        <v>447</v>
      </c>
      <c r="J5" s="565">
        <v>1</v>
      </c>
      <c r="K5" s="566">
        <v>1</v>
      </c>
      <c r="M5" s="2"/>
      <c r="N5" s="567" t="s">
        <v>172</v>
      </c>
      <c r="O5" s="568">
        <v>24</v>
      </c>
      <c r="P5" s="568">
        <v>31</v>
      </c>
      <c r="Q5" s="2"/>
      <c r="R5" s="2"/>
      <c r="S5" s="2"/>
      <c r="T5" s="2"/>
    </row>
    <row r="6" spans="1:22" s="831" customFormat="1" x14ac:dyDescent="0.25">
      <c r="A6" s="6"/>
      <c r="B6" s="1075" t="s">
        <v>453</v>
      </c>
      <c r="C6" s="1076">
        <v>1</v>
      </c>
      <c r="D6" s="1077">
        <f>2.50575*1.2</f>
        <v>3.0068999999999999</v>
      </c>
      <c r="E6" s="6"/>
      <c r="F6" s="932">
        <v>1</v>
      </c>
      <c r="G6" s="933">
        <f>Assumptions!C17</f>
        <v>1.3</v>
      </c>
      <c r="H6" s="934">
        <v>0.15</v>
      </c>
      <c r="I6" s="6"/>
      <c r="J6" s="565">
        <f>_xlfn.FLOOR.MATH(J5+1,1)</f>
        <v>2</v>
      </c>
      <c r="K6" s="566">
        <v>1</v>
      </c>
      <c r="L6" s="6"/>
      <c r="M6" s="2"/>
      <c r="N6" s="567" t="s">
        <v>173</v>
      </c>
      <c r="O6" s="568">
        <v>24</v>
      </c>
      <c r="P6" s="568">
        <v>28</v>
      </c>
      <c r="Q6" s="2"/>
      <c r="R6" s="2"/>
      <c r="S6" s="2"/>
      <c r="T6" s="2"/>
      <c r="U6" s="6"/>
    </row>
    <row r="7" spans="1:22" x14ac:dyDescent="0.25">
      <c r="B7" s="1078" t="s">
        <v>475</v>
      </c>
      <c r="C7" s="1079">
        <v>2</v>
      </c>
      <c r="D7" s="1080">
        <f>2.4225*1.18</f>
        <v>2.8585499999999997</v>
      </c>
      <c r="E7" s="650"/>
      <c r="F7" s="935">
        <v>2</v>
      </c>
      <c r="G7" s="563">
        <f>G6</f>
        <v>1.3</v>
      </c>
      <c r="H7" s="936">
        <v>8.8999999999999996E-2</v>
      </c>
      <c r="J7" s="565">
        <f t="shared" ref="J7:J16" si="0">J6+1</f>
        <v>3</v>
      </c>
      <c r="K7" s="566">
        <v>1</v>
      </c>
      <c r="M7" s="2"/>
      <c r="N7" s="567" t="s">
        <v>174</v>
      </c>
      <c r="O7" s="568">
        <v>22</v>
      </c>
      <c r="P7" s="568">
        <v>31</v>
      </c>
      <c r="Q7" s="2"/>
      <c r="R7" s="2"/>
      <c r="S7" s="2"/>
      <c r="T7" s="2"/>
      <c r="V7" s="2"/>
    </row>
    <row r="8" spans="1:22" ht="15.75" thickBot="1" x14ac:dyDescent="0.3">
      <c r="B8" s="1081" t="s">
        <v>1272</v>
      </c>
      <c r="C8" s="1082">
        <v>3</v>
      </c>
      <c r="D8" s="1083">
        <f>2.355*1.2</f>
        <v>2.8260000000000001</v>
      </c>
      <c r="E8" s="650"/>
      <c r="F8" s="937">
        <v>3</v>
      </c>
      <c r="G8" s="938">
        <f>G6</f>
        <v>1.3</v>
      </c>
      <c r="H8" s="939">
        <v>0.06</v>
      </c>
      <c r="J8" s="565">
        <f t="shared" si="0"/>
        <v>4</v>
      </c>
      <c r="K8" s="566">
        <v>1</v>
      </c>
      <c r="M8" s="2"/>
      <c r="N8" s="567" t="s">
        <v>175</v>
      </c>
      <c r="O8" s="568">
        <v>20</v>
      </c>
      <c r="P8" s="568">
        <v>30</v>
      </c>
      <c r="Q8" s="2"/>
      <c r="R8" s="2"/>
      <c r="S8" s="2"/>
      <c r="T8" s="2"/>
    </row>
    <row r="9" spans="1:22" x14ac:dyDescent="0.25">
      <c r="B9" s="969" t="s">
        <v>1273</v>
      </c>
      <c r="C9" s="923">
        <v>4</v>
      </c>
      <c r="D9" s="924">
        <f>1.95*0.95</f>
        <v>1.8524999999999998</v>
      </c>
      <c r="E9" s="650"/>
      <c r="F9" s="923">
        <v>4</v>
      </c>
      <c r="G9" s="930">
        <f t="shared" ref="G9:G16" si="1">$G$26*0.82</f>
        <v>1.3120000000000001</v>
      </c>
      <c r="H9" s="931">
        <v>0.04</v>
      </c>
      <c r="J9" s="565">
        <f t="shared" si="0"/>
        <v>5</v>
      </c>
      <c r="K9" s="566">
        <v>2</v>
      </c>
      <c r="M9" s="2"/>
      <c r="N9" s="567" t="s">
        <v>176</v>
      </c>
      <c r="O9" s="568">
        <v>19</v>
      </c>
      <c r="P9" s="568">
        <v>31</v>
      </c>
      <c r="Q9" s="2"/>
      <c r="R9" s="2"/>
      <c r="S9" s="2"/>
      <c r="T9" s="2"/>
    </row>
    <row r="10" spans="1:22" x14ac:dyDescent="0.25">
      <c r="B10" s="970" t="s">
        <v>476</v>
      </c>
      <c r="C10" s="562">
        <v>5</v>
      </c>
      <c r="D10" s="743">
        <f>1.635*0.95</f>
        <v>1.55325</v>
      </c>
      <c r="E10" s="650"/>
      <c r="F10" s="562">
        <v>5</v>
      </c>
      <c r="G10" s="930">
        <f t="shared" si="1"/>
        <v>1.3120000000000001</v>
      </c>
      <c r="H10" s="564">
        <v>2.1000000000000001E-2</v>
      </c>
      <c r="J10" s="565">
        <f t="shared" si="0"/>
        <v>6</v>
      </c>
      <c r="K10" s="566">
        <v>2</v>
      </c>
      <c r="M10" s="2"/>
      <c r="N10" s="567" t="s">
        <v>177</v>
      </c>
      <c r="O10" s="568">
        <v>18</v>
      </c>
      <c r="P10" s="568">
        <v>30</v>
      </c>
      <c r="Q10" s="2"/>
      <c r="R10" s="2"/>
      <c r="S10" s="2"/>
      <c r="T10" s="2"/>
    </row>
    <row r="11" spans="1:22" x14ac:dyDescent="0.25">
      <c r="B11" s="970" t="s">
        <v>477</v>
      </c>
      <c r="C11" s="562">
        <v>6</v>
      </c>
      <c r="D11" s="743">
        <f>1.3275*0.95</f>
        <v>1.2611249999999998</v>
      </c>
      <c r="E11" s="650"/>
      <c r="F11" s="562">
        <v>6</v>
      </c>
      <c r="G11" s="930">
        <f t="shared" si="1"/>
        <v>1.3120000000000001</v>
      </c>
      <c r="H11" s="564">
        <v>2.1000000000000001E-2</v>
      </c>
      <c r="J11" s="565">
        <f t="shared" si="0"/>
        <v>7</v>
      </c>
      <c r="K11" s="566">
        <v>2</v>
      </c>
      <c r="M11" s="2"/>
      <c r="N11" s="567" t="s">
        <v>166</v>
      </c>
      <c r="O11" s="568">
        <v>18</v>
      </c>
      <c r="P11" s="568">
        <v>31</v>
      </c>
      <c r="Q11" s="2"/>
      <c r="R11" s="2"/>
      <c r="S11" s="2"/>
      <c r="T11" s="2"/>
    </row>
    <row r="12" spans="1:22" x14ac:dyDescent="0.25">
      <c r="B12" s="970" t="s">
        <v>478</v>
      </c>
      <c r="C12" s="562">
        <v>7</v>
      </c>
      <c r="D12" s="743">
        <f>1.065*0.95</f>
        <v>1.0117499999999999</v>
      </c>
      <c r="E12" s="650"/>
      <c r="F12" s="562">
        <v>7</v>
      </c>
      <c r="G12" s="930">
        <f t="shared" si="1"/>
        <v>1.3120000000000001</v>
      </c>
      <c r="H12" s="564">
        <v>1.2E-2</v>
      </c>
      <c r="J12" s="565">
        <f t="shared" si="0"/>
        <v>8</v>
      </c>
      <c r="K12" s="566">
        <v>2</v>
      </c>
      <c r="M12" s="2"/>
      <c r="N12" s="567" t="s">
        <v>167</v>
      </c>
      <c r="O12" s="568">
        <v>18</v>
      </c>
      <c r="P12" s="568">
        <v>31</v>
      </c>
      <c r="Q12" s="2"/>
      <c r="R12" s="2"/>
      <c r="S12" s="2"/>
      <c r="T12" s="2"/>
    </row>
    <row r="13" spans="1:22" x14ac:dyDescent="0.25">
      <c r="B13" s="970" t="s">
        <v>479</v>
      </c>
      <c r="C13" s="562">
        <v>8</v>
      </c>
      <c r="D13" s="743">
        <f>0.75645*0.95</f>
        <v>0.71862749999999997</v>
      </c>
      <c r="E13" s="650"/>
      <c r="F13" s="562">
        <v>8</v>
      </c>
      <c r="G13" s="563">
        <f t="shared" si="1"/>
        <v>1.3120000000000001</v>
      </c>
      <c r="H13" s="564">
        <v>2E-3</v>
      </c>
      <c r="J13" s="565">
        <f t="shared" si="0"/>
        <v>9</v>
      </c>
      <c r="K13" s="566">
        <v>2</v>
      </c>
      <c r="M13" s="2"/>
      <c r="N13" s="567" t="s">
        <v>168</v>
      </c>
      <c r="O13" s="568">
        <v>20</v>
      </c>
      <c r="P13" s="568">
        <v>30</v>
      </c>
      <c r="Q13" s="2"/>
      <c r="R13" s="2"/>
      <c r="S13" s="2"/>
      <c r="T13" s="2"/>
    </row>
    <row r="14" spans="1:22" x14ac:dyDescent="0.25">
      <c r="B14" s="970" t="s">
        <v>480</v>
      </c>
      <c r="C14" s="923">
        <v>9</v>
      </c>
      <c r="D14" s="743">
        <f>0.6*0.95</f>
        <v>0.56999999999999995</v>
      </c>
      <c r="E14" s="650"/>
      <c r="F14" s="562">
        <v>9</v>
      </c>
      <c r="G14" s="563">
        <f t="shared" si="1"/>
        <v>1.3120000000000001</v>
      </c>
      <c r="H14" s="564">
        <v>2E-3</v>
      </c>
      <c r="J14" s="565">
        <f t="shared" si="0"/>
        <v>10</v>
      </c>
      <c r="K14" s="566">
        <v>2</v>
      </c>
      <c r="M14" s="2"/>
      <c r="N14" s="567" t="s">
        <v>169</v>
      </c>
      <c r="O14" s="568">
        <v>21</v>
      </c>
      <c r="P14" s="568">
        <v>31</v>
      </c>
      <c r="Q14" s="2"/>
      <c r="R14" s="2"/>
      <c r="S14" s="2"/>
      <c r="T14" s="2"/>
    </row>
    <row r="15" spans="1:22" x14ac:dyDescent="0.25">
      <c r="B15" s="970" t="s">
        <v>481</v>
      </c>
      <c r="C15" s="562">
        <v>10</v>
      </c>
      <c r="D15" s="743">
        <f>0.54*0.95</f>
        <v>0.51300000000000001</v>
      </c>
      <c r="E15" s="650"/>
      <c r="F15" s="562">
        <v>10</v>
      </c>
      <c r="G15" s="563">
        <f t="shared" si="1"/>
        <v>1.3120000000000001</v>
      </c>
      <c r="H15" s="564">
        <v>2E-3</v>
      </c>
      <c r="J15" s="565">
        <f t="shared" si="0"/>
        <v>11</v>
      </c>
      <c r="K15" s="566">
        <v>2</v>
      </c>
      <c r="M15" s="2"/>
      <c r="N15" s="567" t="s">
        <v>170</v>
      </c>
      <c r="O15" s="568">
        <v>23</v>
      </c>
      <c r="P15" s="568">
        <v>30</v>
      </c>
      <c r="Q15" s="2"/>
      <c r="R15" s="2"/>
      <c r="S15" s="2"/>
      <c r="T15" s="2"/>
    </row>
    <row r="16" spans="1:22" x14ac:dyDescent="0.25">
      <c r="B16" s="970" t="s">
        <v>482</v>
      </c>
      <c r="C16" s="562">
        <v>11</v>
      </c>
      <c r="D16" s="743">
        <f>0.51*0.85</f>
        <v>0.4335</v>
      </c>
      <c r="E16" s="650"/>
      <c r="F16" s="562">
        <v>11</v>
      </c>
      <c r="G16" s="563">
        <f t="shared" si="1"/>
        <v>1.3120000000000001</v>
      </c>
      <c r="H16" s="564">
        <v>2E-3</v>
      </c>
      <c r="J16" s="565">
        <f t="shared" si="0"/>
        <v>12</v>
      </c>
      <c r="K16" s="566">
        <v>3</v>
      </c>
      <c r="M16" s="2"/>
      <c r="N16" s="567" t="s">
        <v>171</v>
      </c>
      <c r="O16" s="568">
        <v>24</v>
      </c>
      <c r="P16" s="568">
        <v>31</v>
      </c>
      <c r="Q16" s="2"/>
      <c r="R16" s="2"/>
      <c r="S16" s="2"/>
      <c r="T16" s="2"/>
    </row>
    <row r="17" spans="2:20" x14ac:dyDescent="0.25">
      <c r="B17" s="970" t="s">
        <v>483</v>
      </c>
      <c r="C17" s="562">
        <v>12</v>
      </c>
      <c r="D17" s="743">
        <f>0.495*0.85</f>
        <v>0.42075000000000001</v>
      </c>
      <c r="E17" s="650"/>
      <c r="F17" s="562">
        <v>12</v>
      </c>
      <c r="G17" s="563">
        <f>$G$26*0.85</f>
        <v>1.36</v>
      </c>
      <c r="H17" s="564">
        <v>2E-3</v>
      </c>
      <c r="J17" s="565">
        <f t="shared" ref="J17:J20" si="2">J16+1</f>
        <v>13</v>
      </c>
      <c r="K17" s="566">
        <v>3</v>
      </c>
      <c r="M17" s="2"/>
      <c r="Q17" s="2"/>
      <c r="R17" s="2"/>
      <c r="S17" s="2"/>
      <c r="T17" s="2"/>
    </row>
    <row r="18" spans="2:20" x14ac:dyDescent="0.25">
      <c r="B18" s="970" t="s">
        <v>484</v>
      </c>
      <c r="C18" s="562">
        <v>13</v>
      </c>
      <c r="D18" s="743">
        <f>0.49508*0.85</f>
        <v>0.42081800000000003</v>
      </c>
      <c r="E18" s="650"/>
      <c r="F18" s="562">
        <v>13</v>
      </c>
      <c r="G18" s="563">
        <f t="shared" ref="G18:G20" si="3">$G$26*0.85</f>
        <v>1.36</v>
      </c>
      <c r="H18" s="564">
        <v>2E-3</v>
      </c>
      <c r="J18" s="565">
        <f t="shared" si="2"/>
        <v>14</v>
      </c>
      <c r="K18" s="566">
        <v>3</v>
      </c>
      <c r="M18" s="2"/>
      <c r="N18" s="2"/>
      <c r="O18" s="2"/>
      <c r="P18" s="2"/>
      <c r="Q18" s="2"/>
      <c r="R18" s="2"/>
      <c r="S18" s="2"/>
      <c r="T18" s="2"/>
    </row>
    <row r="19" spans="2:20" ht="15.75" x14ac:dyDescent="0.25">
      <c r="B19" s="970" t="s">
        <v>485</v>
      </c>
      <c r="C19" s="923">
        <v>14</v>
      </c>
      <c r="D19" s="743">
        <f>0.4875*0.85</f>
        <v>0.41437499999999999</v>
      </c>
      <c r="E19" s="650"/>
      <c r="F19" s="562">
        <v>14</v>
      </c>
      <c r="G19" s="563">
        <f t="shared" si="3"/>
        <v>1.36</v>
      </c>
      <c r="H19" s="564">
        <v>2E-3</v>
      </c>
      <c r="J19" s="565">
        <f t="shared" si="2"/>
        <v>15</v>
      </c>
      <c r="K19" s="566">
        <v>3</v>
      </c>
      <c r="M19" s="2"/>
      <c r="N19" s="5" t="s">
        <v>405</v>
      </c>
      <c r="O19" s="5"/>
      <c r="P19" s="2"/>
      <c r="Q19" s="2"/>
      <c r="R19" s="2"/>
      <c r="S19" s="2"/>
      <c r="T19" s="2"/>
    </row>
    <row r="20" spans="2:20" ht="15.75" customHeight="1" x14ac:dyDescent="0.25">
      <c r="B20" s="970" t="s">
        <v>486</v>
      </c>
      <c r="C20" s="562">
        <v>15</v>
      </c>
      <c r="D20" s="743">
        <f>0.48*0.85</f>
        <v>0.40799999999999997</v>
      </c>
      <c r="E20" s="650"/>
      <c r="F20" s="562">
        <v>15</v>
      </c>
      <c r="G20" s="563">
        <f t="shared" si="3"/>
        <v>1.36</v>
      </c>
      <c r="H20" s="564">
        <v>2E-3</v>
      </c>
      <c r="J20" s="565">
        <f t="shared" si="2"/>
        <v>16</v>
      </c>
      <c r="K20" s="566">
        <v>3</v>
      </c>
      <c r="M20" s="2"/>
      <c r="N20" s="560" t="s">
        <v>405</v>
      </c>
      <c r="O20" s="561"/>
      <c r="P20" s="2"/>
      <c r="Q20" s="2"/>
      <c r="R20" s="2"/>
      <c r="S20" s="2"/>
      <c r="T20" s="2"/>
    </row>
    <row r="21" spans="2:20" x14ac:dyDescent="0.25">
      <c r="B21" s="970" t="s">
        <v>487</v>
      </c>
      <c r="C21" s="562">
        <v>16</v>
      </c>
      <c r="D21" s="743">
        <f>0.48*0.8</f>
        <v>0.38400000000000001</v>
      </c>
      <c r="E21" s="650"/>
      <c r="F21" s="562">
        <v>16</v>
      </c>
      <c r="G21" s="563">
        <f>$G$26*0.9</f>
        <v>1.4400000000000002</v>
      </c>
      <c r="H21" s="564">
        <v>2E-3</v>
      </c>
      <c r="J21" s="565">
        <f t="shared" ref="J21:J84" si="4">J20+1</f>
        <v>17</v>
      </c>
      <c r="K21" s="566">
        <v>3</v>
      </c>
      <c r="M21" s="2"/>
      <c r="N21" s="567">
        <v>1</v>
      </c>
      <c r="O21" s="568" t="s">
        <v>172</v>
      </c>
      <c r="P21" s="2"/>
      <c r="Q21" s="2"/>
      <c r="R21" s="2"/>
      <c r="S21" s="2"/>
      <c r="T21" s="2"/>
    </row>
    <row r="22" spans="2:20" x14ac:dyDescent="0.25">
      <c r="B22" s="970" t="s">
        <v>488</v>
      </c>
      <c r="C22" s="562">
        <v>17</v>
      </c>
      <c r="D22" s="743">
        <f>0.48*0.75</f>
        <v>0.36</v>
      </c>
      <c r="E22" s="650"/>
      <c r="F22" s="562">
        <v>17</v>
      </c>
      <c r="G22" s="563">
        <f t="shared" ref="G22" si="5">$G$26*0.9</f>
        <v>1.4400000000000002</v>
      </c>
      <c r="H22" s="564">
        <v>2E-3</v>
      </c>
      <c r="J22" s="565">
        <f t="shared" si="4"/>
        <v>18</v>
      </c>
      <c r="K22" s="566">
        <v>3</v>
      </c>
      <c r="M22" s="2"/>
      <c r="N22" s="567">
        <v>2</v>
      </c>
      <c r="O22" s="568" t="s">
        <v>173</v>
      </c>
      <c r="P22" s="2"/>
      <c r="Q22" s="2"/>
      <c r="R22" s="2"/>
      <c r="S22" s="2"/>
      <c r="T22" s="2"/>
    </row>
    <row r="23" spans="2:20" x14ac:dyDescent="0.25">
      <c r="B23" s="970" t="s">
        <v>489</v>
      </c>
      <c r="C23" s="562">
        <v>18</v>
      </c>
      <c r="D23" s="743">
        <f>0.4725*0.75</f>
        <v>0.354375</v>
      </c>
      <c r="E23" s="650"/>
      <c r="F23" s="562">
        <v>18</v>
      </c>
      <c r="G23" s="563">
        <f>G26</f>
        <v>1.6</v>
      </c>
      <c r="H23" s="564">
        <v>2E-3</v>
      </c>
      <c r="J23" s="565">
        <f t="shared" si="4"/>
        <v>19</v>
      </c>
      <c r="K23" s="566">
        <v>3</v>
      </c>
      <c r="M23" s="2"/>
      <c r="N23" s="567">
        <v>3</v>
      </c>
      <c r="O23" s="568" t="s">
        <v>174</v>
      </c>
      <c r="P23" s="2"/>
      <c r="Q23" s="2"/>
      <c r="R23" s="2"/>
      <c r="S23" s="2"/>
      <c r="T23" s="2"/>
    </row>
    <row r="24" spans="2:20" x14ac:dyDescent="0.25">
      <c r="B24" s="970" t="s">
        <v>490</v>
      </c>
      <c r="C24" s="923">
        <v>19</v>
      </c>
      <c r="D24" s="743">
        <f>0.465*0.8</f>
        <v>0.37200000000000005</v>
      </c>
      <c r="E24" s="650"/>
      <c r="F24" s="562">
        <v>19</v>
      </c>
      <c r="G24" s="563">
        <f>G26</f>
        <v>1.6</v>
      </c>
      <c r="H24" s="564">
        <v>2E-3</v>
      </c>
      <c r="J24" s="565">
        <f t="shared" si="4"/>
        <v>20</v>
      </c>
      <c r="K24" s="566">
        <v>3</v>
      </c>
      <c r="M24" s="2"/>
      <c r="N24" s="567">
        <v>4</v>
      </c>
      <c r="O24" s="568" t="s">
        <v>175</v>
      </c>
      <c r="P24" s="2"/>
      <c r="Q24" s="2"/>
      <c r="R24" s="2"/>
      <c r="S24" s="2"/>
      <c r="T24" s="2"/>
    </row>
    <row r="25" spans="2:20" x14ac:dyDescent="0.25">
      <c r="B25" s="970" t="s">
        <v>491</v>
      </c>
      <c r="C25" s="562">
        <v>20</v>
      </c>
      <c r="D25" s="743">
        <f>0.465*0.8</f>
        <v>0.37200000000000005</v>
      </c>
      <c r="E25" s="650"/>
      <c r="F25" s="562">
        <v>20</v>
      </c>
      <c r="G25" s="563">
        <f>G26</f>
        <v>1.6</v>
      </c>
      <c r="H25" s="564">
        <v>2E-3</v>
      </c>
      <c r="J25" s="903">
        <f t="shared" si="4"/>
        <v>21</v>
      </c>
      <c r="K25" s="566">
        <v>3</v>
      </c>
      <c r="M25" s="2"/>
      <c r="N25" s="567">
        <v>5</v>
      </c>
      <c r="O25" s="568" t="s">
        <v>176</v>
      </c>
      <c r="P25" s="2"/>
      <c r="Q25" s="2"/>
      <c r="R25" s="2"/>
      <c r="S25" s="2"/>
      <c r="T25" s="2"/>
    </row>
    <row r="26" spans="2:20" x14ac:dyDescent="0.25">
      <c r="B26" s="970" t="s">
        <v>491</v>
      </c>
      <c r="C26" s="923">
        <v>21</v>
      </c>
      <c r="D26" s="743">
        <f>0.465*0.75</f>
        <v>0.34875</v>
      </c>
      <c r="E26" s="650"/>
      <c r="F26" s="562">
        <v>21</v>
      </c>
      <c r="G26" s="563">
        <f>Assumptions!C18</f>
        <v>1.6</v>
      </c>
      <c r="H26" s="564">
        <v>2E-3</v>
      </c>
      <c r="J26" s="903">
        <f t="shared" si="4"/>
        <v>22</v>
      </c>
      <c r="K26" s="566">
        <v>3</v>
      </c>
      <c r="M26" s="2"/>
      <c r="N26" s="567">
        <v>6</v>
      </c>
      <c r="O26" s="568" t="s">
        <v>177</v>
      </c>
      <c r="P26" s="2"/>
      <c r="Q26" s="2"/>
      <c r="R26" s="2"/>
      <c r="S26" s="2"/>
      <c r="T26" s="2"/>
    </row>
    <row r="27" spans="2:20" x14ac:dyDescent="0.25">
      <c r="B27" s="746"/>
      <c r="C27" s="746"/>
      <c r="D27" s="649"/>
      <c r="E27" s="649"/>
      <c r="F27" s="900"/>
      <c r="G27" s="901"/>
      <c r="H27" s="902"/>
      <c r="J27" s="903">
        <f t="shared" si="4"/>
        <v>23</v>
      </c>
      <c r="K27" s="566">
        <v>3</v>
      </c>
      <c r="M27" s="2"/>
      <c r="N27" s="567">
        <v>7</v>
      </c>
      <c r="O27" s="568" t="s">
        <v>166</v>
      </c>
      <c r="P27" s="2"/>
      <c r="Q27" s="2"/>
      <c r="R27" s="2"/>
      <c r="S27" s="2"/>
      <c r="T27" s="2"/>
    </row>
    <row r="28" spans="2:20" x14ac:dyDescent="0.25">
      <c r="B28" s="746"/>
      <c r="C28" s="746"/>
      <c r="D28" s="649"/>
      <c r="E28" s="649"/>
      <c r="F28" s="900"/>
      <c r="G28" s="901"/>
      <c r="H28" s="902"/>
      <c r="J28" s="903">
        <f t="shared" si="4"/>
        <v>24</v>
      </c>
      <c r="K28" s="566">
        <v>3</v>
      </c>
      <c r="M28" s="2"/>
      <c r="N28" s="567">
        <v>8</v>
      </c>
      <c r="O28" s="568" t="s">
        <v>167</v>
      </c>
      <c r="P28" s="2"/>
      <c r="Q28" s="2"/>
      <c r="R28" s="2"/>
      <c r="S28" s="2"/>
      <c r="T28" s="2"/>
    </row>
    <row r="29" spans="2:20" x14ac:dyDescent="0.25">
      <c r="B29" s="746"/>
      <c r="C29" s="746"/>
      <c r="D29" s="649"/>
      <c r="E29" s="649"/>
      <c r="F29" s="900"/>
      <c r="G29" s="901"/>
      <c r="H29" s="902"/>
      <c r="J29" s="903">
        <f t="shared" si="4"/>
        <v>25</v>
      </c>
      <c r="K29" s="566">
        <v>4</v>
      </c>
      <c r="M29" s="2"/>
      <c r="N29" s="567">
        <v>9</v>
      </c>
      <c r="O29" s="568" t="s">
        <v>168</v>
      </c>
      <c r="P29" s="2"/>
      <c r="Q29" s="2"/>
      <c r="R29" s="2"/>
      <c r="S29" s="2"/>
      <c r="T29" s="2"/>
    </row>
    <row r="30" spans="2:20" x14ac:dyDescent="0.25">
      <c r="B30" s="746"/>
      <c r="C30" s="746"/>
      <c r="D30" s="649"/>
      <c r="E30" s="649"/>
      <c r="F30" s="900"/>
      <c r="G30" s="901"/>
      <c r="H30" s="902"/>
      <c r="J30" s="903">
        <f t="shared" si="4"/>
        <v>26</v>
      </c>
      <c r="K30" s="566">
        <v>4</v>
      </c>
      <c r="M30" s="2"/>
      <c r="N30" s="567">
        <v>10</v>
      </c>
      <c r="O30" s="568" t="s">
        <v>169</v>
      </c>
      <c r="P30" s="2"/>
      <c r="Q30" s="2"/>
      <c r="R30" s="2"/>
      <c r="S30" s="2"/>
      <c r="T30" s="2"/>
    </row>
    <row r="31" spans="2:20" x14ac:dyDescent="0.25">
      <c r="B31" s="746"/>
      <c r="C31" s="746"/>
      <c r="D31" s="649"/>
      <c r="E31" s="649"/>
      <c r="F31" s="900"/>
      <c r="G31" s="901"/>
      <c r="H31" s="902"/>
      <c r="J31" s="903">
        <f t="shared" si="4"/>
        <v>27</v>
      </c>
      <c r="K31" s="566">
        <v>4</v>
      </c>
      <c r="M31" s="2"/>
      <c r="N31" s="567">
        <v>11</v>
      </c>
      <c r="O31" s="568" t="s">
        <v>170</v>
      </c>
      <c r="P31" s="2"/>
      <c r="Q31" s="2"/>
      <c r="R31" s="2"/>
      <c r="S31" s="2"/>
      <c r="T31" s="2"/>
    </row>
    <row r="32" spans="2:20" x14ac:dyDescent="0.25">
      <c r="B32" s="746"/>
      <c r="C32" s="746"/>
      <c r="D32" s="649"/>
      <c r="E32" s="649"/>
      <c r="F32" s="900"/>
      <c r="G32" s="901"/>
      <c r="H32" s="902"/>
      <c r="J32" s="903">
        <f t="shared" si="4"/>
        <v>28</v>
      </c>
      <c r="K32" s="566">
        <v>4</v>
      </c>
      <c r="M32" s="2"/>
      <c r="N32" s="567">
        <v>12</v>
      </c>
      <c r="O32" s="568" t="s">
        <v>171</v>
      </c>
      <c r="P32" s="2"/>
      <c r="Q32" s="2"/>
      <c r="R32" s="2"/>
      <c r="S32" s="2"/>
      <c r="T32" s="2"/>
    </row>
    <row r="33" spans="2:20" x14ac:dyDescent="0.25">
      <c r="B33" s="746"/>
      <c r="C33" s="746"/>
      <c r="D33" s="649"/>
      <c r="E33" s="649"/>
      <c r="F33" s="900"/>
      <c r="G33" s="901"/>
      <c r="H33" s="902"/>
      <c r="J33" s="903">
        <f t="shared" si="4"/>
        <v>29</v>
      </c>
      <c r="K33" s="566">
        <v>4</v>
      </c>
      <c r="M33" s="2"/>
      <c r="N33" s="567">
        <v>13</v>
      </c>
      <c r="O33" s="568" t="s">
        <v>172</v>
      </c>
      <c r="P33" s="2"/>
      <c r="Q33" s="2"/>
      <c r="R33" s="2"/>
      <c r="S33" s="2"/>
      <c r="T33" s="2"/>
    </row>
    <row r="34" spans="2:20" x14ac:dyDescent="0.25">
      <c r="B34" s="746"/>
      <c r="C34" s="746"/>
      <c r="D34" s="649"/>
      <c r="E34" s="649"/>
      <c r="F34" s="900"/>
      <c r="G34" s="901"/>
      <c r="H34" s="902"/>
      <c r="J34" s="903">
        <f t="shared" si="4"/>
        <v>30</v>
      </c>
      <c r="K34" s="566">
        <v>4</v>
      </c>
      <c r="M34" s="2"/>
      <c r="N34" s="567">
        <v>14</v>
      </c>
      <c r="O34" s="568" t="s">
        <v>173</v>
      </c>
      <c r="P34" s="2"/>
      <c r="Q34" s="2"/>
      <c r="R34" s="2"/>
      <c r="S34" s="2"/>
      <c r="T34" s="2"/>
    </row>
    <row r="35" spans="2:20" x14ac:dyDescent="0.25">
      <c r="B35" s="746"/>
      <c r="C35" s="746"/>
      <c r="D35" s="649"/>
      <c r="E35" s="649"/>
      <c r="F35" s="900"/>
      <c r="G35" s="901"/>
      <c r="H35" s="902"/>
      <c r="J35" s="903">
        <f t="shared" si="4"/>
        <v>31</v>
      </c>
      <c r="K35" s="566">
        <v>4</v>
      </c>
      <c r="N35" s="567">
        <v>15</v>
      </c>
      <c r="O35" s="568" t="s">
        <v>174</v>
      </c>
    </row>
    <row r="36" spans="2:20" x14ac:dyDescent="0.25">
      <c r="B36" s="746"/>
      <c r="C36" s="746"/>
      <c r="D36" s="649"/>
      <c r="E36" s="649"/>
      <c r="F36" s="900"/>
      <c r="G36" s="901"/>
      <c r="H36" s="902"/>
      <c r="J36" s="903">
        <f t="shared" si="4"/>
        <v>32</v>
      </c>
      <c r="K36" s="566">
        <v>4</v>
      </c>
      <c r="N36" s="567">
        <v>16</v>
      </c>
      <c r="O36" s="568" t="s">
        <v>175</v>
      </c>
    </row>
    <row r="37" spans="2:20" x14ac:dyDescent="0.25">
      <c r="B37" s="746"/>
      <c r="C37" s="746"/>
      <c r="D37" s="649"/>
      <c r="E37" s="649"/>
      <c r="F37" s="900"/>
      <c r="G37" s="901"/>
      <c r="H37" s="902"/>
      <c r="J37" s="903">
        <f t="shared" si="4"/>
        <v>33</v>
      </c>
      <c r="K37" s="566">
        <v>4</v>
      </c>
      <c r="N37" s="567">
        <v>17</v>
      </c>
      <c r="O37" s="568" t="s">
        <v>176</v>
      </c>
    </row>
    <row r="38" spans="2:20" x14ac:dyDescent="0.25">
      <c r="B38" s="746"/>
      <c r="C38" s="746"/>
      <c r="D38" s="649"/>
      <c r="E38" s="649"/>
      <c r="F38" s="900"/>
      <c r="G38" s="901"/>
      <c r="H38" s="902"/>
      <c r="J38" s="903">
        <f t="shared" si="4"/>
        <v>34</v>
      </c>
      <c r="K38" s="566">
        <v>4</v>
      </c>
      <c r="N38" s="567">
        <v>18</v>
      </c>
      <c r="O38" s="568" t="s">
        <v>177</v>
      </c>
    </row>
    <row r="39" spans="2:20" x14ac:dyDescent="0.25">
      <c r="B39" s="746"/>
      <c r="C39" s="746"/>
      <c r="D39" s="649"/>
      <c r="E39" s="649"/>
      <c r="F39" s="900"/>
      <c r="G39" s="901"/>
      <c r="H39" s="902"/>
      <c r="J39" s="903">
        <f t="shared" si="4"/>
        <v>35</v>
      </c>
      <c r="K39" s="566">
        <v>4</v>
      </c>
      <c r="N39" s="567">
        <v>19</v>
      </c>
      <c r="O39" s="568" t="s">
        <v>166</v>
      </c>
    </row>
    <row r="40" spans="2:20" x14ac:dyDescent="0.25">
      <c r="B40" s="746"/>
      <c r="C40" s="746"/>
      <c r="D40" s="649"/>
      <c r="E40" s="649"/>
      <c r="F40" s="900"/>
      <c r="G40" s="901"/>
      <c r="H40" s="902"/>
      <c r="J40" s="903">
        <f t="shared" si="4"/>
        <v>36</v>
      </c>
      <c r="K40" s="566">
        <v>4</v>
      </c>
      <c r="N40" s="567">
        <v>20</v>
      </c>
      <c r="O40" s="568" t="s">
        <v>167</v>
      </c>
    </row>
    <row r="41" spans="2:20" x14ac:dyDescent="0.25">
      <c r="B41" s="746"/>
      <c r="C41" s="746"/>
      <c r="D41" s="649"/>
      <c r="E41" s="649"/>
      <c r="F41" s="900"/>
      <c r="G41" s="901"/>
      <c r="H41" s="902"/>
      <c r="J41" s="903">
        <f t="shared" si="4"/>
        <v>37</v>
      </c>
      <c r="K41" s="566">
        <v>4</v>
      </c>
      <c r="N41" s="567">
        <v>21</v>
      </c>
      <c r="O41" s="568" t="s">
        <v>168</v>
      </c>
    </row>
    <row r="42" spans="2:20" x14ac:dyDescent="0.25">
      <c r="B42" s="746"/>
      <c r="C42" s="746"/>
      <c r="D42" s="649"/>
      <c r="E42" s="649"/>
      <c r="F42" s="900"/>
      <c r="G42" s="901"/>
      <c r="H42" s="902"/>
      <c r="J42" s="903">
        <f t="shared" si="4"/>
        <v>38</v>
      </c>
      <c r="K42" s="566">
        <v>4</v>
      </c>
      <c r="N42" s="567">
        <v>22</v>
      </c>
      <c r="O42" s="568" t="s">
        <v>169</v>
      </c>
    </row>
    <row r="43" spans="2:20" x14ac:dyDescent="0.25">
      <c r="B43" s="746"/>
      <c r="C43" s="746"/>
      <c r="D43" s="31"/>
      <c r="E43" s="31"/>
      <c r="F43" s="900"/>
      <c r="G43" s="901"/>
      <c r="H43" s="902"/>
      <c r="J43" s="903">
        <f t="shared" si="4"/>
        <v>39</v>
      </c>
      <c r="K43" s="566">
        <v>4</v>
      </c>
      <c r="N43" s="567">
        <v>23</v>
      </c>
      <c r="O43" s="568" t="s">
        <v>170</v>
      </c>
    </row>
    <row r="44" spans="2:20" x14ac:dyDescent="0.25">
      <c r="B44" s="746"/>
      <c r="C44" s="746"/>
      <c r="D44" s="31"/>
      <c r="E44" s="31"/>
      <c r="F44" s="900"/>
      <c r="G44" s="901"/>
      <c r="H44" s="902"/>
      <c r="J44" s="903">
        <f t="shared" si="4"/>
        <v>40</v>
      </c>
      <c r="K44" s="566">
        <v>4</v>
      </c>
      <c r="N44" s="567">
        <v>24</v>
      </c>
      <c r="O44" s="568" t="s">
        <v>171</v>
      </c>
    </row>
    <row r="45" spans="2:20" x14ac:dyDescent="0.25">
      <c r="B45" s="746"/>
      <c r="C45" s="746"/>
      <c r="D45" s="31"/>
      <c r="E45" s="31"/>
      <c r="F45" s="900"/>
      <c r="G45" s="901"/>
      <c r="H45" s="902"/>
      <c r="J45" s="903">
        <f t="shared" si="4"/>
        <v>41</v>
      </c>
      <c r="K45" s="566">
        <v>4</v>
      </c>
      <c r="N45" s="567">
        <v>25</v>
      </c>
      <c r="O45" s="568" t="s">
        <v>172</v>
      </c>
    </row>
    <row r="46" spans="2:20" x14ac:dyDescent="0.25">
      <c r="B46" s="746"/>
      <c r="C46" s="746"/>
      <c r="D46" s="31"/>
      <c r="E46" s="31"/>
      <c r="F46" s="900"/>
      <c r="G46" s="901"/>
      <c r="H46" s="902"/>
      <c r="J46" s="903">
        <f t="shared" si="4"/>
        <v>42</v>
      </c>
      <c r="K46" s="566">
        <v>4</v>
      </c>
      <c r="N46" s="567">
        <v>26</v>
      </c>
      <c r="O46" s="568" t="s">
        <v>173</v>
      </c>
    </row>
    <row r="47" spans="2:20" x14ac:dyDescent="0.25">
      <c r="B47" s="746"/>
      <c r="C47" s="746"/>
      <c r="D47" s="31"/>
      <c r="E47" s="31"/>
      <c r="F47" s="900"/>
      <c r="G47" s="901"/>
      <c r="H47" s="902"/>
      <c r="J47" s="903">
        <f t="shared" si="4"/>
        <v>43</v>
      </c>
      <c r="K47" s="566">
        <v>4</v>
      </c>
      <c r="N47" s="567">
        <v>27</v>
      </c>
      <c r="O47" s="568" t="s">
        <v>174</v>
      </c>
    </row>
    <row r="48" spans="2:20" x14ac:dyDescent="0.25">
      <c r="B48" s="746"/>
      <c r="C48" s="746"/>
      <c r="D48" s="31"/>
      <c r="E48" s="31"/>
      <c r="F48" s="900"/>
      <c r="G48" s="901"/>
      <c r="H48" s="902"/>
      <c r="J48" s="903">
        <f t="shared" si="4"/>
        <v>44</v>
      </c>
      <c r="K48" s="566">
        <v>4</v>
      </c>
      <c r="N48" s="567">
        <v>28</v>
      </c>
      <c r="O48" s="568" t="s">
        <v>175</v>
      </c>
    </row>
    <row r="49" spans="2:15" x14ac:dyDescent="0.25">
      <c r="B49" s="746"/>
      <c r="C49" s="746"/>
      <c r="D49" s="31"/>
      <c r="E49" s="31"/>
      <c r="F49" s="900"/>
      <c r="G49" s="901"/>
      <c r="H49" s="902"/>
      <c r="J49" s="903">
        <f t="shared" si="4"/>
        <v>45</v>
      </c>
      <c r="K49" s="566">
        <v>4</v>
      </c>
      <c r="N49" s="567">
        <v>29</v>
      </c>
      <c r="O49" s="568" t="s">
        <v>176</v>
      </c>
    </row>
    <row r="50" spans="2:15" x14ac:dyDescent="0.25">
      <c r="B50" s="746"/>
      <c r="C50" s="746"/>
      <c r="D50" s="31"/>
      <c r="E50" s="31"/>
      <c r="F50" s="900"/>
      <c r="G50" s="901"/>
      <c r="H50" s="902"/>
      <c r="J50" s="903">
        <f t="shared" si="4"/>
        <v>46</v>
      </c>
      <c r="K50" s="566">
        <v>4</v>
      </c>
      <c r="N50" s="567">
        <v>30</v>
      </c>
      <c r="O50" s="568" t="s">
        <v>177</v>
      </c>
    </row>
    <row r="51" spans="2:15" x14ac:dyDescent="0.25">
      <c r="B51" s="746"/>
      <c r="C51" s="746"/>
      <c r="D51" s="31"/>
      <c r="E51" s="31"/>
      <c r="F51" s="900"/>
      <c r="G51" s="901"/>
      <c r="H51" s="902"/>
      <c r="J51" s="903">
        <f t="shared" si="4"/>
        <v>47</v>
      </c>
      <c r="K51" s="566">
        <v>4</v>
      </c>
      <c r="N51" s="567">
        <v>31</v>
      </c>
      <c r="O51" s="568" t="s">
        <v>166</v>
      </c>
    </row>
    <row r="52" spans="2:15" x14ac:dyDescent="0.25">
      <c r="B52" s="746"/>
      <c r="C52" s="746"/>
      <c r="D52" s="31"/>
      <c r="E52" s="31"/>
      <c r="J52" s="903">
        <f t="shared" si="4"/>
        <v>48</v>
      </c>
      <c r="K52" s="566">
        <v>4</v>
      </c>
      <c r="N52" s="567">
        <v>32</v>
      </c>
      <c r="O52" s="568" t="s">
        <v>167</v>
      </c>
    </row>
    <row r="53" spans="2:15" x14ac:dyDescent="0.25">
      <c r="B53" s="31"/>
      <c r="C53" s="31"/>
      <c r="D53" s="31"/>
      <c r="E53" s="31"/>
      <c r="F53" s="31"/>
      <c r="G53" s="31"/>
      <c r="H53" s="31"/>
      <c r="J53" s="903">
        <f t="shared" si="4"/>
        <v>49</v>
      </c>
      <c r="K53" s="566">
        <v>4</v>
      </c>
      <c r="N53" s="567">
        <v>33</v>
      </c>
      <c r="O53" s="568" t="s">
        <v>168</v>
      </c>
    </row>
    <row r="54" spans="2:15" x14ac:dyDescent="0.25">
      <c r="B54" s="31"/>
      <c r="C54" s="31"/>
      <c r="D54" s="31"/>
      <c r="E54" s="31"/>
      <c r="F54" s="31"/>
      <c r="G54" s="31"/>
      <c r="H54" s="31"/>
      <c r="J54" s="903">
        <f t="shared" si="4"/>
        <v>50</v>
      </c>
      <c r="K54" s="566">
        <v>4</v>
      </c>
      <c r="N54" s="567">
        <v>34</v>
      </c>
      <c r="O54" s="568" t="s">
        <v>169</v>
      </c>
    </row>
    <row r="55" spans="2:15" x14ac:dyDescent="0.25">
      <c r="B55" s="31"/>
      <c r="C55" s="31"/>
      <c r="D55" s="31"/>
      <c r="E55" s="31"/>
      <c r="F55" s="31"/>
      <c r="G55" s="31"/>
      <c r="H55" s="31"/>
      <c r="J55" s="903">
        <f t="shared" si="4"/>
        <v>51</v>
      </c>
      <c r="K55" s="566">
        <v>4</v>
      </c>
      <c r="N55" s="567">
        <v>35</v>
      </c>
      <c r="O55" s="568" t="s">
        <v>170</v>
      </c>
    </row>
    <row r="56" spans="2:15" x14ac:dyDescent="0.25">
      <c r="B56" s="31"/>
      <c r="C56" s="31"/>
      <c r="D56" s="31"/>
      <c r="E56" s="31"/>
      <c r="F56" s="31"/>
      <c r="G56" s="31"/>
      <c r="H56" s="31"/>
      <c r="J56" s="903">
        <f t="shared" si="4"/>
        <v>52</v>
      </c>
      <c r="K56" s="566">
        <v>4</v>
      </c>
      <c r="N56" s="567">
        <v>36</v>
      </c>
      <c r="O56" s="568" t="s">
        <v>171</v>
      </c>
    </row>
    <row r="57" spans="2:15" x14ac:dyDescent="0.25">
      <c r="B57" s="31"/>
      <c r="C57" s="31"/>
      <c r="D57" s="31"/>
      <c r="E57" s="31"/>
      <c r="F57" s="31"/>
      <c r="G57" s="31"/>
      <c r="H57" s="31"/>
      <c r="J57" s="903">
        <f t="shared" si="4"/>
        <v>53</v>
      </c>
      <c r="K57" s="566">
        <v>4</v>
      </c>
    </row>
    <row r="58" spans="2:15" x14ac:dyDescent="0.25">
      <c r="B58" s="31"/>
      <c r="C58" s="31"/>
      <c r="D58" s="31"/>
      <c r="E58" s="31"/>
      <c r="F58" s="31"/>
      <c r="G58" s="31"/>
      <c r="H58" s="31"/>
      <c r="J58" s="903">
        <f t="shared" si="4"/>
        <v>54</v>
      </c>
      <c r="K58" s="566">
        <v>4</v>
      </c>
    </row>
    <row r="59" spans="2:15" x14ac:dyDescent="0.25">
      <c r="B59" s="31"/>
      <c r="C59" s="31"/>
      <c r="D59" s="31"/>
      <c r="E59" s="31"/>
      <c r="F59" s="31"/>
      <c r="G59" s="31"/>
      <c r="H59" s="31"/>
      <c r="J59" s="903">
        <f t="shared" si="4"/>
        <v>55</v>
      </c>
      <c r="K59" s="566">
        <v>4</v>
      </c>
    </row>
    <row r="60" spans="2:15" x14ac:dyDescent="0.25">
      <c r="B60" s="31"/>
      <c r="C60" s="31"/>
      <c r="D60" s="31"/>
      <c r="E60" s="31"/>
      <c r="F60" s="31"/>
      <c r="G60" s="31"/>
      <c r="H60" s="31"/>
      <c r="J60" s="903">
        <f t="shared" si="4"/>
        <v>56</v>
      </c>
      <c r="K60" s="566">
        <v>4</v>
      </c>
    </row>
    <row r="61" spans="2:15" x14ac:dyDescent="0.25">
      <c r="B61" s="31"/>
      <c r="C61" s="31"/>
      <c r="D61" s="31"/>
      <c r="E61" s="31"/>
      <c r="F61" s="31"/>
      <c r="G61" s="31"/>
      <c r="H61" s="31"/>
      <c r="J61" s="903">
        <f t="shared" si="4"/>
        <v>57</v>
      </c>
      <c r="K61" s="566">
        <v>4</v>
      </c>
    </row>
    <row r="62" spans="2:15" x14ac:dyDescent="0.25">
      <c r="B62" s="569"/>
      <c r="C62" s="569"/>
      <c r="D62" s="569"/>
      <c r="E62" s="569"/>
      <c r="F62" s="569"/>
      <c r="G62" s="31"/>
      <c r="H62" s="31"/>
      <c r="J62" s="903">
        <f t="shared" si="4"/>
        <v>58</v>
      </c>
      <c r="K62" s="566">
        <v>4</v>
      </c>
    </row>
    <row r="63" spans="2:15" x14ac:dyDescent="0.25">
      <c r="B63" s="31"/>
      <c r="C63" s="31"/>
      <c r="D63" s="31"/>
      <c r="E63" s="31"/>
      <c r="F63" s="31"/>
      <c r="G63" s="31"/>
      <c r="H63" s="31"/>
      <c r="J63" s="903">
        <f t="shared" si="4"/>
        <v>59</v>
      </c>
      <c r="K63" s="566">
        <v>4</v>
      </c>
    </row>
    <row r="64" spans="2:15" x14ac:dyDescent="0.25">
      <c r="B64" s="31"/>
      <c r="C64" s="31"/>
      <c r="D64" s="31"/>
      <c r="E64" s="31"/>
      <c r="F64" s="31"/>
      <c r="G64" s="31"/>
      <c r="H64" s="31"/>
      <c r="J64" s="903">
        <f t="shared" si="4"/>
        <v>60</v>
      </c>
      <c r="K64" s="566">
        <v>5</v>
      </c>
    </row>
    <row r="65" spans="1:21" x14ac:dyDescent="0.25">
      <c r="B65" s="31"/>
      <c r="C65" s="31"/>
      <c r="D65" s="31"/>
      <c r="E65" s="31"/>
      <c r="F65" s="31"/>
      <c r="G65" s="31"/>
      <c r="H65" s="31"/>
      <c r="J65" s="903">
        <f t="shared" si="4"/>
        <v>61</v>
      </c>
      <c r="K65" s="566">
        <v>5</v>
      </c>
    </row>
    <row r="66" spans="1:21" x14ac:dyDescent="0.25">
      <c r="B66" s="31"/>
      <c r="C66" s="31"/>
      <c r="D66" s="31"/>
      <c r="E66" s="31"/>
      <c r="F66" s="31"/>
      <c r="G66" s="31"/>
      <c r="H66" s="31"/>
      <c r="J66" s="903">
        <f t="shared" si="4"/>
        <v>62</v>
      </c>
      <c r="K66" s="566">
        <v>5</v>
      </c>
    </row>
    <row r="67" spans="1:21" x14ac:dyDescent="0.25">
      <c r="B67" s="31"/>
      <c r="C67" s="31"/>
      <c r="D67" s="31"/>
      <c r="E67" s="31"/>
      <c r="F67" s="31"/>
      <c r="G67" s="31"/>
      <c r="H67" s="31"/>
      <c r="J67" s="903">
        <f t="shared" si="4"/>
        <v>63</v>
      </c>
      <c r="K67" s="566">
        <v>5</v>
      </c>
    </row>
    <row r="68" spans="1:21" x14ac:dyDescent="0.25">
      <c r="B68" s="31"/>
      <c r="C68" s="31"/>
      <c r="D68" s="31"/>
      <c r="E68" s="31"/>
      <c r="F68" s="31"/>
      <c r="G68" s="31"/>
      <c r="H68" s="31"/>
      <c r="J68" s="903">
        <f t="shared" si="4"/>
        <v>64</v>
      </c>
      <c r="K68" s="566">
        <v>5</v>
      </c>
    </row>
    <row r="69" spans="1:21" x14ac:dyDescent="0.25">
      <c r="B69" s="31"/>
      <c r="C69" s="31"/>
      <c r="D69" s="31"/>
      <c r="E69" s="31"/>
      <c r="F69" s="31"/>
      <c r="G69" s="31"/>
      <c r="H69" s="31"/>
      <c r="J69" s="903">
        <f t="shared" si="4"/>
        <v>65</v>
      </c>
      <c r="K69" s="566">
        <v>5</v>
      </c>
    </row>
    <row r="70" spans="1:21" x14ac:dyDescent="0.25">
      <c r="B70" s="31"/>
      <c r="C70" s="31"/>
      <c r="D70" s="31"/>
      <c r="E70" s="31"/>
      <c r="F70" s="31"/>
      <c r="G70" s="31"/>
      <c r="H70" s="31"/>
      <c r="J70" s="903">
        <f t="shared" si="4"/>
        <v>66</v>
      </c>
      <c r="K70" s="566">
        <v>5</v>
      </c>
    </row>
    <row r="71" spans="1:21" x14ac:dyDescent="0.25">
      <c r="B71" s="31"/>
      <c r="C71" s="31"/>
      <c r="D71" s="31"/>
      <c r="E71" s="31"/>
      <c r="F71" s="31"/>
      <c r="G71" s="31"/>
      <c r="H71" s="31"/>
      <c r="J71" s="903">
        <f t="shared" si="4"/>
        <v>67</v>
      </c>
      <c r="K71" s="566">
        <v>5</v>
      </c>
    </row>
    <row r="72" spans="1:21" s="572" customFormat="1" ht="12.75" x14ac:dyDescent="0.2">
      <c r="A72" s="570"/>
      <c r="B72" s="571"/>
      <c r="C72" s="571"/>
      <c r="D72" s="571"/>
      <c r="E72" s="571"/>
      <c r="F72" s="571"/>
      <c r="G72" s="571"/>
      <c r="H72" s="571"/>
      <c r="I72" s="570"/>
      <c r="J72" s="903">
        <f t="shared" si="4"/>
        <v>68</v>
      </c>
      <c r="K72" s="566">
        <v>5</v>
      </c>
      <c r="L72" s="570"/>
      <c r="M72" s="570"/>
      <c r="N72" s="570"/>
      <c r="O72" s="570"/>
      <c r="P72" s="570"/>
      <c r="Q72" s="570"/>
      <c r="R72" s="570"/>
      <c r="S72" s="570"/>
      <c r="T72" s="570"/>
      <c r="U72" s="570"/>
    </row>
    <row r="73" spans="1:21" s="573" customFormat="1" ht="12.75" x14ac:dyDescent="0.2">
      <c r="A73" s="7"/>
      <c r="B73" s="73"/>
      <c r="C73" s="73"/>
      <c r="D73" s="73"/>
      <c r="E73" s="73"/>
      <c r="F73" s="73"/>
      <c r="G73" s="73"/>
      <c r="H73" s="73"/>
      <c r="I73" s="7"/>
      <c r="J73" s="903">
        <f>J72+1</f>
        <v>69</v>
      </c>
      <c r="K73" s="566">
        <v>5</v>
      </c>
      <c r="L73" s="7"/>
      <c r="M73" s="7"/>
      <c r="N73" s="7"/>
      <c r="O73" s="7"/>
      <c r="P73" s="7"/>
      <c r="Q73" s="7"/>
      <c r="R73" s="833"/>
      <c r="S73" s="7"/>
      <c r="T73" s="7"/>
      <c r="U73" s="7"/>
    </row>
    <row r="74" spans="1:21" s="573" customFormat="1" ht="12.75" x14ac:dyDescent="0.2">
      <c r="A74" s="7"/>
      <c r="B74" s="574"/>
      <c r="C74" s="574"/>
      <c r="D74" s="574"/>
      <c r="E74" s="574"/>
      <c r="F74" s="574"/>
      <c r="G74" s="574"/>
      <c r="H74" s="574"/>
      <c r="I74" s="7"/>
      <c r="J74" s="903">
        <f t="shared" si="4"/>
        <v>70</v>
      </c>
      <c r="K74" s="566">
        <v>5</v>
      </c>
      <c r="L74" s="7"/>
      <c r="M74" s="7"/>
      <c r="N74" s="7"/>
      <c r="O74" s="7"/>
      <c r="P74" s="7"/>
      <c r="Q74" s="7"/>
      <c r="R74" s="833"/>
      <c r="S74" s="7"/>
      <c r="T74" s="7"/>
      <c r="U74" s="7"/>
    </row>
    <row r="75" spans="1:21" s="573" customFormat="1" ht="12.75" x14ac:dyDescent="0.2">
      <c r="A75" s="7"/>
      <c r="B75" s="73"/>
      <c r="C75" s="73"/>
      <c r="D75" s="73"/>
      <c r="E75" s="73"/>
      <c r="F75" s="73"/>
      <c r="G75" s="73"/>
      <c r="H75" s="73"/>
      <c r="I75" s="7"/>
      <c r="J75" s="903">
        <f>J74+1</f>
        <v>71</v>
      </c>
      <c r="K75" s="566">
        <v>5</v>
      </c>
      <c r="L75" s="7"/>
      <c r="M75" s="7"/>
      <c r="N75" s="7"/>
      <c r="O75" s="7"/>
      <c r="P75" s="7"/>
      <c r="Q75" s="7"/>
      <c r="R75" s="833"/>
      <c r="S75" s="7"/>
      <c r="T75" s="7"/>
      <c r="U75" s="7"/>
    </row>
    <row r="76" spans="1:21" s="573" customFormat="1" ht="12.75" x14ac:dyDescent="0.2">
      <c r="A76" s="7"/>
      <c r="B76" s="73"/>
      <c r="C76" s="73"/>
      <c r="D76" s="73"/>
      <c r="E76" s="73"/>
      <c r="F76" s="73"/>
      <c r="G76" s="73"/>
      <c r="H76" s="73"/>
      <c r="I76" s="7"/>
      <c r="J76" s="903">
        <f t="shared" si="4"/>
        <v>72</v>
      </c>
      <c r="K76" s="566">
        <v>5</v>
      </c>
      <c r="L76" s="7"/>
      <c r="M76" s="7"/>
      <c r="N76" s="7"/>
      <c r="O76" s="7"/>
      <c r="P76" s="7"/>
      <c r="Q76" s="7"/>
      <c r="R76" s="833"/>
      <c r="S76" s="7"/>
      <c r="T76" s="7"/>
      <c r="U76" s="7"/>
    </row>
    <row r="77" spans="1:21" s="573" customFormat="1" ht="12.75" x14ac:dyDescent="0.2">
      <c r="A77" s="7"/>
      <c r="B77" s="73"/>
      <c r="C77" s="73"/>
      <c r="D77" s="73"/>
      <c r="E77" s="73"/>
      <c r="F77" s="73"/>
      <c r="G77" s="73"/>
      <c r="H77" s="73"/>
      <c r="I77" s="7"/>
      <c r="J77" s="903">
        <f t="shared" si="4"/>
        <v>73</v>
      </c>
      <c r="K77" s="566">
        <v>5</v>
      </c>
      <c r="L77" s="7"/>
      <c r="M77" s="7"/>
      <c r="N77" s="7"/>
      <c r="O77" s="7"/>
      <c r="P77" s="7"/>
      <c r="Q77" s="7"/>
      <c r="R77" s="833"/>
      <c r="S77" s="7"/>
      <c r="T77" s="7"/>
      <c r="U77" s="7"/>
    </row>
    <row r="78" spans="1:21" s="573" customFormat="1" ht="12.75" x14ac:dyDescent="0.2">
      <c r="A78" s="7"/>
      <c r="B78" s="73"/>
      <c r="C78" s="73"/>
      <c r="D78" s="73"/>
      <c r="E78" s="73"/>
      <c r="F78" s="73"/>
      <c r="G78" s="73"/>
      <c r="H78" s="73"/>
      <c r="I78" s="7"/>
      <c r="J78" s="903">
        <f t="shared" si="4"/>
        <v>74</v>
      </c>
      <c r="K78" s="566">
        <v>5</v>
      </c>
      <c r="L78" s="7"/>
      <c r="M78" s="7"/>
      <c r="N78" s="7"/>
      <c r="O78" s="7"/>
      <c r="P78" s="7"/>
      <c r="Q78" s="7"/>
      <c r="R78" s="833"/>
      <c r="S78" s="7"/>
      <c r="T78" s="7"/>
      <c r="U78" s="7"/>
    </row>
    <row r="79" spans="1:21" s="573" customFormat="1" ht="12.75" x14ac:dyDescent="0.2">
      <c r="A79" s="7"/>
      <c r="B79" s="73"/>
      <c r="C79" s="73"/>
      <c r="D79" s="73"/>
      <c r="E79" s="73"/>
      <c r="F79" s="73"/>
      <c r="G79" s="73"/>
      <c r="H79" s="73"/>
      <c r="I79" s="7"/>
      <c r="J79" s="903">
        <f t="shared" si="4"/>
        <v>75</v>
      </c>
      <c r="K79" s="566">
        <v>5</v>
      </c>
      <c r="L79" s="7"/>
      <c r="M79" s="7"/>
      <c r="N79" s="7"/>
      <c r="O79" s="7"/>
      <c r="P79" s="7"/>
      <c r="Q79" s="7"/>
      <c r="R79" s="833"/>
      <c r="S79" s="7"/>
      <c r="T79" s="7"/>
      <c r="U79" s="7"/>
    </row>
    <row r="80" spans="1:21" x14ac:dyDescent="0.25">
      <c r="B80" s="31"/>
      <c r="C80" s="31"/>
      <c r="D80" s="31"/>
      <c r="E80" s="31"/>
      <c r="F80" s="31"/>
      <c r="G80" s="31"/>
      <c r="H80" s="31"/>
      <c r="J80" s="903">
        <f t="shared" si="4"/>
        <v>76</v>
      </c>
      <c r="K80" s="566">
        <v>5</v>
      </c>
    </row>
    <row r="81" spans="2:11" x14ac:dyDescent="0.25">
      <c r="B81" s="31"/>
      <c r="C81" s="31"/>
      <c r="D81" s="31"/>
      <c r="E81" s="31"/>
      <c r="F81" s="31"/>
      <c r="G81" s="31"/>
      <c r="H81" s="31"/>
      <c r="J81" s="903">
        <f t="shared" si="4"/>
        <v>77</v>
      </c>
      <c r="K81" s="566">
        <v>5</v>
      </c>
    </row>
    <row r="82" spans="2:11" x14ac:dyDescent="0.25">
      <c r="B82" s="31"/>
      <c r="C82" s="31"/>
      <c r="D82" s="31"/>
      <c r="E82" s="31"/>
      <c r="F82" s="31"/>
      <c r="G82" s="31"/>
      <c r="H82" s="31"/>
      <c r="J82" s="903">
        <f t="shared" si="4"/>
        <v>78</v>
      </c>
      <c r="K82" s="566">
        <v>5</v>
      </c>
    </row>
    <row r="83" spans="2:11" x14ac:dyDescent="0.25">
      <c r="B83" s="31"/>
      <c r="C83" s="31"/>
      <c r="D83" s="31"/>
      <c r="E83" s="31"/>
      <c r="F83" s="31"/>
      <c r="G83" s="31"/>
      <c r="H83" s="31"/>
      <c r="J83" s="903">
        <f t="shared" si="4"/>
        <v>79</v>
      </c>
      <c r="K83" s="566">
        <v>5</v>
      </c>
    </row>
    <row r="84" spans="2:11" x14ac:dyDescent="0.25">
      <c r="B84" s="31"/>
      <c r="C84" s="31"/>
      <c r="D84" s="31"/>
      <c r="E84" s="31"/>
      <c r="F84" s="31"/>
      <c r="G84" s="31"/>
      <c r="H84" s="31"/>
      <c r="J84" s="903">
        <f t="shared" si="4"/>
        <v>80</v>
      </c>
      <c r="K84" s="566">
        <v>5</v>
      </c>
    </row>
    <row r="85" spans="2:11" x14ac:dyDescent="0.25">
      <c r="B85" s="31"/>
      <c r="C85" s="31"/>
      <c r="D85" s="31"/>
      <c r="E85" s="31"/>
      <c r="F85" s="31"/>
      <c r="G85" s="31"/>
      <c r="H85" s="31"/>
      <c r="J85" s="903">
        <f t="shared" ref="J85:J148" si="6">J84+1</f>
        <v>81</v>
      </c>
      <c r="K85" s="566">
        <v>5</v>
      </c>
    </row>
    <row r="86" spans="2:11" x14ac:dyDescent="0.25">
      <c r="B86" s="31"/>
      <c r="C86" s="31"/>
      <c r="D86" s="31"/>
      <c r="E86" s="31"/>
      <c r="F86" s="31"/>
      <c r="G86" s="31"/>
      <c r="H86" s="31"/>
      <c r="J86" s="903">
        <f t="shared" si="6"/>
        <v>82</v>
      </c>
      <c r="K86" s="566">
        <v>5</v>
      </c>
    </row>
    <row r="87" spans="2:11" x14ac:dyDescent="0.25">
      <c r="B87" s="31"/>
      <c r="C87" s="31"/>
      <c r="D87" s="31"/>
      <c r="E87" s="31"/>
      <c r="F87" s="31"/>
      <c r="G87" s="31"/>
      <c r="H87" s="31"/>
      <c r="J87" s="903">
        <f t="shared" si="6"/>
        <v>83</v>
      </c>
      <c r="K87" s="566">
        <v>5</v>
      </c>
    </row>
    <row r="88" spans="2:11" x14ac:dyDescent="0.25">
      <c r="B88" s="31"/>
      <c r="C88" s="31"/>
      <c r="D88" s="31"/>
      <c r="E88" s="31"/>
      <c r="F88" s="31"/>
      <c r="G88" s="31"/>
      <c r="H88" s="31"/>
      <c r="J88" s="903">
        <f t="shared" si="6"/>
        <v>84</v>
      </c>
      <c r="K88" s="566">
        <v>5</v>
      </c>
    </row>
    <row r="89" spans="2:11" x14ac:dyDescent="0.25">
      <c r="B89" s="31"/>
      <c r="C89" s="31"/>
      <c r="D89" s="31"/>
      <c r="E89" s="31"/>
      <c r="F89" s="31"/>
      <c r="G89" s="31"/>
      <c r="H89" s="31"/>
      <c r="J89" s="903">
        <f t="shared" si="6"/>
        <v>85</v>
      </c>
      <c r="K89" s="566">
        <v>5</v>
      </c>
    </row>
    <row r="90" spans="2:11" x14ac:dyDescent="0.25">
      <c r="B90" s="31"/>
      <c r="C90" s="31"/>
      <c r="J90" s="903">
        <f t="shared" si="6"/>
        <v>86</v>
      </c>
      <c r="K90" s="566">
        <v>5</v>
      </c>
    </row>
    <row r="91" spans="2:11" x14ac:dyDescent="0.25">
      <c r="B91" s="31"/>
      <c r="C91" s="31"/>
      <c r="J91" s="903">
        <f t="shared" si="6"/>
        <v>87</v>
      </c>
      <c r="K91" s="566">
        <v>5</v>
      </c>
    </row>
    <row r="92" spans="2:11" x14ac:dyDescent="0.25">
      <c r="B92" s="31"/>
      <c r="C92" s="31"/>
      <c r="J92" s="903">
        <f t="shared" si="6"/>
        <v>88</v>
      </c>
      <c r="K92" s="566">
        <v>5</v>
      </c>
    </row>
    <row r="93" spans="2:11" x14ac:dyDescent="0.25">
      <c r="B93" s="31"/>
      <c r="C93" s="31"/>
      <c r="J93" s="903">
        <f t="shared" si="6"/>
        <v>89</v>
      </c>
      <c r="K93" s="566">
        <v>5</v>
      </c>
    </row>
    <row r="94" spans="2:11" x14ac:dyDescent="0.25">
      <c r="B94" s="31"/>
      <c r="C94" s="31"/>
      <c r="J94" s="903">
        <f t="shared" si="6"/>
        <v>90</v>
      </c>
      <c r="K94" s="566">
        <v>5</v>
      </c>
    </row>
    <row r="95" spans="2:11" x14ac:dyDescent="0.25">
      <c r="B95" s="31"/>
      <c r="C95" s="31"/>
      <c r="J95" s="903">
        <f t="shared" si="6"/>
        <v>91</v>
      </c>
      <c r="K95" s="566">
        <v>5</v>
      </c>
    </row>
    <row r="96" spans="2:11" x14ac:dyDescent="0.25">
      <c r="B96" s="31"/>
      <c r="C96" s="31"/>
      <c r="J96" s="903">
        <f t="shared" si="6"/>
        <v>92</v>
      </c>
      <c r="K96" s="566">
        <v>5</v>
      </c>
    </row>
    <row r="97" spans="2:11" x14ac:dyDescent="0.25">
      <c r="B97" s="31"/>
      <c r="C97" s="31"/>
      <c r="J97" s="903">
        <f t="shared" si="6"/>
        <v>93</v>
      </c>
      <c r="K97" s="566">
        <v>5</v>
      </c>
    </row>
    <row r="98" spans="2:11" x14ac:dyDescent="0.25">
      <c r="B98" s="31"/>
      <c r="C98" s="31"/>
      <c r="J98" s="903">
        <f t="shared" si="6"/>
        <v>94</v>
      </c>
      <c r="K98" s="566">
        <v>5</v>
      </c>
    </row>
    <row r="99" spans="2:11" x14ac:dyDescent="0.25">
      <c r="B99" s="31"/>
      <c r="C99" s="31"/>
      <c r="J99" s="903">
        <f t="shared" si="6"/>
        <v>95</v>
      </c>
      <c r="K99" s="566">
        <v>5</v>
      </c>
    </row>
    <row r="100" spans="2:11" x14ac:dyDescent="0.25">
      <c r="B100" s="31"/>
      <c r="C100" s="31"/>
      <c r="J100" s="903">
        <f t="shared" si="6"/>
        <v>96</v>
      </c>
      <c r="K100" s="566">
        <v>5</v>
      </c>
    </row>
    <row r="101" spans="2:11" x14ac:dyDescent="0.25">
      <c r="B101" s="31"/>
      <c r="C101" s="31"/>
      <c r="J101" s="903">
        <f t="shared" si="6"/>
        <v>97</v>
      </c>
      <c r="K101" s="566">
        <v>5</v>
      </c>
    </row>
    <row r="102" spans="2:11" x14ac:dyDescent="0.25">
      <c r="B102" s="31"/>
      <c r="C102" s="31"/>
      <c r="J102" s="903">
        <f t="shared" si="6"/>
        <v>98</v>
      </c>
      <c r="K102" s="566">
        <v>5</v>
      </c>
    </row>
    <row r="103" spans="2:11" x14ac:dyDescent="0.25">
      <c r="B103" s="31"/>
      <c r="C103" s="31"/>
      <c r="J103" s="903">
        <f t="shared" si="6"/>
        <v>99</v>
      </c>
      <c r="K103" s="566">
        <v>5</v>
      </c>
    </row>
    <row r="104" spans="2:11" x14ac:dyDescent="0.25">
      <c r="B104" s="31"/>
      <c r="C104" s="31"/>
      <c r="J104" s="903">
        <f t="shared" si="6"/>
        <v>100</v>
      </c>
      <c r="K104" s="566">
        <v>5</v>
      </c>
    </row>
    <row r="105" spans="2:11" x14ac:dyDescent="0.25">
      <c r="B105" s="31"/>
      <c r="C105" s="31"/>
      <c r="J105" s="903">
        <f t="shared" si="6"/>
        <v>101</v>
      </c>
      <c r="K105" s="566">
        <v>5</v>
      </c>
    </row>
    <row r="106" spans="2:11" x14ac:dyDescent="0.25">
      <c r="B106" s="31"/>
      <c r="C106" s="31"/>
      <c r="J106" s="903">
        <f t="shared" si="6"/>
        <v>102</v>
      </c>
      <c r="K106" s="566">
        <v>5</v>
      </c>
    </row>
    <row r="107" spans="2:11" x14ac:dyDescent="0.25">
      <c r="B107" s="31"/>
      <c r="C107" s="31"/>
      <c r="J107" s="903">
        <f t="shared" si="6"/>
        <v>103</v>
      </c>
      <c r="K107" s="566">
        <v>5</v>
      </c>
    </row>
    <row r="108" spans="2:11" x14ac:dyDescent="0.25">
      <c r="B108" s="31"/>
      <c r="C108" s="31"/>
      <c r="J108" s="903">
        <f t="shared" si="6"/>
        <v>104</v>
      </c>
      <c r="K108" s="566">
        <v>5</v>
      </c>
    </row>
    <row r="109" spans="2:11" x14ac:dyDescent="0.25">
      <c r="B109" s="31"/>
      <c r="C109" s="31"/>
      <c r="J109" s="903">
        <f t="shared" si="6"/>
        <v>105</v>
      </c>
      <c r="K109" s="566">
        <v>5</v>
      </c>
    </row>
    <row r="110" spans="2:11" x14ac:dyDescent="0.25">
      <c r="B110" s="31"/>
      <c r="C110" s="31"/>
      <c r="J110" s="903">
        <f t="shared" si="6"/>
        <v>106</v>
      </c>
      <c r="K110" s="566">
        <v>5</v>
      </c>
    </row>
    <row r="111" spans="2:11" x14ac:dyDescent="0.25">
      <c r="B111" s="31"/>
      <c r="C111" s="31"/>
      <c r="J111" s="903">
        <f t="shared" si="6"/>
        <v>107</v>
      </c>
      <c r="K111" s="566">
        <v>5</v>
      </c>
    </row>
    <row r="112" spans="2:11" x14ac:dyDescent="0.25">
      <c r="B112" s="31"/>
      <c r="C112" s="31"/>
      <c r="J112" s="903">
        <f t="shared" si="6"/>
        <v>108</v>
      </c>
      <c r="K112" s="566">
        <v>5</v>
      </c>
    </row>
    <row r="113" spans="2:21" x14ac:dyDescent="0.25">
      <c r="B113" s="31"/>
      <c r="C113" s="31"/>
      <c r="J113" s="903">
        <f t="shared" si="6"/>
        <v>109</v>
      </c>
      <c r="K113" s="566">
        <v>5</v>
      </c>
    </row>
    <row r="114" spans="2:21" x14ac:dyDescent="0.25">
      <c r="B114" s="31"/>
      <c r="C114" s="31"/>
      <c r="J114" s="903">
        <f t="shared" si="6"/>
        <v>110</v>
      </c>
      <c r="K114" s="566">
        <v>6</v>
      </c>
    </row>
    <row r="115" spans="2:21" x14ac:dyDescent="0.25">
      <c r="B115" s="31"/>
      <c r="C115" s="31"/>
      <c r="J115" s="903">
        <f t="shared" si="6"/>
        <v>111</v>
      </c>
      <c r="K115" s="566">
        <v>6</v>
      </c>
    </row>
    <row r="116" spans="2:21" x14ac:dyDescent="0.25">
      <c r="B116" s="31"/>
      <c r="C116" s="31"/>
      <c r="J116" s="903">
        <f t="shared" si="6"/>
        <v>112</v>
      </c>
      <c r="K116" s="566">
        <v>6</v>
      </c>
    </row>
    <row r="117" spans="2:21" x14ac:dyDescent="0.25">
      <c r="B117" s="31"/>
      <c r="C117" s="31"/>
      <c r="J117" s="903">
        <f t="shared" si="6"/>
        <v>113</v>
      </c>
      <c r="K117" s="566">
        <v>6</v>
      </c>
    </row>
    <row r="118" spans="2:21" x14ac:dyDescent="0.25">
      <c r="B118" s="31"/>
      <c r="C118" s="31"/>
      <c r="J118" s="903">
        <f t="shared" si="6"/>
        <v>114</v>
      </c>
      <c r="K118" s="566">
        <v>6</v>
      </c>
      <c r="M118"/>
      <c r="N118"/>
      <c r="O118"/>
      <c r="P118"/>
      <c r="Q118"/>
      <c r="R118" s="831"/>
      <c r="S118"/>
      <c r="T118"/>
      <c r="U118"/>
    </row>
    <row r="119" spans="2:21" x14ac:dyDescent="0.25">
      <c r="B119" s="31"/>
      <c r="C119" s="31"/>
      <c r="J119" s="903">
        <f t="shared" si="6"/>
        <v>115</v>
      </c>
      <c r="K119" s="566">
        <v>6</v>
      </c>
      <c r="M119"/>
      <c r="N119"/>
      <c r="O119"/>
      <c r="P119"/>
      <c r="Q119"/>
      <c r="R119" s="831"/>
      <c r="S119"/>
      <c r="T119"/>
      <c r="U119"/>
    </row>
    <row r="120" spans="2:21" x14ac:dyDescent="0.25">
      <c r="B120" s="31"/>
      <c r="C120" s="31"/>
      <c r="J120" s="903">
        <f t="shared" si="6"/>
        <v>116</v>
      </c>
      <c r="K120" s="566">
        <v>6</v>
      </c>
      <c r="M120"/>
      <c r="N120"/>
      <c r="O120"/>
      <c r="P120"/>
      <c r="Q120"/>
      <c r="R120" s="831"/>
      <c r="S120"/>
      <c r="T120"/>
      <c r="U120"/>
    </row>
    <row r="121" spans="2:21" x14ac:dyDescent="0.25">
      <c r="B121" s="31"/>
      <c r="C121" s="31"/>
      <c r="J121" s="903">
        <f t="shared" si="6"/>
        <v>117</v>
      </c>
      <c r="K121" s="566">
        <v>6</v>
      </c>
      <c r="M121"/>
      <c r="N121"/>
      <c r="O121"/>
      <c r="P121"/>
      <c r="Q121"/>
      <c r="R121" s="831"/>
      <c r="S121"/>
      <c r="T121"/>
      <c r="U121"/>
    </row>
    <row r="122" spans="2:21" x14ac:dyDescent="0.25">
      <c r="B122" s="31"/>
      <c r="C122" s="31"/>
      <c r="J122" s="903">
        <f t="shared" si="6"/>
        <v>118</v>
      </c>
      <c r="K122" s="566">
        <v>6</v>
      </c>
      <c r="M122"/>
      <c r="N122"/>
      <c r="O122"/>
      <c r="P122"/>
      <c r="Q122"/>
      <c r="R122" s="831"/>
      <c r="S122"/>
      <c r="T122"/>
      <c r="U122"/>
    </row>
    <row r="123" spans="2:21" x14ac:dyDescent="0.25">
      <c r="B123" s="31"/>
      <c r="C123" s="31"/>
      <c r="J123" s="903">
        <f t="shared" si="6"/>
        <v>119</v>
      </c>
      <c r="K123" s="566">
        <v>6</v>
      </c>
      <c r="M123"/>
      <c r="N123"/>
      <c r="O123"/>
      <c r="P123"/>
      <c r="Q123"/>
      <c r="R123" s="831"/>
      <c r="S123"/>
      <c r="T123"/>
      <c r="U123"/>
    </row>
    <row r="124" spans="2:21" x14ac:dyDescent="0.25">
      <c r="B124" s="31"/>
      <c r="C124" s="31"/>
      <c r="J124" s="903">
        <f t="shared" si="6"/>
        <v>120</v>
      </c>
      <c r="K124" s="566">
        <v>6</v>
      </c>
      <c r="M124"/>
      <c r="N124"/>
      <c r="O124"/>
      <c r="P124"/>
      <c r="Q124"/>
      <c r="R124" s="831"/>
      <c r="S124"/>
      <c r="T124"/>
      <c r="U124"/>
    </row>
    <row r="125" spans="2:21" x14ac:dyDescent="0.25">
      <c r="B125" s="31"/>
      <c r="C125" s="31"/>
      <c r="J125" s="903">
        <f t="shared" si="6"/>
        <v>121</v>
      </c>
      <c r="K125" s="566">
        <v>6</v>
      </c>
      <c r="M125"/>
      <c r="N125"/>
      <c r="O125"/>
      <c r="P125"/>
      <c r="Q125"/>
      <c r="R125" s="831"/>
      <c r="S125"/>
      <c r="T125"/>
      <c r="U125"/>
    </row>
    <row r="126" spans="2:21" x14ac:dyDescent="0.25">
      <c r="B126" s="31"/>
      <c r="C126" s="31"/>
      <c r="J126" s="903">
        <f t="shared" si="6"/>
        <v>122</v>
      </c>
      <c r="K126" s="566">
        <v>6</v>
      </c>
      <c r="M126"/>
      <c r="N126"/>
      <c r="O126"/>
      <c r="P126"/>
      <c r="Q126"/>
      <c r="R126" s="831"/>
      <c r="S126"/>
      <c r="T126"/>
      <c r="U126"/>
    </row>
    <row r="127" spans="2:21" x14ac:dyDescent="0.25">
      <c r="B127" s="31"/>
      <c r="C127" s="31"/>
      <c r="J127" s="903">
        <f t="shared" si="6"/>
        <v>123</v>
      </c>
      <c r="K127" s="566">
        <v>6</v>
      </c>
      <c r="M127"/>
      <c r="N127"/>
      <c r="O127"/>
      <c r="P127"/>
      <c r="Q127"/>
      <c r="R127" s="831"/>
      <c r="S127"/>
      <c r="T127"/>
      <c r="U127"/>
    </row>
    <row r="128" spans="2:21" x14ac:dyDescent="0.25">
      <c r="B128" s="31"/>
      <c r="C128" s="31"/>
      <c r="J128" s="903">
        <f t="shared" si="6"/>
        <v>124</v>
      </c>
      <c r="K128" s="566">
        <v>6</v>
      </c>
      <c r="M128"/>
      <c r="N128"/>
      <c r="O128"/>
      <c r="P128"/>
      <c r="Q128"/>
      <c r="R128" s="831"/>
      <c r="S128"/>
      <c r="T128"/>
      <c r="U128"/>
    </row>
    <row r="129" spans="2:21" x14ac:dyDescent="0.25">
      <c r="B129" s="31"/>
      <c r="C129" s="31"/>
      <c r="J129" s="903">
        <f t="shared" si="6"/>
        <v>125</v>
      </c>
      <c r="K129" s="566">
        <v>6</v>
      </c>
      <c r="M129"/>
      <c r="N129"/>
      <c r="O129"/>
      <c r="P129"/>
      <c r="Q129"/>
      <c r="R129" s="831"/>
      <c r="S129"/>
      <c r="T129"/>
      <c r="U129"/>
    </row>
    <row r="130" spans="2:21" x14ac:dyDescent="0.25">
      <c r="B130" s="31"/>
      <c r="C130" s="31"/>
      <c r="J130" s="903">
        <f t="shared" si="6"/>
        <v>126</v>
      </c>
      <c r="K130" s="566">
        <v>6</v>
      </c>
      <c r="M130"/>
      <c r="N130"/>
      <c r="O130"/>
      <c r="P130"/>
      <c r="Q130"/>
      <c r="R130" s="831"/>
      <c r="S130"/>
      <c r="T130"/>
      <c r="U130"/>
    </row>
    <row r="131" spans="2:21" x14ac:dyDescent="0.25">
      <c r="B131" s="31"/>
      <c r="C131" s="31"/>
      <c r="J131" s="903">
        <f t="shared" si="6"/>
        <v>127</v>
      </c>
      <c r="K131" s="566">
        <v>6</v>
      </c>
      <c r="M131"/>
      <c r="N131"/>
      <c r="O131"/>
      <c r="P131"/>
      <c r="Q131"/>
      <c r="R131" s="831"/>
      <c r="S131"/>
      <c r="T131"/>
      <c r="U131"/>
    </row>
    <row r="132" spans="2:21" x14ac:dyDescent="0.25">
      <c r="B132" s="31"/>
      <c r="C132" s="31"/>
      <c r="J132" s="903">
        <f t="shared" si="6"/>
        <v>128</v>
      </c>
      <c r="K132" s="566">
        <v>6</v>
      </c>
      <c r="M132"/>
      <c r="N132"/>
      <c r="O132"/>
      <c r="P132"/>
      <c r="Q132"/>
      <c r="R132" s="831"/>
      <c r="S132"/>
      <c r="T132"/>
      <c r="U132"/>
    </row>
    <row r="133" spans="2:21" x14ac:dyDescent="0.25">
      <c r="B133" s="31"/>
      <c r="C133" s="31"/>
      <c r="J133" s="903">
        <f t="shared" si="6"/>
        <v>129</v>
      </c>
      <c r="K133" s="566">
        <v>6</v>
      </c>
      <c r="M133"/>
      <c r="N133"/>
      <c r="O133"/>
      <c r="P133"/>
      <c r="Q133"/>
      <c r="R133" s="831"/>
      <c r="S133"/>
      <c r="T133"/>
      <c r="U133"/>
    </row>
    <row r="134" spans="2:21" x14ac:dyDescent="0.25">
      <c r="B134" s="31"/>
      <c r="C134" s="31"/>
      <c r="J134" s="903">
        <f t="shared" si="6"/>
        <v>130</v>
      </c>
      <c r="K134" s="566">
        <v>6</v>
      </c>
      <c r="M134"/>
      <c r="N134"/>
      <c r="O134"/>
      <c r="P134"/>
      <c r="Q134"/>
      <c r="R134" s="831"/>
      <c r="S134"/>
      <c r="T134"/>
      <c r="U134"/>
    </row>
    <row r="135" spans="2:21" x14ac:dyDescent="0.25">
      <c r="B135" s="31"/>
      <c r="C135" s="31"/>
      <c r="J135" s="903">
        <f t="shared" si="6"/>
        <v>131</v>
      </c>
      <c r="K135" s="566">
        <v>6</v>
      </c>
      <c r="M135"/>
      <c r="N135"/>
      <c r="O135"/>
      <c r="P135"/>
      <c r="Q135"/>
      <c r="R135" s="831"/>
      <c r="S135"/>
      <c r="T135"/>
      <c r="U135"/>
    </row>
    <row r="136" spans="2:21" x14ac:dyDescent="0.25">
      <c r="B136" s="31"/>
      <c r="C136" s="31"/>
      <c r="J136" s="903">
        <f t="shared" si="6"/>
        <v>132</v>
      </c>
      <c r="K136" s="566">
        <v>6</v>
      </c>
      <c r="M136"/>
      <c r="N136"/>
      <c r="O136"/>
      <c r="P136"/>
      <c r="Q136"/>
      <c r="R136" s="831"/>
      <c r="S136"/>
      <c r="T136"/>
      <c r="U136"/>
    </row>
    <row r="137" spans="2:21" x14ac:dyDescent="0.25">
      <c r="B137" s="31"/>
      <c r="C137" s="31"/>
      <c r="J137" s="903">
        <f t="shared" si="6"/>
        <v>133</v>
      </c>
      <c r="K137" s="566">
        <v>6</v>
      </c>
      <c r="M137"/>
      <c r="N137"/>
      <c r="O137"/>
      <c r="P137"/>
      <c r="Q137"/>
      <c r="R137" s="831"/>
      <c r="S137"/>
      <c r="T137"/>
      <c r="U137"/>
    </row>
    <row r="138" spans="2:21" x14ac:dyDescent="0.25">
      <c r="B138" s="31"/>
      <c r="C138" s="31"/>
      <c r="J138" s="903">
        <f t="shared" si="6"/>
        <v>134</v>
      </c>
      <c r="K138" s="566">
        <v>6</v>
      </c>
      <c r="M138"/>
      <c r="N138"/>
      <c r="O138"/>
      <c r="P138"/>
      <c r="Q138"/>
      <c r="R138" s="831"/>
      <c r="S138"/>
      <c r="T138"/>
      <c r="U138"/>
    </row>
    <row r="139" spans="2:21" x14ac:dyDescent="0.25">
      <c r="B139" s="31"/>
      <c r="C139" s="31"/>
      <c r="J139" s="903">
        <f t="shared" si="6"/>
        <v>135</v>
      </c>
      <c r="K139" s="566">
        <v>6</v>
      </c>
      <c r="M139"/>
      <c r="N139"/>
      <c r="O139"/>
      <c r="P139"/>
      <c r="Q139"/>
      <c r="R139" s="831"/>
      <c r="S139"/>
      <c r="T139"/>
      <c r="U139"/>
    </row>
    <row r="140" spans="2:21" x14ac:dyDescent="0.25">
      <c r="B140" s="31"/>
      <c r="C140" s="31"/>
      <c r="J140" s="903">
        <f t="shared" si="6"/>
        <v>136</v>
      </c>
      <c r="K140" s="566">
        <v>6</v>
      </c>
    </row>
    <row r="141" spans="2:21" x14ac:dyDescent="0.25">
      <c r="B141" s="31"/>
      <c r="C141" s="31"/>
      <c r="J141" s="903">
        <f t="shared" si="6"/>
        <v>137</v>
      </c>
      <c r="K141" s="566">
        <v>6</v>
      </c>
    </row>
    <row r="142" spans="2:21" x14ac:dyDescent="0.25">
      <c r="B142" s="31"/>
      <c r="C142" s="31"/>
      <c r="J142" s="903">
        <f t="shared" si="6"/>
        <v>138</v>
      </c>
      <c r="K142" s="566">
        <v>6</v>
      </c>
    </row>
    <row r="143" spans="2:21" x14ac:dyDescent="0.25">
      <c r="B143" s="31"/>
      <c r="C143" s="31"/>
      <c r="J143" s="903">
        <f t="shared" si="6"/>
        <v>139</v>
      </c>
      <c r="K143" s="566">
        <v>6</v>
      </c>
    </row>
    <row r="144" spans="2:21" x14ac:dyDescent="0.25">
      <c r="B144" s="31"/>
      <c r="C144" s="31"/>
      <c r="J144" s="903">
        <f t="shared" si="6"/>
        <v>140</v>
      </c>
      <c r="K144" s="566">
        <v>6</v>
      </c>
    </row>
    <row r="145" spans="2:11" x14ac:dyDescent="0.25">
      <c r="B145" s="31"/>
      <c r="C145" s="31"/>
      <c r="J145" s="903">
        <f t="shared" si="6"/>
        <v>141</v>
      </c>
      <c r="K145" s="566">
        <v>6</v>
      </c>
    </row>
    <row r="146" spans="2:11" x14ac:dyDescent="0.25">
      <c r="B146" s="31"/>
      <c r="C146" s="31"/>
      <c r="J146" s="903">
        <f t="shared" si="6"/>
        <v>142</v>
      </c>
      <c r="K146" s="566">
        <v>6</v>
      </c>
    </row>
    <row r="147" spans="2:11" x14ac:dyDescent="0.25">
      <c r="B147" s="31"/>
      <c r="C147" s="31"/>
      <c r="J147" s="903">
        <f t="shared" si="6"/>
        <v>143</v>
      </c>
      <c r="K147" s="566">
        <v>6</v>
      </c>
    </row>
    <row r="148" spans="2:11" x14ac:dyDescent="0.25">
      <c r="B148" s="31"/>
      <c r="C148" s="31"/>
      <c r="J148" s="903">
        <f t="shared" si="6"/>
        <v>144</v>
      </c>
      <c r="K148" s="566">
        <v>6</v>
      </c>
    </row>
    <row r="149" spans="2:11" x14ac:dyDescent="0.25">
      <c r="B149" s="31"/>
      <c r="C149" s="31"/>
      <c r="J149" s="903">
        <f t="shared" ref="J149:J212" si="7">J148+1</f>
        <v>145</v>
      </c>
      <c r="K149" s="566">
        <v>6</v>
      </c>
    </row>
    <row r="150" spans="2:11" x14ac:dyDescent="0.25">
      <c r="B150" s="31"/>
      <c r="C150" s="31"/>
      <c r="J150" s="903">
        <f t="shared" si="7"/>
        <v>146</v>
      </c>
      <c r="K150" s="566">
        <v>6</v>
      </c>
    </row>
    <row r="151" spans="2:11" x14ac:dyDescent="0.25">
      <c r="B151" s="31"/>
      <c r="C151" s="31"/>
      <c r="J151" s="903">
        <f t="shared" si="7"/>
        <v>147</v>
      </c>
      <c r="K151" s="566">
        <v>6</v>
      </c>
    </row>
    <row r="152" spans="2:11" x14ac:dyDescent="0.25">
      <c r="B152" s="31"/>
      <c r="C152" s="31"/>
      <c r="J152" s="903">
        <f t="shared" si="7"/>
        <v>148</v>
      </c>
      <c r="K152" s="566">
        <v>6</v>
      </c>
    </row>
    <row r="153" spans="2:11" x14ac:dyDescent="0.25">
      <c r="B153" s="31"/>
      <c r="C153" s="31"/>
      <c r="J153" s="903">
        <f t="shared" si="7"/>
        <v>149</v>
      </c>
      <c r="K153" s="566">
        <v>6</v>
      </c>
    </row>
    <row r="154" spans="2:11" x14ac:dyDescent="0.25">
      <c r="B154" s="31"/>
      <c r="C154" s="31"/>
      <c r="J154" s="903">
        <f t="shared" si="7"/>
        <v>150</v>
      </c>
      <c r="K154" s="566">
        <v>6</v>
      </c>
    </row>
    <row r="155" spans="2:11" x14ac:dyDescent="0.25">
      <c r="B155" s="31"/>
      <c r="C155" s="31"/>
      <c r="J155" s="903">
        <f t="shared" si="7"/>
        <v>151</v>
      </c>
      <c r="K155" s="566">
        <v>6</v>
      </c>
    </row>
    <row r="156" spans="2:11" x14ac:dyDescent="0.25">
      <c r="B156" s="31"/>
      <c r="C156" s="31"/>
      <c r="J156" s="903">
        <f t="shared" si="7"/>
        <v>152</v>
      </c>
      <c r="K156" s="566">
        <v>6</v>
      </c>
    </row>
    <row r="157" spans="2:11" x14ac:dyDescent="0.25">
      <c r="B157" s="31"/>
      <c r="C157" s="31"/>
      <c r="J157" s="903">
        <f t="shared" si="7"/>
        <v>153</v>
      </c>
      <c r="K157" s="566">
        <v>6</v>
      </c>
    </row>
    <row r="158" spans="2:11" x14ac:dyDescent="0.25">
      <c r="B158" s="31"/>
      <c r="C158" s="31"/>
      <c r="J158" s="903">
        <f t="shared" si="7"/>
        <v>154</v>
      </c>
      <c r="K158" s="566">
        <v>6</v>
      </c>
    </row>
    <row r="159" spans="2:11" x14ac:dyDescent="0.25">
      <c r="B159" s="31"/>
      <c r="C159" s="31"/>
      <c r="J159" s="903">
        <f t="shared" si="7"/>
        <v>155</v>
      </c>
      <c r="K159" s="566">
        <v>6</v>
      </c>
    </row>
    <row r="160" spans="2:11" x14ac:dyDescent="0.25">
      <c r="B160" s="31"/>
      <c r="C160" s="31"/>
      <c r="J160" s="903">
        <f t="shared" si="7"/>
        <v>156</v>
      </c>
      <c r="K160" s="566">
        <v>6</v>
      </c>
    </row>
    <row r="161" spans="2:11" x14ac:dyDescent="0.25">
      <c r="B161" s="31"/>
      <c r="C161" s="31"/>
      <c r="J161" s="903">
        <f t="shared" si="7"/>
        <v>157</v>
      </c>
      <c r="K161" s="566">
        <v>6</v>
      </c>
    </row>
    <row r="162" spans="2:11" x14ac:dyDescent="0.25">
      <c r="B162" s="31"/>
      <c r="C162" s="31"/>
      <c r="J162" s="903">
        <f t="shared" si="7"/>
        <v>158</v>
      </c>
      <c r="K162" s="566">
        <v>6</v>
      </c>
    </row>
    <row r="163" spans="2:11" x14ac:dyDescent="0.25">
      <c r="B163" s="31"/>
      <c r="C163" s="31"/>
      <c r="J163" s="903">
        <f t="shared" si="7"/>
        <v>159</v>
      </c>
      <c r="K163" s="566">
        <v>6</v>
      </c>
    </row>
    <row r="164" spans="2:11" x14ac:dyDescent="0.25">
      <c r="B164" s="31"/>
      <c r="C164" s="31"/>
      <c r="J164" s="903">
        <f t="shared" si="7"/>
        <v>160</v>
      </c>
      <c r="K164" s="566">
        <v>6</v>
      </c>
    </row>
    <row r="165" spans="2:11" x14ac:dyDescent="0.25">
      <c r="B165" s="31"/>
      <c r="C165" s="31"/>
      <c r="J165" s="903">
        <f t="shared" si="7"/>
        <v>161</v>
      </c>
      <c r="K165" s="566">
        <v>6</v>
      </c>
    </row>
    <row r="166" spans="2:11" x14ac:dyDescent="0.25">
      <c r="B166" s="31"/>
      <c r="C166" s="31"/>
      <c r="J166" s="903">
        <f t="shared" si="7"/>
        <v>162</v>
      </c>
      <c r="K166" s="566">
        <v>6</v>
      </c>
    </row>
    <row r="167" spans="2:11" x14ac:dyDescent="0.25">
      <c r="B167" s="31"/>
      <c r="C167" s="31"/>
      <c r="J167" s="903">
        <f t="shared" si="7"/>
        <v>163</v>
      </c>
      <c r="K167" s="566">
        <v>6</v>
      </c>
    </row>
    <row r="168" spans="2:11" x14ac:dyDescent="0.25">
      <c r="B168" s="31"/>
      <c r="C168" s="31"/>
      <c r="J168" s="903">
        <f t="shared" si="7"/>
        <v>164</v>
      </c>
      <c r="K168" s="566">
        <v>6</v>
      </c>
    </row>
    <row r="169" spans="2:11" x14ac:dyDescent="0.25">
      <c r="B169" s="31"/>
      <c r="C169" s="31"/>
      <c r="J169" s="903">
        <f t="shared" si="7"/>
        <v>165</v>
      </c>
      <c r="K169" s="566">
        <v>6</v>
      </c>
    </row>
    <row r="170" spans="2:11" x14ac:dyDescent="0.25">
      <c r="B170" s="31"/>
      <c r="C170" s="31"/>
      <c r="J170" s="903">
        <f t="shared" si="7"/>
        <v>166</v>
      </c>
      <c r="K170" s="566">
        <v>6</v>
      </c>
    </row>
    <row r="171" spans="2:11" x14ac:dyDescent="0.25">
      <c r="B171" s="31"/>
      <c r="C171" s="31"/>
      <c r="J171" s="903">
        <f t="shared" si="7"/>
        <v>167</v>
      </c>
      <c r="K171" s="566">
        <v>6</v>
      </c>
    </row>
    <row r="172" spans="2:11" x14ac:dyDescent="0.25">
      <c r="B172" s="31"/>
      <c r="C172" s="31"/>
      <c r="J172" s="903">
        <f t="shared" si="7"/>
        <v>168</v>
      </c>
      <c r="K172" s="566">
        <v>6</v>
      </c>
    </row>
    <row r="173" spans="2:11" x14ac:dyDescent="0.25">
      <c r="B173" s="31"/>
      <c r="C173" s="31"/>
      <c r="J173" s="903">
        <f t="shared" si="7"/>
        <v>169</v>
      </c>
      <c r="K173" s="566">
        <v>6</v>
      </c>
    </row>
    <row r="174" spans="2:11" x14ac:dyDescent="0.25">
      <c r="B174" s="31"/>
      <c r="C174" s="31"/>
      <c r="J174" s="903">
        <f t="shared" si="7"/>
        <v>170</v>
      </c>
      <c r="K174" s="566">
        <v>6</v>
      </c>
    </row>
    <row r="175" spans="2:11" x14ac:dyDescent="0.25">
      <c r="B175" s="31"/>
      <c r="C175" s="31"/>
      <c r="J175" s="903">
        <f t="shared" si="7"/>
        <v>171</v>
      </c>
      <c r="K175" s="566">
        <v>6</v>
      </c>
    </row>
    <row r="176" spans="2:11" x14ac:dyDescent="0.25">
      <c r="B176" s="31"/>
      <c r="C176" s="31"/>
      <c r="J176" s="903">
        <f t="shared" si="7"/>
        <v>172</v>
      </c>
      <c r="K176" s="566">
        <v>6</v>
      </c>
    </row>
    <row r="177" spans="10:11" x14ac:dyDescent="0.25">
      <c r="J177" s="903">
        <f t="shared" si="7"/>
        <v>173</v>
      </c>
      <c r="K177" s="566">
        <v>6</v>
      </c>
    </row>
    <row r="178" spans="10:11" x14ac:dyDescent="0.25">
      <c r="J178" s="903">
        <f t="shared" si="7"/>
        <v>174</v>
      </c>
      <c r="K178" s="566">
        <v>6</v>
      </c>
    </row>
    <row r="179" spans="10:11" x14ac:dyDescent="0.25">
      <c r="J179" s="903">
        <f t="shared" si="7"/>
        <v>175</v>
      </c>
      <c r="K179" s="566">
        <v>6</v>
      </c>
    </row>
    <row r="180" spans="10:11" x14ac:dyDescent="0.25">
      <c r="J180" s="903">
        <f t="shared" si="7"/>
        <v>176</v>
      </c>
      <c r="K180" s="566">
        <v>6</v>
      </c>
    </row>
    <row r="181" spans="10:11" x14ac:dyDescent="0.25">
      <c r="J181" s="903">
        <f t="shared" si="7"/>
        <v>177</v>
      </c>
      <c r="K181" s="566">
        <v>6</v>
      </c>
    </row>
    <row r="182" spans="10:11" x14ac:dyDescent="0.25">
      <c r="J182" s="903">
        <f t="shared" si="7"/>
        <v>178</v>
      </c>
      <c r="K182" s="566">
        <v>6</v>
      </c>
    </row>
    <row r="183" spans="10:11" x14ac:dyDescent="0.25">
      <c r="J183" s="903">
        <f t="shared" si="7"/>
        <v>179</v>
      </c>
      <c r="K183" s="566">
        <v>6</v>
      </c>
    </row>
    <row r="184" spans="10:11" x14ac:dyDescent="0.25">
      <c r="J184" s="903">
        <f t="shared" si="7"/>
        <v>180</v>
      </c>
      <c r="K184" s="566">
        <v>7</v>
      </c>
    </row>
    <row r="185" spans="10:11" x14ac:dyDescent="0.25">
      <c r="J185" s="903">
        <f t="shared" si="7"/>
        <v>181</v>
      </c>
      <c r="K185" s="566">
        <v>7</v>
      </c>
    </row>
    <row r="186" spans="10:11" x14ac:dyDescent="0.25">
      <c r="J186" s="903">
        <f t="shared" si="7"/>
        <v>182</v>
      </c>
      <c r="K186" s="566">
        <v>7</v>
      </c>
    </row>
    <row r="187" spans="10:11" x14ac:dyDescent="0.25">
      <c r="J187" s="903">
        <f t="shared" si="7"/>
        <v>183</v>
      </c>
      <c r="K187" s="566">
        <v>7</v>
      </c>
    </row>
    <row r="188" spans="10:11" x14ac:dyDescent="0.25">
      <c r="J188" s="903">
        <f t="shared" si="7"/>
        <v>184</v>
      </c>
      <c r="K188" s="566">
        <v>7</v>
      </c>
    </row>
    <row r="189" spans="10:11" x14ac:dyDescent="0.25">
      <c r="J189" s="903">
        <f t="shared" si="7"/>
        <v>185</v>
      </c>
      <c r="K189" s="566">
        <v>7</v>
      </c>
    </row>
    <row r="190" spans="10:11" x14ac:dyDescent="0.25">
      <c r="J190" s="903">
        <f t="shared" si="7"/>
        <v>186</v>
      </c>
      <c r="K190" s="566">
        <v>7</v>
      </c>
    </row>
    <row r="191" spans="10:11" x14ac:dyDescent="0.25">
      <c r="J191" s="903">
        <f t="shared" si="7"/>
        <v>187</v>
      </c>
      <c r="K191" s="566">
        <v>7</v>
      </c>
    </row>
    <row r="192" spans="10:11" x14ac:dyDescent="0.25">
      <c r="J192" s="903">
        <f t="shared" si="7"/>
        <v>188</v>
      </c>
      <c r="K192" s="566">
        <v>7</v>
      </c>
    </row>
    <row r="193" spans="10:11" x14ac:dyDescent="0.25">
      <c r="J193" s="903">
        <f t="shared" si="7"/>
        <v>189</v>
      </c>
      <c r="K193" s="566">
        <v>7</v>
      </c>
    </row>
    <row r="194" spans="10:11" x14ac:dyDescent="0.25">
      <c r="J194" s="903">
        <f t="shared" si="7"/>
        <v>190</v>
      </c>
      <c r="K194" s="566">
        <v>7</v>
      </c>
    </row>
    <row r="195" spans="10:11" x14ac:dyDescent="0.25">
      <c r="J195" s="903">
        <f t="shared" si="7"/>
        <v>191</v>
      </c>
      <c r="K195" s="566">
        <v>7</v>
      </c>
    </row>
    <row r="196" spans="10:11" x14ac:dyDescent="0.25">
      <c r="J196" s="903">
        <f t="shared" si="7"/>
        <v>192</v>
      </c>
      <c r="K196" s="566">
        <v>7</v>
      </c>
    </row>
    <row r="197" spans="10:11" x14ac:dyDescent="0.25">
      <c r="J197" s="903">
        <f t="shared" si="7"/>
        <v>193</v>
      </c>
      <c r="K197" s="566">
        <v>7</v>
      </c>
    </row>
    <row r="198" spans="10:11" x14ac:dyDescent="0.25">
      <c r="J198" s="903">
        <f t="shared" si="7"/>
        <v>194</v>
      </c>
      <c r="K198" s="566">
        <v>7</v>
      </c>
    </row>
    <row r="199" spans="10:11" x14ac:dyDescent="0.25">
      <c r="J199" s="903">
        <f t="shared" si="7"/>
        <v>195</v>
      </c>
      <c r="K199" s="566">
        <v>7</v>
      </c>
    </row>
    <row r="200" spans="10:11" x14ac:dyDescent="0.25">
      <c r="J200" s="903">
        <f t="shared" si="7"/>
        <v>196</v>
      </c>
      <c r="K200" s="566">
        <v>7</v>
      </c>
    </row>
    <row r="201" spans="10:11" x14ac:dyDescent="0.25">
      <c r="J201" s="903">
        <f t="shared" si="7"/>
        <v>197</v>
      </c>
      <c r="K201" s="566">
        <v>7</v>
      </c>
    </row>
    <row r="202" spans="10:11" x14ac:dyDescent="0.25">
      <c r="J202" s="903">
        <f t="shared" si="7"/>
        <v>198</v>
      </c>
      <c r="K202" s="566">
        <v>7</v>
      </c>
    </row>
    <row r="203" spans="10:11" x14ac:dyDescent="0.25">
      <c r="J203" s="903">
        <f t="shared" si="7"/>
        <v>199</v>
      </c>
      <c r="K203" s="566">
        <v>7</v>
      </c>
    </row>
    <row r="204" spans="10:11" x14ac:dyDescent="0.25">
      <c r="J204" s="903">
        <f t="shared" si="7"/>
        <v>200</v>
      </c>
      <c r="K204" s="566">
        <v>7</v>
      </c>
    </row>
    <row r="205" spans="10:11" x14ac:dyDescent="0.25">
      <c r="J205" s="903">
        <f t="shared" si="7"/>
        <v>201</v>
      </c>
      <c r="K205" s="566">
        <v>7</v>
      </c>
    </row>
    <row r="206" spans="10:11" x14ac:dyDescent="0.25">
      <c r="J206" s="903">
        <f t="shared" si="7"/>
        <v>202</v>
      </c>
      <c r="K206" s="566">
        <v>7</v>
      </c>
    </row>
    <row r="207" spans="10:11" x14ac:dyDescent="0.25">
      <c r="J207" s="903">
        <f t="shared" si="7"/>
        <v>203</v>
      </c>
      <c r="K207" s="566">
        <v>7</v>
      </c>
    </row>
    <row r="208" spans="10:11" x14ac:dyDescent="0.25">
      <c r="J208" s="903">
        <f t="shared" si="7"/>
        <v>204</v>
      </c>
      <c r="K208" s="566">
        <v>7</v>
      </c>
    </row>
    <row r="209" spans="10:11" x14ac:dyDescent="0.25">
      <c r="J209" s="903">
        <f t="shared" si="7"/>
        <v>205</v>
      </c>
      <c r="K209" s="566">
        <v>7</v>
      </c>
    </row>
    <row r="210" spans="10:11" x14ac:dyDescent="0.25">
      <c r="J210" s="903">
        <f t="shared" si="7"/>
        <v>206</v>
      </c>
      <c r="K210" s="566">
        <v>7</v>
      </c>
    </row>
    <row r="211" spans="10:11" x14ac:dyDescent="0.25">
      <c r="J211" s="903">
        <f t="shared" si="7"/>
        <v>207</v>
      </c>
      <c r="K211" s="566">
        <v>7</v>
      </c>
    </row>
    <row r="212" spans="10:11" x14ac:dyDescent="0.25">
      <c r="J212" s="903">
        <f t="shared" si="7"/>
        <v>208</v>
      </c>
      <c r="K212" s="566">
        <v>7</v>
      </c>
    </row>
    <row r="213" spans="10:11" x14ac:dyDescent="0.25">
      <c r="J213" s="903">
        <f t="shared" ref="J213:J276" si="8">J212+1</f>
        <v>209</v>
      </c>
      <c r="K213" s="566">
        <v>7</v>
      </c>
    </row>
    <row r="214" spans="10:11" x14ac:dyDescent="0.25">
      <c r="J214" s="903">
        <f t="shared" si="8"/>
        <v>210</v>
      </c>
      <c r="K214" s="566">
        <v>7</v>
      </c>
    </row>
    <row r="215" spans="10:11" x14ac:dyDescent="0.25">
      <c r="J215" s="903">
        <f t="shared" si="8"/>
        <v>211</v>
      </c>
      <c r="K215" s="566">
        <v>7</v>
      </c>
    </row>
    <row r="216" spans="10:11" x14ac:dyDescent="0.25">
      <c r="J216" s="903">
        <f t="shared" si="8"/>
        <v>212</v>
      </c>
      <c r="K216" s="566">
        <v>7</v>
      </c>
    </row>
    <row r="217" spans="10:11" x14ac:dyDescent="0.25">
      <c r="J217" s="903">
        <f t="shared" si="8"/>
        <v>213</v>
      </c>
      <c r="K217" s="566">
        <v>7</v>
      </c>
    </row>
    <row r="218" spans="10:11" x14ac:dyDescent="0.25">
      <c r="J218" s="903">
        <f t="shared" si="8"/>
        <v>214</v>
      </c>
      <c r="K218" s="566">
        <v>7</v>
      </c>
    </row>
    <row r="219" spans="10:11" x14ac:dyDescent="0.25">
      <c r="J219" s="903">
        <f t="shared" si="8"/>
        <v>215</v>
      </c>
      <c r="K219" s="566">
        <v>7</v>
      </c>
    </row>
    <row r="220" spans="10:11" x14ac:dyDescent="0.25">
      <c r="J220" s="903">
        <f t="shared" si="8"/>
        <v>216</v>
      </c>
      <c r="K220" s="566">
        <v>7</v>
      </c>
    </row>
    <row r="221" spans="10:11" x14ac:dyDescent="0.25">
      <c r="J221" s="903">
        <f t="shared" si="8"/>
        <v>217</v>
      </c>
      <c r="K221" s="566">
        <v>7</v>
      </c>
    </row>
    <row r="222" spans="10:11" x14ac:dyDescent="0.25">
      <c r="J222" s="903">
        <f t="shared" si="8"/>
        <v>218</v>
      </c>
      <c r="K222" s="566">
        <v>7</v>
      </c>
    </row>
    <row r="223" spans="10:11" x14ac:dyDescent="0.25">
      <c r="J223" s="903">
        <f t="shared" si="8"/>
        <v>219</v>
      </c>
      <c r="K223" s="566">
        <v>7</v>
      </c>
    </row>
    <row r="224" spans="10:11" x14ac:dyDescent="0.25">
      <c r="J224" s="903">
        <f t="shared" si="8"/>
        <v>220</v>
      </c>
      <c r="K224" s="566">
        <v>7</v>
      </c>
    </row>
    <row r="225" spans="10:11" x14ac:dyDescent="0.25">
      <c r="J225" s="903">
        <f t="shared" si="8"/>
        <v>221</v>
      </c>
      <c r="K225" s="566">
        <v>7</v>
      </c>
    </row>
    <row r="226" spans="10:11" x14ac:dyDescent="0.25">
      <c r="J226" s="903">
        <f t="shared" si="8"/>
        <v>222</v>
      </c>
      <c r="K226" s="566">
        <v>7</v>
      </c>
    </row>
    <row r="227" spans="10:11" x14ac:dyDescent="0.25">
      <c r="J227" s="903">
        <f t="shared" si="8"/>
        <v>223</v>
      </c>
      <c r="K227" s="566">
        <v>7</v>
      </c>
    </row>
    <row r="228" spans="10:11" x14ac:dyDescent="0.25">
      <c r="J228" s="903">
        <f t="shared" si="8"/>
        <v>224</v>
      </c>
      <c r="K228" s="566">
        <v>7</v>
      </c>
    </row>
    <row r="229" spans="10:11" x14ac:dyDescent="0.25">
      <c r="J229" s="903">
        <f t="shared" si="8"/>
        <v>225</v>
      </c>
      <c r="K229" s="566">
        <v>7</v>
      </c>
    </row>
    <row r="230" spans="10:11" x14ac:dyDescent="0.25">
      <c r="J230" s="903">
        <f t="shared" si="8"/>
        <v>226</v>
      </c>
      <c r="K230" s="566">
        <v>7</v>
      </c>
    </row>
    <row r="231" spans="10:11" x14ac:dyDescent="0.25">
      <c r="J231" s="903">
        <f t="shared" si="8"/>
        <v>227</v>
      </c>
      <c r="K231" s="566">
        <v>7</v>
      </c>
    </row>
    <row r="232" spans="10:11" x14ac:dyDescent="0.25">
      <c r="J232" s="903">
        <f t="shared" si="8"/>
        <v>228</v>
      </c>
      <c r="K232" s="566">
        <v>7</v>
      </c>
    </row>
    <row r="233" spans="10:11" x14ac:dyDescent="0.25">
      <c r="J233" s="903">
        <f t="shared" si="8"/>
        <v>229</v>
      </c>
      <c r="K233" s="566">
        <v>7</v>
      </c>
    </row>
    <row r="234" spans="10:11" x14ac:dyDescent="0.25">
      <c r="J234" s="903">
        <f t="shared" si="8"/>
        <v>230</v>
      </c>
      <c r="K234" s="566">
        <v>7</v>
      </c>
    </row>
    <row r="235" spans="10:11" x14ac:dyDescent="0.25">
      <c r="J235" s="903">
        <f t="shared" si="8"/>
        <v>231</v>
      </c>
      <c r="K235" s="566">
        <v>7</v>
      </c>
    </row>
    <row r="236" spans="10:11" x14ac:dyDescent="0.25">
      <c r="J236" s="903">
        <f t="shared" si="8"/>
        <v>232</v>
      </c>
      <c r="K236" s="566">
        <v>7</v>
      </c>
    </row>
    <row r="237" spans="10:11" x14ac:dyDescent="0.25">
      <c r="J237" s="903">
        <f t="shared" si="8"/>
        <v>233</v>
      </c>
      <c r="K237" s="566">
        <v>7</v>
      </c>
    </row>
    <row r="238" spans="10:11" x14ac:dyDescent="0.25">
      <c r="J238" s="903">
        <f t="shared" si="8"/>
        <v>234</v>
      </c>
      <c r="K238" s="566">
        <v>7</v>
      </c>
    </row>
    <row r="239" spans="10:11" x14ac:dyDescent="0.25">
      <c r="J239" s="903">
        <f t="shared" si="8"/>
        <v>235</v>
      </c>
      <c r="K239" s="566">
        <v>7</v>
      </c>
    </row>
    <row r="240" spans="10:11" x14ac:dyDescent="0.25">
      <c r="J240" s="903">
        <f t="shared" si="8"/>
        <v>236</v>
      </c>
      <c r="K240" s="566">
        <v>7</v>
      </c>
    </row>
    <row r="241" spans="10:11" x14ac:dyDescent="0.25">
      <c r="J241" s="903">
        <f t="shared" si="8"/>
        <v>237</v>
      </c>
      <c r="K241" s="566">
        <v>7</v>
      </c>
    </row>
    <row r="242" spans="10:11" x14ac:dyDescent="0.25">
      <c r="J242" s="903">
        <f t="shared" si="8"/>
        <v>238</v>
      </c>
      <c r="K242" s="566">
        <v>7</v>
      </c>
    </row>
    <row r="243" spans="10:11" x14ac:dyDescent="0.25">
      <c r="J243" s="903">
        <f t="shared" si="8"/>
        <v>239</v>
      </c>
      <c r="K243" s="566">
        <v>7</v>
      </c>
    </row>
    <row r="244" spans="10:11" x14ac:dyDescent="0.25">
      <c r="J244" s="903">
        <f t="shared" si="8"/>
        <v>240</v>
      </c>
      <c r="K244" s="566">
        <v>7</v>
      </c>
    </row>
    <row r="245" spans="10:11" x14ac:dyDescent="0.25">
      <c r="J245" s="903">
        <f t="shared" si="8"/>
        <v>241</v>
      </c>
      <c r="K245" s="566">
        <v>7</v>
      </c>
    </row>
    <row r="246" spans="10:11" x14ac:dyDescent="0.25">
      <c r="J246" s="903">
        <f t="shared" si="8"/>
        <v>242</v>
      </c>
      <c r="K246" s="566">
        <v>7</v>
      </c>
    </row>
    <row r="247" spans="10:11" x14ac:dyDescent="0.25">
      <c r="J247" s="903">
        <f t="shared" si="8"/>
        <v>243</v>
      </c>
      <c r="K247" s="566">
        <v>7</v>
      </c>
    </row>
    <row r="248" spans="10:11" x14ac:dyDescent="0.25">
      <c r="J248" s="903">
        <f t="shared" si="8"/>
        <v>244</v>
      </c>
      <c r="K248" s="566">
        <v>7</v>
      </c>
    </row>
    <row r="249" spans="10:11" x14ac:dyDescent="0.25">
      <c r="J249" s="903">
        <f t="shared" si="8"/>
        <v>245</v>
      </c>
      <c r="K249" s="566">
        <v>7</v>
      </c>
    </row>
    <row r="250" spans="10:11" x14ac:dyDescent="0.25">
      <c r="J250" s="903">
        <f t="shared" si="8"/>
        <v>246</v>
      </c>
      <c r="K250" s="566">
        <v>7</v>
      </c>
    </row>
    <row r="251" spans="10:11" x14ac:dyDescent="0.25">
      <c r="J251" s="903">
        <f t="shared" si="8"/>
        <v>247</v>
      </c>
      <c r="K251" s="566">
        <v>7</v>
      </c>
    </row>
    <row r="252" spans="10:11" x14ac:dyDescent="0.25">
      <c r="J252" s="903">
        <f t="shared" si="8"/>
        <v>248</v>
      </c>
      <c r="K252" s="566">
        <v>7</v>
      </c>
    </row>
    <row r="253" spans="10:11" x14ac:dyDescent="0.25">
      <c r="J253" s="903">
        <f t="shared" si="8"/>
        <v>249</v>
      </c>
      <c r="K253" s="566">
        <v>7</v>
      </c>
    </row>
    <row r="254" spans="10:11" x14ac:dyDescent="0.25">
      <c r="J254" s="903">
        <f t="shared" si="8"/>
        <v>250</v>
      </c>
      <c r="K254" s="566">
        <v>7</v>
      </c>
    </row>
    <row r="255" spans="10:11" x14ac:dyDescent="0.25">
      <c r="J255" s="903">
        <f t="shared" si="8"/>
        <v>251</v>
      </c>
      <c r="K255" s="566">
        <v>7</v>
      </c>
    </row>
    <row r="256" spans="10:11" x14ac:dyDescent="0.25">
      <c r="J256" s="903">
        <f t="shared" si="8"/>
        <v>252</v>
      </c>
      <c r="K256" s="566">
        <v>7</v>
      </c>
    </row>
    <row r="257" spans="10:11" x14ac:dyDescent="0.25">
      <c r="J257" s="903">
        <f t="shared" si="8"/>
        <v>253</v>
      </c>
      <c r="K257" s="566">
        <v>7</v>
      </c>
    </row>
    <row r="258" spans="10:11" x14ac:dyDescent="0.25">
      <c r="J258" s="903">
        <f t="shared" si="8"/>
        <v>254</v>
      </c>
      <c r="K258" s="566">
        <v>7</v>
      </c>
    </row>
    <row r="259" spans="10:11" x14ac:dyDescent="0.25">
      <c r="J259" s="903">
        <f t="shared" si="8"/>
        <v>255</v>
      </c>
      <c r="K259" s="566">
        <v>7</v>
      </c>
    </row>
    <row r="260" spans="10:11" x14ac:dyDescent="0.25">
      <c r="J260" s="903">
        <f t="shared" si="8"/>
        <v>256</v>
      </c>
      <c r="K260" s="566">
        <v>7</v>
      </c>
    </row>
    <row r="261" spans="10:11" x14ac:dyDescent="0.25">
      <c r="J261" s="903">
        <f t="shared" si="8"/>
        <v>257</v>
      </c>
      <c r="K261" s="566">
        <v>7</v>
      </c>
    </row>
    <row r="262" spans="10:11" x14ac:dyDescent="0.25">
      <c r="J262" s="903">
        <f t="shared" si="8"/>
        <v>258</v>
      </c>
      <c r="K262" s="566">
        <v>7</v>
      </c>
    </row>
    <row r="263" spans="10:11" x14ac:dyDescent="0.25">
      <c r="J263" s="903">
        <f t="shared" si="8"/>
        <v>259</v>
      </c>
      <c r="K263" s="566">
        <v>7</v>
      </c>
    </row>
    <row r="264" spans="10:11" x14ac:dyDescent="0.25">
      <c r="J264" s="903">
        <f t="shared" si="8"/>
        <v>260</v>
      </c>
      <c r="K264" s="566">
        <v>7</v>
      </c>
    </row>
    <row r="265" spans="10:11" x14ac:dyDescent="0.25">
      <c r="J265" s="903">
        <f t="shared" si="8"/>
        <v>261</v>
      </c>
      <c r="K265" s="566">
        <v>7</v>
      </c>
    </row>
    <row r="266" spans="10:11" x14ac:dyDescent="0.25">
      <c r="J266" s="903">
        <f t="shared" si="8"/>
        <v>262</v>
      </c>
      <c r="K266" s="566">
        <v>7</v>
      </c>
    </row>
    <row r="267" spans="10:11" x14ac:dyDescent="0.25">
      <c r="J267" s="903">
        <f t="shared" si="8"/>
        <v>263</v>
      </c>
      <c r="K267" s="566">
        <v>7</v>
      </c>
    </row>
    <row r="268" spans="10:11" x14ac:dyDescent="0.25">
      <c r="J268" s="903">
        <f t="shared" si="8"/>
        <v>264</v>
      </c>
      <c r="K268" s="566">
        <v>7</v>
      </c>
    </row>
    <row r="269" spans="10:11" x14ac:dyDescent="0.25">
      <c r="J269" s="903">
        <f t="shared" si="8"/>
        <v>265</v>
      </c>
      <c r="K269" s="566">
        <v>7</v>
      </c>
    </row>
    <row r="270" spans="10:11" x14ac:dyDescent="0.25">
      <c r="J270" s="903">
        <f t="shared" si="8"/>
        <v>266</v>
      </c>
      <c r="K270" s="566">
        <v>7</v>
      </c>
    </row>
    <row r="271" spans="10:11" x14ac:dyDescent="0.25">
      <c r="J271" s="903">
        <f t="shared" si="8"/>
        <v>267</v>
      </c>
      <c r="K271" s="566">
        <v>7</v>
      </c>
    </row>
    <row r="272" spans="10:11" x14ac:dyDescent="0.25">
      <c r="J272" s="903">
        <f t="shared" si="8"/>
        <v>268</v>
      </c>
      <c r="K272" s="566">
        <v>7</v>
      </c>
    </row>
    <row r="273" spans="10:11" x14ac:dyDescent="0.25">
      <c r="J273" s="903">
        <f t="shared" si="8"/>
        <v>269</v>
      </c>
      <c r="K273" s="566">
        <v>7</v>
      </c>
    </row>
    <row r="274" spans="10:11" x14ac:dyDescent="0.25">
      <c r="J274" s="903">
        <f t="shared" si="8"/>
        <v>270</v>
      </c>
      <c r="K274" s="566">
        <v>8</v>
      </c>
    </row>
    <row r="275" spans="10:11" x14ac:dyDescent="0.25">
      <c r="J275" s="903">
        <f t="shared" si="8"/>
        <v>271</v>
      </c>
      <c r="K275" s="566">
        <v>8</v>
      </c>
    </row>
    <row r="276" spans="10:11" x14ac:dyDescent="0.25">
      <c r="J276" s="903">
        <f t="shared" si="8"/>
        <v>272</v>
      </c>
      <c r="K276" s="566">
        <v>8</v>
      </c>
    </row>
    <row r="277" spans="10:11" x14ac:dyDescent="0.25">
      <c r="J277" s="903">
        <f t="shared" ref="J277:J340" si="9">J276+1</f>
        <v>273</v>
      </c>
      <c r="K277" s="566">
        <v>8</v>
      </c>
    </row>
    <row r="278" spans="10:11" x14ac:dyDescent="0.25">
      <c r="J278" s="903">
        <f t="shared" si="9"/>
        <v>274</v>
      </c>
      <c r="K278" s="566">
        <v>8</v>
      </c>
    </row>
    <row r="279" spans="10:11" x14ac:dyDescent="0.25">
      <c r="J279" s="903">
        <f t="shared" si="9"/>
        <v>275</v>
      </c>
      <c r="K279" s="566">
        <v>8</v>
      </c>
    </row>
    <row r="280" spans="10:11" x14ac:dyDescent="0.25">
      <c r="J280" s="903">
        <f t="shared" si="9"/>
        <v>276</v>
      </c>
      <c r="K280" s="566">
        <v>8</v>
      </c>
    </row>
    <row r="281" spans="10:11" x14ac:dyDescent="0.25">
      <c r="J281" s="903">
        <f t="shared" si="9"/>
        <v>277</v>
      </c>
      <c r="K281" s="566">
        <v>8</v>
      </c>
    </row>
    <row r="282" spans="10:11" x14ac:dyDescent="0.25">
      <c r="J282" s="903">
        <f t="shared" si="9"/>
        <v>278</v>
      </c>
      <c r="K282" s="566">
        <v>8</v>
      </c>
    </row>
    <row r="283" spans="10:11" x14ac:dyDescent="0.25">
      <c r="J283" s="903">
        <f t="shared" si="9"/>
        <v>279</v>
      </c>
      <c r="K283" s="566">
        <v>8</v>
      </c>
    </row>
    <row r="284" spans="10:11" x14ac:dyDescent="0.25">
      <c r="J284" s="903">
        <f t="shared" si="9"/>
        <v>280</v>
      </c>
      <c r="K284" s="566">
        <v>8</v>
      </c>
    </row>
    <row r="285" spans="10:11" x14ac:dyDescent="0.25">
      <c r="J285" s="903">
        <f t="shared" si="9"/>
        <v>281</v>
      </c>
      <c r="K285" s="566">
        <v>8</v>
      </c>
    </row>
    <row r="286" spans="10:11" x14ac:dyDescent="0.25">
      <c r="J286" s="903">
        <f t="shared" si="9"/>
        <v>282</v>
      </c>
      <c r="K286" s="566">
        <v>8</v>
      </c>
    </row>
    <row r="287" spans="10:11" x14ac:dyDescent="0.25">
      <c r="J287" s="903">
        <f t="shared" si="9"/>
        <v>283</v>
      </c>
      <c r="K287" s="566">
        <v>8</v>
      </c>
    </row>
    <row r="288" spans="10:11" x14ac:dyDescent="0.25">
      <c r="J288" s="903">
        <f t="shared" si="9"/>
        <v>284</v>
      </c>
      <c r="K288" s="566">
        <v>8</v>
      </c>
    </row>
    <row r="289" spans="10:11" x14ac:dyDescent="0.25">
      <c r="J289" s="903">
        <f t="shared" si="9"/>
        <v>285</v>
      </c>
      <c r="K289" s="566">
        <v>8</v>
      </c>
    </row>
    <row r="290" spans="10:11" x14ac:dyDescent="0.25">
      <c r="J290" s="903">
        <f t="shared" si="9"/>
        <v>286</v>
      </c>
      <c r="K290" s="566">
        <v>8</v>
      </c>
    </row>
    <row r="291" spans="10:11" x14ac:dyDescent="0.25">
      <c r="J291" s="903">
        <f t="shared" si="9"/>
        <v>287</v>
      </c>
      <c r="K291" s="566">
        <v>8</v>
      </c>
    </row>
    <row r="292" spans="10:11" x14ac:dyDescent="0.25">
      <c r="J292" s="903">
        <f t="shared" si="9"/>
        <v>288</v>
      </c>
      <c r="K292" s="566">
        <v>8</v>
      </c>
    </row>
    <row r="293" spans="10:11" x14ac:dyDescent="0.25">
      <c r="J293" s="903">
        <f t="shared" si="9"/>
        <v>289</v>
      </c>
      <c r="K293" s="566">
        <v>8</v>
      </c>
    </row>
    <row r="294" spans="10:11" x14ac:dyDescent="0.25">
      <c r="J294" s="903">
        <f t="shared" si="9"/>
        <v>290</v>
      </c>
      <c r="K294" s="566">
        <v>8</v>
      </c>
    </row>
    <row r="295" spans="10:11" x14ac:dyDescent="0.25">
      <c r="J295" s="903">
        <f t="shared" si="9"/>
        <v>291</v>
      </c>
      <c r="K295" s="566">
        <v>8</v>
      </c>
    </row>
    <row r="296" spans="10:11" x14ac:dyDescent="0.25">
      <c r="J296" s="903">
        <f t="shared" si="9"/>
        <v>292</v>
      </c>
      <c r="K296" s="566">
        <v>8</v>
      </c>
    </row>
    <row r="297" spans="10:11" x14ac:dyDescent="0.25">
      <c r="J297" s="903">
        <f t="shared" si="9"/>
        <v>293</v>
      </c>
      <c r="K297" s="566">
        <v>8</v>
      </c>
    </row>
    <row r="298" spans="10:11" x14ac:dyDescent="0.25">
      <c r="J298" s="903">
        <f t="shared" si="9"/>
        <v>294</v>
      </c>
      <c r="K298" s="566">
        <v>8</v>
      </c>
    </row>
    <row r="299" spans="10:11" x14ac:dyDescent="0.25">
      <c r="J299" s="903">
        <f t="shared" si="9"/>
        <v>295</v>
      </c>
      <c r="K299" s="566">
        <v>8</v>
      </c>
    </row>
    <row r="300" spans="10:11" x14ac:dyDescent="0.25">
      <c r="J300" s="903">
        <f t="shared" si="9"/>
        <v>296</v>
      </c>
      <c r="K300" s="566">
        <v>8</v>
      </c>
    </row>
    <row r="301" spans="10:11" x14ac:dyDescent="0.25">
      <c r="J301" s="903">
        <f t="shared" si="9"/>
        <v>297</v>
      </c>
      <c r="K301" s="566">
        <v>8</v>
      </c>
    </row>
    <row r="302" spans="10:11" x14ac:dyDescent="0.25">
      <c r="J302" s="903">
        <f t="shared" si="9"/>
        <v>298</v>
      </c>
      <c r="K302" s="566">
        <v>8</v>
      </c>
    </row>
    <row r="303" spans="10:11" x14ac:dyDescent="0.25">
      <c r="J303" s="903">
        <f t="shared" si="9"/>
        <v>299</v>
      </c>
      <c r="K303" s="566">
        <v>8</v>
      </c>
    </row>
    <row r="304" spans="10:11" x14ac:dyDescent="0.25">
      <c r="J304" s="903">
        <f t="shared" si="9"/>
        <v>300</v>
      </c>
      <c r="K304" s="566">
        <v>8</v>
      </c>
    </row>
    <row r="305" spans="10:11" x14ac:dyDescent="0.25">
      <c r="J305" s="903">
        <f t="shared" si="9"/>
        <v>301</v>
      </c>
      <c r="K305" s="566">
        <v>8</v>
      </c>
    </row>
    <row r="306" spans="10:11" x14ac:dyDescent="0.25">
      <c r="J306" s="903">
        <f t="shared" si="9"/>
        <v>302</v>
      </c>
      <c r="K306" s="566">
        <v>8</v>
      </c>
    </row>
    <row r="307" spans="10:11" x14ac:dyDescent="0.25">
      <c r="J307" s="903">
        <f t="shared" si="9"/>
        <v>303</v>
      </c>
      <c r="K307" s="566">
        <v>8</v>
      </c>
    </row>
    <row r="308" spans="10:11" x14ac:dyDescent="0.25">
      <c r="J308" s="903">
        <f t="shared" si="9"/>
        <v>304</v>
      </c>
      <c r="K308" s="566">
        <v>8</v>
      </c>
    </row>
    <row r="309" spans="10:11" x14ac:dyDescent="0.25">
      <c r="J309" s="903">
        <f t="shared" si="9"/>
        <v>305</v>
      </c>
      <c r="K309" s="566">
        <v>8</v>
      </c>
    </row>
    <row r="310" spans="10:11" x14ac:dyDescent="0.25">
      <c r="J310" s="903">
        <f t="shared" si="9"/>
        <v>306</v>
      </c>
      <c r="K310" s="566">
        <v>8</v>
      </c>
    </row>
    <row r="311" spans="10:11" x14ac:dyDescent="0.25">
      <c r="J311" s="903">
        <f t="shared" si="9"/>
        <v>307</v>
      </c>
      <c r="K311" s="566">
        <v>8</v>
      </c>
    </row>
    <row r="312" spans="10:11" x14ac:dyDescent="0.25">
      <c r="J312" s="903">
        <f t="shared" si="9"/>
        <v>308</v>
      </c>
      <c r="K312" s="566">
        <v>8</v>
      </c>
    </row>
    <row r="313" spans="10:11" x14ac:dyDescent="0.25">
      <c r="J313" s="903">
        <f t="shared" si="9"/>
        <v>309</v>
      </c>
      <c r="K313" s="566">
        <v>8</v>
      </c>
    </row>
    <row r="314" spans="10:11" x14ac:dyDescent="0.25">
      <c r="J314" s="903">
        <f t="shared" si="9"/>
        <v>310</v>
      </c>
      <c r="K314" s="566">
        <v>8</v>
      </c>
    </row>
    <row r="315" spans="10:11" x14ac:dyDescent="0.25">
      <c r="J315" s="903">
        <f t="shared" si="9"/>
        <v>311</v>
      </c>
      <c r="K315" s="566">
        <v>8</v>
      </c>
    </row>
    <row r="316" spans="10:11" x14ac:dyDescent="0.25">
      <c r="J316" s="903">
        <f t="shared" si="9"/>
        <v>312</v>
      </c>
      <c r="K316" s="566">
        <v>8</v>
      </c>
    </row>
    <row r="317" spans="10:11" x14ac:dyDescent="0.25">
      <c r="J317" s="903">
        <f t="shared" si="9"/>
        <v>313</v>
      </c>
      <c r="K317" s="566">
        <v>8</v>
      </c>
    </row>
    <row r="318" spans="10:11" x14ac:dyDescent="0.25">
      <c r="J318" s="903">
        <f t="shared" si="9"/>
        <v>314</v>
      </c>
      <c r="K318" s="566">
        <v>8</v>
      </c>
    </row>
    <row r="319" spans="10:11" x14ac:dyDescent="0.25">
      <c r="J319" s="903">
        <f t="shared" si="9"/>
        <v>315</v>
      </c>
      <c r="K319" s="566">
        <v>8</v>
      </c>
    </row>
    <row r="320" spans="10:11" x14ac:dyDescent="0.25">
      <c r="J320" s="903">
        <f t="shared" si="9"/>
        <v>316</v>
      </c>
      <c r="K320" s="566">
        <v>8</v>
      </c>
    </row>
    <row r="321" spans="10:11" x14ac:dyDescent="0.25">
      <c r="J321" s="903">
        <f t="shared" si="9"/>
        <v>317</v>
      </c>
      <c r="K321" s="566">
        <v>8</v>
      </c>
    </row>
    <row r="322" spans="10:11" x14ac:dyDescent="0.25">
      <c r="J322" s="903">
        <f t="shared" si="9"/>
        <v>318</v>
      </c>
      <c r="K322" s="566">
        <v>8</v>
      </c>
    </row>
    <row r="323" spans="10:11" x14ac:dyDescent="0.25">
      <c r="J323" s="903">
        <f t="shared" si="9"/>
        <v>319</v>
      </c>
      <c r="K323" s="566">
        <v>8</v>
      </c>
    </row>
    <row r="324" spans="10:11" x14ac:dyDescent="0.25">
      <c r="J324" s="903">
        <f t="shared" si="9"/>
        <v>320</v>
      </c>
      <c r="K324" s="566">
        <v>8</v>
      </c>
    </row>
    <row r="325" spans="10:11" x14ac:dyDescent="0.25">
      <c r="J325" s="903">
        <f t="shared" si="9"/>
        <v>321</v>
      </c>
      <c r="K325" s="566">
        <v>8</v>
      </c>
    </row>
    <row r="326" spans="10:11" x14ac:dyDescent="0.25">
      <c r="J326" s="903">
        <f t="shared" si="9"/>
        <v>322</v>
      </c>
      <c r="K326" s="566">
        <v>8</v>
      </c>
    </row>
    <row r="327" spans="10:11" x14ac:dyDescent="0.25">
      <c r="J327" s="903">
        <f t="shared" si="9"/>
        <v>323</v>
      </c>
      <c r="K327" s="566">
        <v>8</v>
      </c>
    </row>
    <row r="328" spans="10:11" x14ac:dyDescent="0.25">
      <c r="J328" s="903">
        <f t="shared" si="9"/>
        <v>324</v>
      </c>
      <c r="K328" s="566">
        <v>8</v>
      </c>
    </row>
    <row r="329" spans="10:11" x14ac:dyDescent="0.25">
      <c r="J329" s="903">
        <f t="shared" si="9"/>
        <v>325</v>
      </c>
      <c r="K329" s="566">
        <v>8</v>
      </c>
    </row>
    <row r="330" spans="10:11" x14ac:dyDescent="0.25">
      <c r="J330" s="903">
        <f t="shared" si="9"/>
        <v>326</v>
      </c>
      <c r="K330" s="566">
        <v>8</v>
      </c>
    </row>
    <row r="331" spans="10:11" x14ac:dyDescent="0.25">
      <c r="J331" s="903">
        <f t="shared" si="9"/>
        <v>327</v>
      </c>
      <c r="K331" s="566">
        <v>8</v>
      </c>
    </row>
    <row r="332" spans="10:11" x14ac:dyDescent="0.25">
      <c r="J332" s="903">
        <f t="shared" si="9"/>
        <v>328</v>
      </c>
      <c r="K332" s="566">
        <v>8</v>
      </c>
    </row>
    <row r="333" spans="10:11" x14ac:dyDescent="0.25">
      <c r="J333" s="903">
        <f t="shared" si="9"/>
        <v>329</v>
      </c>
      <c r="K333" s="566">
        <v>8</v>
      </c>
    </row>
    <row r="334" spans="10:11" x14ac:dyDescent="0.25">
      <c r="J334" s="903">
        <f t="shared" si="9"/>
        <v>330</v>
      </c>
      <c r="K334" s="566">
        <v>8</v>
      </c>
    </row>
    <row r="335" spans="10:11" x14ac:dyDescent="0.25">
      <c r="J335" s="903">
        <f t="shared" si="9"/>
        <v>331</v>
      </c>
      <c r="K335" s="566">
        <v>8</v>
      </c>
    </row>
    <row r="336" spans="10:11" x14ac:dyDescent="0.25">
      <c r="J336" s="903">
        <f t="shared" si="9"/>
        <v>332</v>
      </c>
      <c r="K336" s="566">
        <v>8</v>
      </c>
    </row>
    <row r="337" spans="10:11" x14ac:dyDescent="0.25">
      <c r="J337" s="903">
        <f t="shared" si="9"/>
        <v>333</v>
      </c>
      <c r="K337" s="566">
        <v>8</v>
      </c>
    </row>
    <row r="338" spans="10:11" x14ac:dyDescent="0.25">
      <c r="J338" s="903">
        <f t="shared" si="9"/>
        <v>334</v>
      </c>
      <c r="K338" s="566">
        <v>8</v>
      </c>
    </row>
    <row r="339" spans="10:11" x14ac:dyDescent="0.25">
      <c r="J339" s="903">
        <f t="shared" si="9"/>
        <v>335</v>
      </c>
      <c r="K339" s="566">
        <v>8</v>
      </c>
    </row>
    <row r="340" spans="10:11" x14ac:dyDescent="0.25">
      <c r="J340" s="903">
        <f t="shared" si="9"/>
        <v>336</v>
      </c>
      <c r="K340" s="566">
        <v>8</v>
      </c>
    </row>
    <row r="341" spans="10:11" x14ac:dyDescent="0.25">
      <c r="J341" s="903">
        <f t="shared" ref="J341:J404" si="10">J340+1</f>
        <v>337</v>
      </c>
      <c r="K341" s="566">
        <v>8</v>
      </c>
    </row>
    <row r="342" spans="10:11" x14ac:dyDescent="0.25">
      <c r="J342" s="903">
        <f t="shared" si="10"/>
        <v>338</v>
      </c>
      <c r="K342" s="566">
        <v>8</v>
      </c>
    </row>
    <row r="343" spans="10:11" x14ac:dyDescent="0.25">
      <c r="J343" s="903">
        <f t="shared" si="10"/>
        <v>339</v>
      </c>
      <c r="K343" s="566">
        <v>8</v>
      </c>
    </row>
    <row r="344" spans="10:11" x14ac:dyDescent="0.25">
      <c r="J344" s="903">
        <f t="shared" si="10"/>
        <v>340</v>
      </c>
      <c r="K344" s="566">
        <v>8</v>
      </c>
    </row>
    <row r="345" spans="10:11" x14ac:dyDescent="0.25">
      <c r="J345" s="903">
        <f t="shared" si="10"/>
        <v>341</v>
      </c>
      <c r="K345" s="566">
        <v>8</v>
      </c>
    </row>
    <row r="346" spans="10:11" x14ac:dyDescent="0.25">
      <c r="J346" s="903">
        <f t="shared" si="10"/>
        <v>342</v>
      </c>
      <c r="K346" s="566">
        <v>8</v>
      </c>
    </row>
    <row r="347" spans="10:11" x14ac:dyDescent="0.25">
      <c r="J347" s="903">
        <f t="shared" si="10"/>
        <v>343</v>
      </c>
      <c r="K347" s="566">
        <v>8</v>
      </c>
    </row>
    <row r="348" spans="10:11" x14ac:dyDescent="0.25">
      <c r="J348" s="903">
        <f t="shared" si="10"/>
        <v>344</v>
      </c>
      <c r="K348" s="566">
        <v>8</v>
      </c>
    </row>
    <row r="349" spans="10:11" x14ac:dyDescent="0.25">
      <c r="J349" s="903">
        <f t="shared" si="10"/>
        <v>345</v>
      </c>
      <c r="K349" s="566">
        <v>8</v>
      </c>
    </row>
    <row r="350" spans="10:11" x14ac:dyDescent="0.25">
      <c r="J350" s="903">
        <f t="shared" si="10"/>
        <v>346</v>
      </c>
      <c r="K350" s="566">
        <v>8</v>
      </c>
    </row>
    <row r="351" spans="10:11" x14ac:dyDescent="0.25">
      <c r="J351" s="903">
        <f t="shared" si="10"/>
        <v>347</v>
      </c>
      <c r="K351" s="566">
        <v>8</v>
      </c>
    </row>
    <row r="352" spans="10:11" x14ac:dyDescent="0.25">
      <c r="J352" s="903">
        <f t="shared" si="10"/>
        <v>348</v>
      </c>
      <c r="K352" s="566">
        <v>8</v>
      </c>
    </row>
    <row r="353" spans="10:11" x14ac:dyDescent="0.25">
      <c r="J353" s="903">
        <f t="shared" si="10"/>
        <v>349</v>
      </c>
      <c r="K353" s="566">
        <v>8</v>
      </c>
    </row>
    <row r="354" spans="10:11" x14ac:dyDescent="0.25">
      <c r="J354" s="903">
        <f t="shared" si="10"/>
        <v>350</v>
      </c>
      <c r="K354" s="566">
        <v>9</v>
      </c>
    </row>
    <row r="355" spans="10:11" x14ac:dyDescent="0.25">
      <c r="J355" s="903">
        <f t="shared" si="10"/>
        <v>351</v>
      </c>
      <c r="K355" s="566">
        <v>9</v>
      </c>
    </row>
    <row r="356" spans="10:11" x14ac:dyDescent="0.25">
      <c r="J356" s="903">
        <f t="shared" si="10"/>
        <v>352</v>
      </c>
      <c r="K356" s="566">
        <v>9</v>
      </c>
    </row>
    <row r="357" spans="10:11" x14ac:dyDescent="0.25">
      <c r="J357" s="903">
        <f t="shared" si="10"/>
        <v>353</v>
      </c>
      <c r="K357" s="566">
        <v>9</v>
      </c>
    </row>
    <row r="358" spans="10:11" x14ac:dyDescent="0.25">
      <c r="J358" s="903">
        <f t="shared" si="10"/>
        <v>354</v>
      </c>
      <c r="K358" s="566">
        <v>9</v>
      </c>
    </row>
    <row r="359" spans="10:11" x14ac:dyDescent="0.25">
      <c r="J359" s="903">
        <f t="shared" si="10"/>
        <v>355</v>
      </c>
      <c r="K359" s="566">
        <v>9</v>
      </c>
    </row>
    <row r="360" spans="10:11" x14ac:dyDescent="0.25">
      <c r="J360" s="903">
        <f t="shared" si="10"/>
        <v>356</v>
      </c>
      <c r="K360" s="566">
        <v>9</v>
      </c>
    </row>
    <row r="361" spans="10:11" x14ac:dyDescent="0.25">
      <c r="J361" s="903">
        <f t="shared" si="10"/>
        <v>357</v>
      </c>
      <c r="K361" s="566">
        <v>9</v>
      </c>
    </row>
    <row r="362" spans="10:11" x14ac:dyDescent="0.25">
      <c r="J362" s="903">
        <f t="shared" si="10"/>
        <v>358</v>
      </c>
      <c r="K362" s="566">
        <v>9</v>
      </c>
    </row>
    <row r="363" spans="10:11" x14ac:dyDescent="0.25">
      <c r="J363" s="903">
        <f t="shared" si="10"/>
        <v>359</v>
      </c>
      <c r="K363" s="566">
        <v>9</v>
      </c>
    </row>
    <row r="364" spans="10:11" x14ac:dyDescent="0.25">
      <c r="J364" s="903">
        <f t="shared" si="10"/>
        <v>360</v>
      </c>
      <c r="K364" s="566">
        <v>9</v>
      </c>
    </row>
    <row r="365" spans="10:11" x14ac:dyDescent="0.25">
      <c r="J365" s="903">
        <f t="shared" si="10"/>
        <v>361</v>
      </c>
      <c r="K365" s="566">
        <v>9</v>
      </c>
    </row>
    <row r="366" spans="10:11" x14ac:dyDescent="0.25">
      <c r="J366" s="903">
        <f t="shared" si="10"/>
        <v>362</v>
      </c>
      <c r="K366" s="566">
        <v>9</v>
      </c>
    </row>
    <row r="367" spans="10:11" x14ac:dyDescent="0.25">
      <c r="J367" s="903">
        <f t="shared" si="10"/>
        <v>363</v>
      </c>
      <c r="K367" s="566">
        <v>9</v>
      </c>
    </row>
    <row r="368" spans="10:11" x14ac:dyDescent="0.25">
      <c r="J368" s="903">
        <f t="shared" si="10"/>
        <v>364</v>
      </c>
      <c r="K368" s="566">
        <v>9</v>
      </c>
    </row>
    <row r="369" spans="10:11" x14ac:dyDescent="0.25">
      <c r="J369" s="903">
        <f t="shared" si="10"/>
        <v>365</v>
      </c>
      <c r="K369" s="566">
        <v>9</v>
      </c>
    </row>
    <row r="370" spans="10:11" x14ac:dyDescent="0.25">
      <c r="J370" s="903">
        <f t="shared" si="10"/>
        <v>366</v>
      </c>
      <c r="K370" s="566">
        <v>9</v>
      </c>
    </row>
    <row r="371" spans="10:11" x14ac:dyDescent="0.25">
      <c r="J371" s="903">
        <f t="shared" si="10"/>
        <v>367</v>
      </c>
      <c r="K371" s="566">
        <v>9</v>
      </c>
    </row>
    <row r="372" spans="10:11" x14ac:dyDescent="0.25">
      <c r="J372" s="903">
        <f t="shared" si="10"/>
        <v>368</v>
      </c>
      <c r="K372" s="566">
        <v>9</v>
      </c>
    </row>
    <row r="373" spans="10:11" x14ac:dyDescent="0.25">
      <c r="J373" s="903">
        <f t="shared" si="10"/>
        <v>369</v>
      </c>
      <c r="K373" s="566">
        <v>9</v>
      </c>
    </row>
    <row r="374" spans="10:11" x14ac:dyDescent="0.25">
      <c r="J374" s="903">
        <f t="shared" si="10"/>
        <v>370</v>
      </c>
      <c r="K374" s="566">
        <v>9</v>
      </c>
    </row>
    <row r="375" spans="10:11" x14ac:dyDescent="0.25">
      <c r="J375" s="903">
        <f t="shared" si="10"/>
        <v>371</v>
      </c>
      <c r="K375" s="566">
        <v>9</v>
      </c>
    </row>
    <row r="376" spans="10:11" x14ac:dyDescent="0.25">
      <c r="J376" s="903">
        <f t="shared" si="10"/>
        <v>372</v>
      </c>
      <c r="K376" s="566">
        <v>9</v>
      </c>
    </row>
    <row r="377" spans="10:11" x14ac:dyDescent="0.25">
      <c r="J377" s="903">
        <f t="shared" si="10"/>
        <v>373</v>
      </c>
      <c r="K377" s="566">
        <v>9</v>
      </c>
    </row>
    <row r="378" spans="10:11" x14ac:dyDescent="0.25">
      <c r="J378" s="903">
        <f t="shared" si="10"/>
        <v>374</v>
      </c>
      <c r="K378" s="566">
        <v>9</v>
      </c>
    </row>
    <row r="379" spans="10:11" x14ac:dyDescent="0.25">
      <c r="J379" s="903">
        <f t="shared" si="10"/>
        <v>375</v>
      </c>
      <c r="K379" s="566">
        <v>9</v>
      </c>
    </row>
    <row r="380" spans="10:11" x14ac:dyDescent="0.25">
      <c r="J380" s="903">
        <f t="shared" si="10"/>
        <v>376</v>
      </c>
      <c r="K380" s="566">
        <v>9</v>
      </c>
    </row>
    <row r="381" spans="10:11" x14ac:dyDescent="0.25">
      <c r="J381" s="903">
        <f t="shared" si="10"/>
        <v>377</v>
      </c>
      <c r="K381" s="566">
        <v>9</v>
      </c>
    </row>
    <row r="382" spans="10:11" x14ac:dyDescent="0.25">
      <c r="J382" s="903">
        <f t="shared" si="10"/>
        <v>378</v>
      </c>
      <c r="K382" s="566">
        <v>9</v>
      </c>
    </row>
    <row r="383" spans="10:11" x14ac:dyDescent="0.25">
      <c r="J383" s="903">
        <f t="shared" si="10"/>
        <v>379</v>
      </c>
      <c r="K383" s="566">
        <v>9</v>
      </c>
    </row>
    <row r="384" spans="10:11" x14ac:dyDescent="0.25">
      <c r="J384" s="903">
        <f t="shared" si="10"/>
        <v>380</v>
      </c>
      <c r="K384" s="566">
        <v>9</v>
      </c>
    </row>
    <row r="385" spans="10:11" x14ac:dyDescent="0.25">
      <c r="J385" s="903">
        <f t="shared" si="10"/>
        <v>381</v>
      </c>
      <c r="K385" s="566">
        <v>9</v>
      </c>
    </row>
    <row r="386" spans="10:11" x14ac:dyDescent="0.25">
      <c r="J386" s="903">
        <f t="shared" si="10"/>
        <v>382</v>
      </c>
      <c r="K386" s="566">
        <v>9</v>
      </c>
    </row>
    <row r="387" spans="10:11" x14ac:dyDescent="0.25">
      <c r="J387" s="903">
        <f t="shared" si="10"/>
        <v>383</v>
      </c>
      <c r="K387" s="566">
        <v>9</v>
      </c>
    </row>
    <row r="388" spans="10:11" x14ac:dyDescent="0.25">
      <c r="J388" s="903">
        <f t="shared" si="10"/>
        <v>384</v>
      </c>
      <c r="K388" s="566">
        <v>9</v>
      </c>
    </row>
    <row r="389" spans="10:11" x14ac:dyDescent="0.25">
      <c r="J389" s="903">
        <f t="shared" si="10"/>
        <v>385</v>
      </c>
      <c r="K389" s="566">
        <v>9</v>
      </c>
    </row>
    <row r="390" spans="10:11" x14ac:dyDescent="0.25">
      <c r="J390" s="903">
        <f t="shared" si="10"/>
        <v>386</v>
      </c>
      <c r="K390" s="566">
        <v>9</v>
      </c>
    </row>
    <row r="391" spans="10:11" x14ac:dyDescent="0.25">
      <c r="J391" s="903">
        <f t="shared" si="10"/>
        <v>387</v>
      </c>
      <c r="K391" s="566">
        <v>9</v>
      </c>
    </row>
    <row r="392" spans="10:11" x14ac:dyDescent="0.25">
      <c r="J392" s="903">
        <f t="shared" si="10"/>
        <v>388</v>
      </c>
      <c r="K392" s="566">
        <v>9</v>
      </c>
    </row>
    <row r="393" spans="10:11" x14ac:dyDescent="0.25">
      <c r="J393" s="903">
        <f t="shared" si="10"/>
        <v>389</v>
      </c>
      <c r="K393" s="566">
        <v>9</v>
      </c>
    </row>
    <row r="394" spans="10:11" x14ac:dyDescent="0.25">
      <c r="J394" s="903">
        <f t="shared" si="10"/>
        <v>390</v>
      </c>
      <c r="K394" s="566">
        <v>9</v>
      </c>
    </row>
    <row r="395" spans="10:11" x14ac:dyDescent="0.25">
      <c r="J395" s="903">
        <f t="shared" si="10"/>
        <v>391</v>
      </c>
      <c r="K395" s="566">
        <v>9</v>
      </c>
    </row>
    <row r="396" spans="10:11" x14ac:dyDescent="0.25">
      <c r="J396" s="903">
        <f t="shared" si="10"/>
        <v>392</v>
      </c>
      <c r="K396" s="566">
        <v>9</v>
      </c>
    </row>
    <row r="397" spans="10:11" x14ac:dyDescent="0.25">
      <c r="J397" s="903">
        <f t="shared" si="10"/>
        <v>393</v>
      </c>
      <c r="K397" s="566">
        <v>9</v>
      </c>
    </row>
    <row r="398" spans="10:11" x14ac:dyDescent="0.25">
      <c r="J398" s="903">
        <f t="shared" si="10"/>
        <v>394</v>
      </c>
      <c r="K398" s="566">
        <v>9</v>
      </c>
    </row>
    <row r="399" spans="10:11" x14ac:dyDescent="0.25">
      <c r="J399" s="903">
        <f t="shared" si="10"/>
        <v>395</v>
      </c>
      <c r="K399" s="566">
        <v>9</v>
      </c>
    </row>
    <row r="400" spans="10:11" x14ac:dyDescent="0.25">
      <c r="J400" s="903">
        <f t="shared" si="10"/>
        <v>396</v>
      </c>
      <c r="K400" s="566">
        <v>9</v>
      </c>
    </row>
    <row r="401" spans="10:11" x14ac:dyDescent="0.25">
      <c r="J401" s="903">
        <f t="shared" si="10"/>
        <v>397</v>
      </c>
      <c r="K401" s="566">
        <v>9</v>
      </c>
    </row>
    <row r="402" spans="10:11" x14ac:dyDescent="0.25">
      <c r="J402" s="903">
        <f t="shared" si="10"/>
        <v>398</v>
      </c>
      <c r="K402" s="566">
        <v>9</v>
      </c>
    </row>
    <row r="403" spans="10:11" x14ac:dyDescent="0.25">
      <c r="J403" s="903">
        <f t="shared" si="10"/>
        <v>399</v>
      </c>
      <c r="K403" s="566">
        <v>9</v>
      </c>
    </row>
    <row r="404" spans="10:11" x14ac:dyDescent="0.25">
      <c r="J404" s="903">
        <f t="shared" si="10"/>
        <v>400</v>
      </c>
      <c r="K404" s="566">
        <v>9</v>
      </c>
    </row>
    <row r="405" spans="10:11" x14ac:dyDescent="0.25">
      <c r="J405" s="903">
        <f t="shared" ref="J405:J468" si="11">J404+1</f>
        <v>401</v>
      </c>
      <c r="K405" s="566">
        <v>9</v>
      </c>
    </row>
    <row r="406" spans="10:11" x14ac:dyDescent="0.25">
      <c r="J406" s="903">
        <f t="shared" si="11"/>
        <v>402</v>
      </c>
      <c r="K406" s="566">
        <v>9</v>
      </c>
    </row>
    <row r="407" spans="10:11" x14ac:dyDescent="0.25">
      <c r="J407" s="903">
        <f t="shared" si="11"/>
        <v>403</v>
      </c>
      <c r="K407" s="566">
        <v>9</v>
      </c>
    </row>
    <row r="408" spans="10:11" x14ac:dyDescent="0.25">
      <c r="J408" s="903">
        <f t="shared" si="11"/>
        <v>404</v>
      </c>
      <c r="K408" s="566">
        <v>9</v>
      </c>
    </row>
    <row r="409" spans="10:11" x14ac:dyDescent="0.25">
      <c r="J409" s="903">
        <f t="shared" si="11"/>
        <v>405</v>
      </c>
      <c r="K409" s="566">
        <v>9</v>
      </c>
    </row>
    <row r="410" spans="10:11" x14ac:dyDescent="0.25">
      <c r="J410" s="903">
        <f t="shared" si="11"/>
        <v>406</v>
      </c>
      <c r="K410" s="566">
        <v>9</v>
      </c>
    </row>
    <row r="411" spans="10:11" x14ac:dyDescent="0.25">
      <c r="J411" s="903">
        <f t="shared" si="11"/>
        <v>407</v>
      </c>
      <c r="K411" s="566">
        <v>9</v>
      </c>
    </row>
    <row r="412" spans="10:11" x14ac:dyDescent="0.25">
      <c r="J412" s="903">
        <f t="shared" si="11"/>
        <v>408</v>
      </c>
      <c r="K412" s="566">
        <v>9</v>
      </c>
    </row>
    <row r="413" spans="10:11" x14ac:dyDescent="0.25">
      <c r="J413" s="903">
        <f t="shared" si="11"/>
        <v>409</v>
      </c>
      <c r="K413" s="566">
        <v>9</v>
      </c>
    </row>
    <row r="414" spans="10:11" x14ac:dyDescent="0.25">
      <c r="J414" s="903">
        <f t="shared" si="11"/>
        <v>410</v>
      </c>
      <c r="K414" s="566">
        <v>9</v>
      </c>
    </row>
    <row r="415" spans="10:11" x14ac:dyDescent="0.25">
      <c r="J415" s="903">
        <f t="shared" si="11"/>
        <v>411</v>
      </c>
      <c r="K415" s="566">
        <v>9</v>
      </c>
    </row>
    <row r="416" spans="10:11" x14ac:dyDescent="0.25">
      <c r="J416" s="903">
        <f t="shared" si="11"/>
        <v>412</v>
      </c>
      <c r="K416" s="566">
        <v>9</v>
      </c>
    </row>
    <row r="417" spans="10:11" x14ac:dyDescent="0.25">
      <c r="J417" s="903">
        <f t="shared" si="11"/>
        <v>413</v>
      </c>
      <c r="K417" s="566">
        <v>9</v>
      </c>
    </row>
    <row r="418" spans="10:11" x14ac:dyDescent="0.25">
      <c r="J418" s="903">
        <f t="shared" si="11"/>
        <v>414</v>
      </c>
      <c r="K418" s="566">
        <v>9</v>
      </c>
    </row>
    <row r="419" spans="10:11" x14ac:dyDescent="0.25">
      <c r="J419" s="903">
        <f t="shared" si="11"/>
        <v>415</v>
      </c>
      <c r="K419" s="566">
        <v>9</v>
      </c>
    </row>
    <row r="420" spans="10:11" x14ac:dyDescent="0.25">
      <c r="J420" s="903">
        <f t="shared" si="11"/>
        <v>416</v>
      </c>
      <c r="K420" s="566">
        <v>9</v>
      </c>
    </row>
    <row r="421" spans="10:11" x14ac:dyDescent="0.25">
      <c r="J421" s="903">
        <f t="shared" si="11"/>
        <v>417</v>
      </c>
      <c r="K421" s="566">
        <v>9</v>
      </c>
    </row>
    <row r="422" spans="10:11" x14ac:dyDescent="0.25">
      <c r="J422" s="903">
        <f t="shared" si="11"/>
        <v>418</v>
      </c>
      <c r="K422" s="566">
        <v>9</v>
      </c>
    </row>
    <row r="423" spans="10:11" x14ac:dyDescent="0.25">
      <c r="J423" s="903">
        <f t="shared" si="11"/>
        <v>419</v>
      </c>
      <c r="K423" s="566">
        <v>9</v>
      </c>
    </row>
    <row r="424" spans="10:11" x14ac:dyDescent="0.25">
      <c r="J424" s="903">
        <f t="shared" si="11"/>
        <v>420</v>
      </c>
      <c r="K424" s="566">
        <v>9</v>
      </c>
    </row>
    <row r="425" spans="10:11" x14ac:dyDescent="0.25">
      <c r="J425" s="903">
        <f t="shared" si="11"/>
        <v>421</v>
      </c>
      <c r="K425" s="566">
        <v>9</v>
      </c>
    </row>
    <row r="426" spans="10:11" x14ac:dyDescent="0.25">
      <c r="J426" s="903">
        <f t="shared" si="11"/>
        <v>422</v>
      </c>
      <c r="K426" s="566">
        <v>9</v>
      </c>
    </row>
    <row r="427" spans="10:11" x14ac:dyDescent="0.25">
      <c r="J427" s="903">
        <f t="shared" si="11"/>
        <v>423</v>
      </c>
      <c r="K427" s="566">
        <v>9</v>
      </c>
    </row>
    <row r="428" spans="10:11" x14ac:dyDescent="0.25">
      <c r="J428" s="903">
        <f t="shared" si="11"/>
        <v>424</v>
      </c>
      <c r="K428" s="566">
        <v>9</v>
      </c>
    </row>
    <row r="429" spans="10:11" x14ac:dyDescent="0.25">
      <c r="J429" s="903">
        <f t="shared" si="11"/>
        <v>425</v>
      </c>
      <c r="K429" s="566">
        <v>9</v>
      </c>
    </row>
    <row r="430" spans="10:11" x14ac:dyDescent="0.25">
      <c r="J430" s="903">
        <f t="shared" si="11"/>
        <v>426</v>
      </c>
      <c r="K430" s="566">
        <v>9</v>
      </c>
    </row>
    <row r="431" spans="10:11" x14ac:dyDescent="0.25">
      <c r="J431" s="903">
        <f t="shared" si="11"/>
        <v>427</v>
      </c>
      <c r="K431" s="566">
        <v>9</v>
      </c>
    </row>
    <row r="432" spans="10:11" x14ac:dyDescent="0.25">
      <c r="J432" s="903">
        <f t="shared" si="11"/>
        <v>428</v>
      </c>
      <c r="K432" s="566">
        <v>9</v>
      </c>
    </row>
    <row r="433" spans="10:11" x14ac:dyDescent="0.25">
      <c r="J433" s="903">
        <f t="shared" si="11"/>
        <v>429</v>
      </c>
      <c r="K433" s="566">
        <v>9</v>
      </c>
    </row>
    <row r="434" spans="10:11" x14ac:dyDescent="0.25">
      <c r="J434" s="903">
        <f t="shared" si="11"/>
        <v>430</v>
      </c>
      <c r="K434" s="566">
        <v>9</v>
      </c>
    </row>
    <row r="435" spans="10:11" x14ac:dyDescent="0.25">
      <c r="J435" s="903">
        <f t="shared" si="11"/>
        <v>431</v>
      </c>
      <c r="K435" s="566">
        <v>9</v>
      </c>
    </row>
    <row r="436" spans="10:11" x14ac:dyDescent="0.25">
      <c r="J436" s="903">
        <f t="shared" si="11"/>
        <v>432</v>
      </c>
      <c r="K436" s="566">
        <v>9</v>
      </c>
    </row>
    <row r="437" spans="10:11" x14ac:dyDescent="0.25">
      <c r="J437" s="903">
        <f t="shared" si="11"/>
        <v>433</v>
      </c>
      <c r="K437" s="566">
        <v>9</v>
      </c>
    </row>
    <row r="438" spans="10:11" x14ac:dyDescent="0.25">
      <c r="J438" s="903">
        <f t="shared" si="11"/>
        <v>434</v>
      </c>
      <c r="K438" s="566">
        <v>9</v>
      </c>
    </row>
    <row r="439" spans="10:11" x14ac:dyDescent="0.25">
      <c r="J439" s="903">
        <f t="shared" si="11"/>
        <v>435</v>
      </c>
      <c r="K439" s="566">
        <v>9</v>
      </c>
    </row>
    <row r="440" spans="10:11" x14ac:dyDescent="0.25">
      <c r="J440" s="903">
        <f t="shared" si="11"/>
        <v>436</v>
      </c>
      <c r="K440" s="566">
        <v>9</v>
      </c>
    </row>
    <row r="441" spans="10:11" x14ac:dyDescent="0.25">
      <c r="J441" s="903">
        <f t="shared" si="11"/>
        <v>437</v>
      </c>
      <c r="K441" s="566">
        <v>9</v>
      </c>
    </row>
    <row r="442" spans="10:11" x14ac:dyDescent="0.25">
      <c r="J442" s="903">
        <f t="shared" si="11"/>
        <v>438</v>
      </c>
      <c r="K442" s="566">
        <v>9</v>
      </c>
    </row>
    <row r="443" spans="10:11" x14ac:dyDescent="0.25">
      <c r="J443" s="903">
        <f t="shared" si="11"/>
        <v>439</v>
      </c>
      <c r="K443" s="566">
        <v>9</v>
      </c>
    </row>
    <row r="444" spans="10:11" x14ac:dyDescent="0.25">
      <c r="J444" s="903">
        <f t="shared" si="11"/>
        <v>440</v>
      </c>
      <c r="K444" s="566">
        <v>10</v>
      </c>
    </row>
    <row r="445" spans="10:11" x14ac:dyDescent="0.25">
      <c r="J445" s="903">
        <f t="shared" si="11"/>
        <v>441</v>
      </c>
      <c r="K445" s="566">
        <v>10</v>
      </c>
    </row>
    <row r="446" spans="10:11" x14ac:dyDescent="0.25">
      <c r="J446" s="903">
        <f t="shared" si="11"/>
        <v>442</v>
      </c>
      <c r="K446" s="566">
        <v>10</v>
      </c>
    </row>
    <row r="447" spans="10:11" x14ac:dyDescent="0.25">
      <c r="J447" s="903">
        <f t="shared" si="11"/>
        <v>443</v>
      </c>
      <c r="K447" s="566">
        <v>10</v>
      </c>
    </row>
    <row r="448" spans="10:11" x14ac:dyDescent="0.25">
      <c r="J448" s="903">
        <f t="shared" si="11"/>
        <v>444</v>
      </c>
      <c r="K448" s="566">
        <v>10</v>
      </c>
    </row>
    <row r="449" spans="10:11" x14ac:dyDescent="0.25">
      <c r="J449" s="903">
        <f t="shared" si="11"/>
        <v>445</v>
      </c>
      <c r="K449" s="566">
        <v>10</v>
      </c>
    </row>
    <row r="450" spans="10:11" x14ac:dyDescent="0.25">
      <c r="J450" s="903">
        <f t="shared" si="11"/>
        <v>446</v>
      </c>
      <c r="K450" s="566">
        <v>10</v>
      </c>
    </row>
    <row r="451" spans="10:11" x14ac:dyDescent="0.25">
      <c r="J451" s="903">
        <f t="shared" si="11"/>
        <v>447</v>
      </c>
      <c r="K451" s="566">
        <v>10</v>
      </c>
    </row>
    <row r="452" spans="10:11" x14ac:dyDescent="0.25">
      <c r="J452" s="903">
        <f t="shared" si="11"/>
        <v>448</v>
      </c>
      <c r="K452" s="566">
        <v>10</v>
      </c>
    </row>
    <row r="453" spans="10:11" x14ac:dyDescent="0.25">
      <c r="J453" s="903">
        <f t="shared" si="11"/>
        <v>449</v>
      </c>
      <c r="K453" s="566">
        <v>10</v>
      </c>
    </row>
    <row r="454" spans="10:11" x14ac:dyDescent="0.25">
      <c r="J454" s="903">
        <f t="shared" si="11"/>
        <v>450</v>
      </c>
      <c r="K454" s="566">
        <v>10</v>
      </c>
    </row>
    <row r="455" spans="10:11" x14ac:dyDescent="0.25">
      <c r="J455" s="903">
        <f t="shared" si="11"/>
        <v>451</v>
      </c>
      <c r="K455" s="566">
        <v>10</v>
      </c>
    </row>
    <row r="456" spans="10:11" x14ac:dyDescent="0.25">
      <c r="J456" s="903">
        <f t="shared" si="11"/>
        <v>452</v>
      </c>
      <c r="K456" s="566">
        <v>10</v>
      </c>
    </row>
    <row r="457" spans="10:11" x14ac:dyDescent="0.25">
      <c r="J457" s="903">
        <f t="shared" si="11"/>
        <v>453</v>
      </c>
      <c r="K457" s="566">
        <v>10</v>
      </c>
    </row>
    <row r="458" spans="10:11" x14ac:dyDescent="0.25">
      <c r="J458" s="903">
        <f t="shared" si="11"/>
        <v>454</v>
      </c>
      <c r="K458" s="566">
        <v>10</v>
      </c>
    </row>
    <row r="459" spans="10:11" x14ac:dyDescent="0.25">
      <c r="J459" s="903">
        <f t="shared" si="11"/>
        <v>455</v>
      </c>
      <c r="K459" s="566">
        <v>10</v>
      </c>
    </row>
    <row r="460" spans="10:11" x14ac:dyDescent="0.25">
      <c r="J460" s="903">
        <f t="shared" si="11"/>
        <v>456</v>
      </c>
      <c r="K460" s="566">
        <v>10</v>
      </c>
    </row>
    <row r="461" spans="10:11" x14ac:dyDescent="0.25">
      <c r="J461" s="903">
        <f t="shared" si="11"/>
        <v>457</v>
      </c>
      <c r="K461" s="566">
        <v>10</v>
      </c>
    </row>
    <row r="462" spans="10:11" x14ac:dyDescent="0.25">
      <c r="J462" s="903">
        <f t="shared" si="11"/>
        <v>458</v>
      </c>
      <c r="K462" s="566">
        <v>10</v>
      </c>
    </row>
    <row r="463" spans="10:11" x14ac:dyDescent="0.25">
      <c r="J463" s="903">
        <f t="shared" si="11"/>
        <v>459</v>
      </c>
      <c r="K463" s="566">
        <v>10</v>
      </c>
    </row>
    <row r="464" spans="10:11" x14ac:dyDescent="0.25">
      <c r="J464" s="903">
        <f t="shared" si="11"/>
        <v>460</v>
      </c>
      <c r="K464" s="566">
        <v>10</v>
      </c>
    </row>
    <row r="465" spans="10:11" x14ac:dyDescent="0.25">
      <c r="J465" s="903">
        <f t="shared" si="11"/>
        <v>461</v>
      </c>
      <c r="K465" s="566">
        <v>10</v>
      </c>
    </row>
    <row r="466" spans="10:11" x14ac:dyDescent="0.25">
      <c r="J466" s="903">
        <f t="shared" si="11"/>
        <v>462</v>
      </c>
      <c r="K466" s="566">
        <v>10</v>
      </c>
    </row>
    <row r="467" spans="10:11" x14ac:dyDescent="0.25">
      <c r="J467" s="903">
        <f t="shared" si="11"/>
        <v>463</v>
      </c>
      <c r="K467" s="566">
        <v>10</v>
      </c>
    </row>
    <row r="468" spans="10:11" x14ac:dyDescent="0.25">
      <c r="J468" s="903">
        <f t="shared" si="11"/>
        <v>464</v>
      </c>
      <c r="K468" s="566">
        <v>10</v>
      </c>
    </row>
    <row r="469" spans="10:11" x14ac:dyDescent="0.25">
      <c r="J469" s="903">
        <f t="shared" ref="J469:J532" si="12">J468+1</f>
        <v>465</v>
      </c>
      <c r="K469" s="566">
        <v>10</v>
      </c>
    </row>
    <row r="470" spans="10:11" x14ac:dyDescent="0.25">
      <c r="J470" s="903">
        <f t="shared" si="12"/>
        <v>466</v>
      </c>
      <c r="K470" s="566">
        <v>10</v>
      </c>
    </row>
    <row r="471" spans="10:11" x14ac:dyDescent="0.25">
      <c r="J471" s="903">
        <f t="shared" si="12"/>
        <v>467</v>
      </c>
      <c r="K471" s="566">
        <v>10</v>
      </c>
    </row>
    <row r="472" spans="10:11" x14ac:dyDescent="0.25">
      <c r="J472" s="903">
        <f t="shared" si="12"/>
        <v>468</v>
      </c>
      <c r="K472" s="566">
        <v>10</v>
      </c>
    </row>
    <row r="473" spans="10:11" x14ac:dyDescent="0.25">
      <c r="J473" s="903">
        <f t="shared" si="12"/>
        <v>469</v>
      </c>
      <c r="K473" s="566">
        <v>10</v>
      </c>
    </row>
    <row r="474" spans="10:11" x14ac:dyDescent="0.25">
      <c r="J474" s="903">
        <f t="shared" si="12"/>
        <v>470</v>
      </c>
      <c r="K474" s="566">
        <v>10</v>
      </c>
    </row>
    <row r="475" spans="10:11" x14ac:dyDescent="0.25">
      <c r="J475" s="903">
        <f t="shared" si="12"/>
        <v>471</v>
      </c>
      <c r="K475" s="566">
        <v>10</v>
      </c>
    </row>
    <row r="476" spans="10:11" x14ac:dyDescent="0.25">
      <c r="J476" s="903">
        <f t="shared" si="12"/>
        <v>472</v>
      </c>
      <c r="K476" s="566">
        <v>10</v>
      </c>
    </row>
    <row r="477" spans="10:11" x14ac:dyDescent="0.25">
      <c r="J477" s="903">
        <f t="shared" si="12"/>
        <v>473</v>
      </c>
      <c r="K477" s="566">
        <v>10</v>
      </c>
    </row>
    <row r="478" spans="10:11" x14ac:dyDescent="0.25">
      <c r="J478" s="903">
        <f t="shared" si="12"/>
        <v>474</v>
      </c>
      <c r="K478" s="566">
        <v>10</v>
      </c>
    </row>
    <row r="479" spans="10:11" x14ac:dyDescent="0.25">
      <c r="J479" s="903">
        <f t="shared" si="12"/>
        <v>475</v>
      </c>
      <c r="K479" s="566">
        <v>10</v>
      </c>
    </row>
    <row r="480" spans="10:11" x14ac:dyDescent="0.25">
      <c r="J480" s="903">
        <f t="shared" si="12"/>
        <v>476</v>
      </c>
      <c r="K480" s="566">
        <v>10</v>
      </c>
    </row>
    <row r="481" spans="10:11" x14ac:dyDescent="0.25">
      <c r="J481" s="903">
        <f t="shared" si="12"/>
        <v>477</v>
      </c>
      <c r="K481" s="566">
        <v>10</v>
      </c>
    </row>
    <row r="482" spans="10:11" x14ac:dyDescent="0.25">
      <c r="J482" s="903">
        <f t="shared" si="12"/>
        <v>478</v>
      </c>
      <c r="K482" s="566">
        <v>10</v>
      </c>
    </row>
    <row r="483" spans="10:11" x14ac:dyDescent="0.25">
      <c r="J483" s="903">
        <f t="shared" si="12"/>
        <v>479</v>
      </c>
      <c r="K483" s="566">
        <v>10</v>
      </c>
    </row>
    <row r="484" spans="10:11" x14ac:dyDescent="0.25">
      <c r="J484" s="903">
        <f t="shared" si="12"/>
        <v>480</v>
      </c>
      <c r="K484" s="566">
        <v>10</v>
      </c>
    </row>
    <row r="485" spans="10:11" x14ac:dyDescent="0.25">
      <c r="J485" s="903">
        <f t="shared" si="12"/>
        <v>481</v>
      </c>
      <c r="K485" s="566">
        <v>10</v>
      </c>
    </row>
    <row r="486" spans="10:11" x14ac:dyDescent="0.25">
      <c r="J486" s="903">
        <f t="shared" si="12"/>
        <v>482</v>
      </c>
      <c r="K486" s="566">
        <v>10</v>
      </c>
    </row>
    <row r="487" spans="10:11" x14ac:dyDescent="0.25">
      <c r="J487" s="903">
        <f t="shared" si="12"/>
        <v>483</v>
      </c>
      <c r="K487" s="566">
        <v>10</v>
      </c>
    </row>
    <row r="488" spans="10:11" x14ac:dyDescent="0.25">
      <c r="J488" s="903">
        <f t="shared" si="12"/>
        <v>484</v>
      </c>
      <c r="K488" s="566">
        <v>10</v>
      </c>
    </row>
    <row r="489" spans="10:11" x14ac:dyDescent="0.25">
      <c r="J489" s="903">
        <f t="shared" si="12"/>
        <v>485</v>
      </c>
      <c r="K489" s="566">
        <v>10</v>
      </c>
    </row>
    <row r="490" spans="10:11" x14ac:dyDescent="0.25">
      <c r="J490" s="903">
        <f t="shared" si="12"/>
        <v>486</v>
      </c>
      <c r="K490" s="566">
        <v>10</v>
      </c>
    </row>
    <row r="491" spans="10:11" x14ac:dyDescent="0.25">
      <c r="J491" s="903">
        <f t="shared" si="12"/>
        <v>487</v>
      </c>
      <c r="K491" s="566">
        <v>10</v>
      </c>
    </row>
    <row r="492" spans="10:11" x14ac:dyDescent="0.25">
      <c r="J492" s="903">
        <f t="shared" si="12"/>
        <v>488</v>
      </c>
      <c r="K492" s="566">
        <v>10</v>
      </c>
    </row>
    <row r="493" spans="10:11" x14ac:dyDescent="0.25">
      <c r="J493" s="903">
        <f t="shared" si="12"/>
        <v>489</v>
      </c>
      <c r="K493" s="566">
        <v>10</v>
      </c>
    </row>
    <row r="494" spans="10:11" x14ac:dyDescent="0.25">
      <c r="J494" s="903">
        <f t="shared" si="12"/>
        <v>490</v>
      </c>
      <c r="K494" s="566">
        <v>10</v>
      </c>
    </row>
    <row r="495" spans="10:11" x14ac:dyDescent="0.25">
      <c r="J495" s="903">
        <f t="shared" si="12"/>
        <v>491</v>
      </c>
      <c r="K495" s="566">
        <v>10</v>
      </c>
    </row>
    <row r="496" spans="10:11" x14ac:dyDescent="0.25">
      <c r="J496" s="903">
        <f t="shared" si="12"/>
        <v>492</v>
      </c>
      <c r="K496" s="566">
        <v>10</v>
      </c>
    </row>
    <row r="497" spans="10:11" x14ac:dyDescent="0.25">
      <c r="J497" s="903">
        <f t="shared" si="12"/>
        <v>493</v>
      </c>
      <c r="K497" s="566">
        <v>10</v>
      </c>
    </row>
    <row r="498" spans="10:11" x14ac:dyDescent="0.25">
      <c r="J498" s="903">
        <f t="shared" si="12"/>
        <v>494</v>
      </c>
      <c r="K498" s="566">
        <v>10</v>
      </c>
    </row>
    <row r="499" spans="10:11" x14ac:dyDescent="0.25">
      <c r="J499" s="903">
        <f t="shared" si="12"/>
        <v>495</v>
      </c>
      <c r="K499" s="566">
        <v>10</v>
      </c>
    </row>
    <row r="500" spans="10:11" x14ac:dyDescent="0.25">
      <c r="J500" s="903">
        <f t="shared" si="12"/>
        <v>496</v>
      </c>
      <c r="K500" s="566">
        <v>10</v>
      </c>
    </row>
    <row r="501" spans="10:11" x14ac:dyDescent="0.25">
      <c r="J501" s="903">
        <f t="shared" si="12"/>
        <v>497</v>
      </c>
      <c r="K501" s="566">
        <v>10</v>
      </c>
    </row>
    <row r="502" spans="10:11" x14ac:dyDescent="0.25">
      <c r="J502" s="903">
        <f t="shared" si="12"/>
        <v>498</v>
      </c>
      <c r="K502" s="566">
        <v>10</v>
      </c>
    </row>
    <row r="503" spans="10:11" x14ac:dyDescent="0.25">
      <c r="J503" s="903">
        <f t="shared" si="12"/>
        <v>499</v>
      </c>
      <c r="K503" s="566">
        <v>10</v>
      </c>
    </row>
    <row r="504" spans="10:11" x14ac:dyDescent="0.25">
      <c r="J504" s="903">
        <f t="shared" si="12"/>
        <v>500</v>
      </c>
      <c r="K504" s="566">
        <v>10</v>
      </c>
    </row>
    <row r="505" spans="10:11" x14ac:dyDescent="0.25">
      <c r="J505" s="903">
        <f t="shared" si="12"/>
        <v>501</v>
      </c>
      <c r="K505" s="566">
        <v>10</v>
      </c>
    </row>
    <row r="506" spans="10:11" x14ac:dyDescent="0.25">
      <c r="J506" s="903">
        <f t="shared" si="12"/>
        <v>502</v>
      </c>
      <c r="K506" s="566">
        <v>10</v>
      </c>
    </row>
    <row r="507" spans="10:11" x14ac:dyDescent="0.25">
      <c r="J507" s="903">
        <f t="shared" si="12"/>
        <v>503</v>
      </c>
      <c r="K507" s="566">
        <v>10</v>
      </c>
    </row>
    <row r="508" spans="10:11" x14ac:dyDescent="0.25">
      <c r="J508" s="903">
        <f t="shared" si="12"/>
        <v>504</v>
      </c>
      <c r="K508" s="566">
        <v>10</v>
      </c>
    </row>
    <row r="509" spans="10:11" x14ac:dyDescent="0.25">
      <c r="J509" s="903">
        <f t="shared" si="12"/>
        <v>505</v>
      </c>
      <c r="K509" s="566">
        <v>10</v>
      </c>
    </row>
    <row r="510" spans="10:11" x14ac:dyDescent="0.25">
      <c r="J510" s="903">
        <f t="shared" si="12"/>
        <v>506</v>
      </c>
      <c r="K510" s="566">
        <v>10</v>
      </c>
    </row>
    <row r="511" spans="10:11" x14ac:dyDescent="0.25">
      <c r="J511" s="903">
        <f t="shared" si="12"/>
        <v>507</v>
      </c>
      <c r="K511" s="566">
        <v>10</v>
      </c>
    </row>
    <row r="512" spans="10:11" x14ac:dyDescent="0.25">
      <c r="J512" s="903">
        <f t="shared" si="12"/>
        <v>508</v>
      </c>
      <c r="K512" s="566">
        <v>10</v>
      </c>
    </row>
    <row r="513" spans="10:11" x14ac:dyDescent="0.25">
      <c r="J513" s="903">
        <f t="shared" si="12"/>
        <v>509</v>
      </c>
      <c r="K513" s="566">
        <v>10</v>
      </c>
    </row>
    <row r="514" spans="10:11" x14ac:dyDescent="0.25">
      <c r="J514" s="903">
        <f t="shared" si="12"/>
        <v>510</v>
      </c>
      <c r="K514" s="566">
        <v>10</v>
      </c>
    </row>
    <row r="515" spans="10:11" x14ac:dyDescent="0.25">
      <c r="J515" s="903">
        <f t="shared" si="12"/>
        <v>511</v>
      </c>
      <c r="K515" s="566">
        <v>10</v>
      </c>
    </row>
    <row r="516" spans="10:11" x14ac:dyDescent="0.25">
      <c r="J516" s="903">
        <f t="shared" si="12"/>
        <v>512</v>
      </c>
      <c r="K516" s="566">
        <v>10</v>
      </c>
    </row>
    <row r="517" spans="10:11" x14ac:dyDescent="0.25">
      <c r="J517" s="903">
        <f t="shared" si="12"/>
        <v>513</v>
      </c>
      <c r="K517" s="566">
        <v>10</v>
      </c>
    </row>
    <row r="518" spans="10:11" x14ac:dyDescent="0.25">
      <c r="J518" s="903">
        <f t="shared" si="12"/>
        <v>514</v>
      </c>
      <c r="K518" s="566">
        <v>10</v>
      </c>
    </row>
    <row r="519" spans="10:11" x14ac:dyDescent="0.25">
      <c r="J519" s="903">
        <f t="shared" si="12"/>
        <v>515</v>
      </c>
      <c r="K519" s="566">
        <v>10</v>
      </c>
    </row>
    <row r="520" spans="10:11" x14ac:dyDescent="0.25">
      <c r="J520" s="903">
        <f t="shared" si="12"/>
        <v>516</v>
      </c>
      <c r="K520" s="566">
        <v>10</v>
      </c>
    </row>
    <row r="521" spans="10:11" x14ac:dyDescent="0.25">
      <c r="J521" s="903">
        <f t="shared" si="12"/>
        <v>517</v>
      </c>
      <c r="K521" s="566">
        <v>10</v>
      </c>
    </row>
    <row r="522" spans="10:11" x14ac:dyDescent="0.25">
      <c r="J522" s="903">
        <f t="shared" si="12"/>
        <v>518</v>
      </c>
      <c r="K522" s="566">
        <v>10</v>
      </c>
    </row>
    <row r="523" spans="10:11" x14ac:dyDescent="0.25">
      <c r="J523" s="903">
        <f t="shared" si="12"/>
        <v>519</v>
      </c>
      <c r="K523" s="566">
        <v>10</v>
      </c>
    </row>
    <row r="524" spans="10:11" x14ac:dyDescent="0.25">
      <c r="J524" s="903">
        <f t="shared" si="12"/>
        <v>520</v>
      </c>
      <c r="K524" s="566">
        <v>10</v>
      </c>
    </row>
    <row r="525" spans="10:11" x14ac:dyDescent="0.25">
      <c r="J525" s="903">
        <f t="shared" si="12"/>
        <v>521</v>
      </c>
      <c r="K525" s="566">
        <v>10</v>
      </c>
    </row>
    <row r="526" spans="10:11" x14ac:dyDescent="0.25">
      <c r="J526" s="903">
        <f t="shared" si="12"/>
        <v>522</v>
      </c>
      <c r="K526" s="566">
        <v>10</v>
      </c>
    </row>
    <row r="527" spans="10:11" x14ac:dyDescent="0.25">
      <c r="J527" s="903">
        <f t="shared" si="12"/>
        <v>523</v>
      </c>
      <c r="K527" s="566">
        <v>10</v>
      </c>
    </row>
    <row r="528" spans="10:11" x14ac:dyDescent="0.25">
      <c r="J528" s="903">
        <f t="shared" si="12"/>
        <v>524</v>
      </c>
      <c r="K528" s="566">
        <v>10</v>
      </c>
    </row>
    <row r="529" spans="10:11" x14ac:dyDescent="0.25">
      <c r="J529" s="903">
        <f t="shared" si="12"/>
        <v>525</v>
      </c>
      <c r="K529" s="566">
        <v>10</v>
      </c>
    </row>
    <row r="530" spans="10:11" x14ac:dyDescent="0.25">
      <c r="J530" s="903">
        <f t="shared" si="12"/>
        <v>526</v>
      </c>
      <c r="K530" s="566">
        <v>10</v>
      </c>
    </row>
    <row r="531" spans="10:11" x14ac:dyDescent="0.25">
      <c r="J531" s="903">
        <f t="shared" si="12"/>
        <v>527</v>
      </c>
      <c r="K531" s="566">
        <v>10</v>
      </c>
    </row>
    <row r="532" spans="10:11" x14ac:dyDescent="0.25">
      <c r="J532" s="903">
        <f t="shared" si="12"/>
        <v>528</v>
      </c>
      <c r="K532" s="566">
        <v>10</v>
      </c>
    </row>
    <row r="533" spans="10:11" x14ac:dyDescent="0.25">
      <c r="J533" s="903">
        <f t="shared" ref="J533:J596" si="13">J532+1</f>
        <v>529</v>
      </c>
      <c r="K533" s="566">
        <v>10</v>
      </c>
    </row>
    <row r="534" spans="10:11" x14ac:dyDescent="0.25">
      <c r="J534" s="903">
        <f t="shared" si="13"/>
        <v>530</v>
      </c>
      <c r="K534" s="566">
        <v>10</v>
      </c>
    </row>
    <row r="535" spans="10:11" x14ac:dyDescent="0.25">
      <c r="J535" s="903">
        <f t="shared" si="13"/>
        <v>531</v>
      </c>
      <c r="K535" s="566">
        <v>10</v>
      </c>
    </row>
    <row r="536" spans="10:11" x14ac:dyDescent="0.25">
      <c r="J536" s="903">
        <f t="shared" si="13"/>
        <v>532</v>
      </c>
      <c r="K536" s="566">
        <v>10</v>
      </c>
    </row>
    <row r="537" spans="10:11" x14ac:dyDescent="0.25">
      <c r="J537" s="903">
        <f t="shared" si="13"/>
        <v>533</v>
      </c>
      <c r="K537" s="566">
        <v>10</v>
      </c>
    </row>
    <row r="538" spans="10:11" x14ac:dyDescent="0.25">
      <c r="J538" s="903">
        <f t="shared" si="13"/>
        <v>534</v>
      </c>
      <c r="K538" s="566">
        <v>10</v>
      </c>
    </row>
    <row r="539" spans="10:11" x14ac:dyDescent="0.25">
      <c r="J539" s="903">
        <f t="shared" si="13"/>
        <v>535</v>
      </c>
      <c r="K539" s="566">
        <v>10</v>
      </c>
    </row>
    <row r="540" spans="10:11" x14ac:dyDescent="0.25">
      <c r="J540" s="903">
        <f t="shared" si="13"/>
        <v>536</v>
      </c>
      <c r="K540" s="566">
        <v>10</v>
      </c>
    </row>
    <row r="541" spans="10:11" x14ac:dyDescent="0.25">
      <c r="J541" s="903">
        <f t="shared" si="13"/>
        <v>537</v>
      </c>
      <c r="K541" s="566">
        <v>10</v>
      </c>
    </row>
    <row r="542" spans="10:11" x14ac:dyDescent="0.25">
      <c r="J542" s="903">
        <f t="shared" si="13"/>
        <v>538</v>
      </c>
      <c r="K542" s="566">
        <v>10</v>
      </c>
    </row>
    <row r="543" spans="10:11" x14ac:dyDescent="0.25">
      <c r="J543" s="903">
        <f t="shared" si="13"/>
        <v>539</v>
      </c>
      <c r="K543" s="566">
        <v>10</v>
      </c>
    </row>
    <row r="544" spans="10:11" x14ac:dyDescent="0.25">
      <c r="J544" s="903">
        <f t="shared" si="13"/>
        <v>540</v>
      </c>
      <c r="K544" s="566">
        <v>11</v>
      </c>
    </row>
    <row r="545" spans="10:11" x14ac:dyDescent="0.25">
      <c r="J545" s="903">
        <f t="shared" si="13"/>
        <v>541</v>
      </c>
      <c r="K545" s="566">
        <v>11</v>
      </c>
    </row>
    <row r="546" spans="10:11" x14ac:dyDescent="0.25">
      <c r="J546" s="903">
        <f t="shared" si="13"/>
        <v>542</v>
      </c>
      <c r="K546" s="566">
        <v>11</v>
      </c>
    </row>
    <row r="547" spans="10:11" x14ac:dyDescent="0.25">
      <c r="J547" s="903">
        <f t="shared" si="13"/>
        <v>543</v>
      </c>
      <c r="K547" s="566">
        <v>11</v>
      </c>
    </row>
    <row r="548" spans="10:11" x14ac:dyDescent="0.25">
      <c r="J548" s="903">
        <f t="shared" si="13"/>
        <v>544</v>
      </c>
      <c r="K548" s="566">
        <v>11</v>
      </c>
    </row>
    <row r="549" spans="10:11" x14ac:dyDescent="0.25">
      <c r="J549" s="903">
        <f t="shared" si="13"/>
        <v>545</v>
      </c>
      <c r="K549" s="566">
        <v>11</v>
      </c>
    </row>
    <row r="550" spans="10:11" x14ac:dyDescent="0.25">
      <c r="J550" s="903">
        <f t="shared" si="13"/>
        <v>546</v>
      </c>
      <c r="K550" s="566">
        <v>11</v>
      </c>
    </row>
    <row r="551" spans="10:11" x14ac:dyDescent="0.25">
      <c r="J551" s="903">
        <f t="shared" si="13"/>
        <v>547</v>
      </c>
      <c r="K551" s="566">
        <v>11</v>
      </c>
    </row>
    <row r="552" spans="10:11" x14ac:dyDescent="0.25">
      <c r="J552" s="903">
        <f t="shared" si="13"/>
        <v>548</v>
      </c>
      <c r="K552" s="566">
        <v>11</v>
      </c>
    </row>
    <row r="553" spans="10:11" x14ac:dyDescent="0.25">
      <c r="J553" s="903">
        <f t="shared" si="13"/>
        <v>549</v>
      </c>
      <c r="K553" s="566">
        <v>11</v>
      </c>
    </row>
    <row r="554" spans="10:11" x14ac:dyDescent="0.25">
      <c r="J554" s="903">
        <f t="shared" si="13"/>
        <v>550</v>
      </c>
      <c r="K554" s="566">
        <v>11</v>
      </c>
    </row>
    <row r="555" spans="10:11" x14ac:dyDescent="0.25">
      <c r="J555" s="903">
        <f t="shared" si="13"/>
        <v>551</v>
      </c>
      <c r="K555" s="566">
        <v>11</v>
      </c>
    </row>
    <row r="556" spans="10:11" x14ac:dyDescent="0.25">
      <c r="J556" s="903">
        <f t="shared" si="13"/>
        <v>552</v>
      </c>
      <c r="K556" s="566">
        <v>11</v>
      </c>
    </row>
    <row r="557" spans="10:11" x14ac:dyDescent="0.25">
      <c r="J557" s="903">
        <f t="shared" si="13"/>
        <v>553</v>
      </c>
      <c r="K557" s="566">
        <v>11</v>
      </c>
    </row>
    <row r="558" spans="10:11" x14ac:dyDescent="0.25">
      <c r="J558" s="903">
        <f t="shared" si="13"/>
        <v>554</v>
      </c>
      <c r="K558" s="566">
        <v>11</v>
      </c>
    </row>
    <row r="559" spans="10:11" x14ac:dyDescent="0.25">
      <c r="J559" s="903">
        <f t="shared" si="13"/>
        <v>555</v>
      </c>
      <c r="K559" s="566">
        <v>11</v>
      </c>
    </row>
    <row r="560" spans="10:11" x14ac:dyDescent="0.25">
      <c r="J560" s="903">
        <f t="shared" si="13"/>
        <v>556</v>
      </c>
      <c r="K560" s="566">
        <v>11</v>
      </c>
    </row>
    <row r="561" spans="10:11" x14ac:dyDescent="0.25">
      <c r="J561" s="903">
        <f t="shared" si="13"/>
        <v>557</v>
      </c>
      <c r="K561" s="566">
        <v>11</v>
      </c>
    </row>
    <row r="562" spans="10:11" x14ac:dyDescent="0.25">
      <c r="J562" s="903">
        <f t="shared" si="13"/>
        <v>558</v>
      </c>
      <c r="K562" s="566">
        <v>11</v>
      </c>
    </row>
    <row r="563" spans="10:11" x14ac:dyDescent="0.25">
      <c r="J563" s="903">
        <f t="shared" si="13"/>
        <v>559</v>
      </c>
      <c r="K563" s="566">
        <v>11</v>
      </c>
    </row>
    <row r="564" spans="10:11" x14ac:dyDescent="0.25">
      <c r="J564" s="903">
        <f t="shared" si="13"/>
        <v>560</v>
      </c>
      <c r="K564" s="566">
        <v>11</v>
      </c>
    </row>
    <row r="565" spans="10:11" x14ac:dyDescent="0.25">
      <c r="J565" s="903">
        <f t="shared" si="13"/>
        <v>561</v>
      </c>
      <c r="K565" s="566">
        <v>11</v>
      </c>
    </row>
    <row r="566" spans="10:11" x14ac:dyDescent="0.25">
      <c r="J566" s="903">
        <f t="shared" si="13"/>
        <v>562</v>
      </c>
      <c r="K566" s="566">
        <v>11</v>
      </c>
    </row>
    <row r="567" spans="10:11" x14ac:dyDescent="0.25">
      <c r="J567" s="903">
        <f t="shared" si="13"/>
        <v>563</v>
      </c>
      <c r="K567" s="566">
        <v>11</v>
      </c>
    </row>
    <row r="568" spans="10:11" x14ac:dyDescent="0.25">
      <c r="J568" s="903">
        <f t="shared" si="13"/>
        <v>564</v>
      </c>
      <c r="K568" s="566">
        <v>11</v>
      </c>
    </row>
    <row r="569" spans="10:11" x14ac:dyDescent="0.25">
      <c r="J569" s="903">
        <f t="shared" si="13"/>
        <v>565</v>
      </c>
      <c r="K569" s="566">
        <v>11</v>
      </c>
    </row>
    <row r="570" spans="10:11" x14ac:dyDescent="0.25">
      <c r="J570" s="903">
        <f t="shared" si="13"/>
        <v>566</v>
      </c>
      <c r="K570" s="566">
        <v>11</v>
      </c>
    </row>
    <row r="571" spans="10:11" x14ac:dyDescent="0.25">
      <c r="J571" s="903">
        <f t="shared" si="13"/>
        <v>567</v>
      </c>
      <c r="K571" s="566">
        <v>11</v>
      </c>
    </row>
    <row r="572" spans="10:11" x14ac:dyDescent="0.25">
      <c r="J572" s="903">
        <f t="shared" si="13"/>
        <v>568</v>
      </c>
      <c r="K572" s="566">
        <v>11</v>
      </c>
    </row>
    <row r="573" spans="10:11" x14ac:dyDescent="0.25">
      <c r="J573" s="903">
        <f t="shared" si="13"/>
        <v>569</v>
      </c>
      <c r="K573" s="566">
        <v>11</v>
      </c>
    </row>
    <row r="574" spans="10:11" x14ac:dyDescent="0.25">
      <c r="J574" s="903">
        <f t="shared" si="13"/>
        <v>570</v>
      </c>
      <c r="K574" s="566">
        <v>11</v>
      </c>
    </row>
    <row r="575" spans="10:11" x14ac:dyDescent="0.25">
      <c r="J575" s="903">
        <f t="shared" si="13"/>
        <v>571</v>
      </c>
      <c r="K575" s="566">
        <v>11</v>
      </c>
    </row>
    <row r="576" spans="10:11" x14ac:dyDescent="0.25">
      <c r="J576" s="903">
        <f t="shared" si="13"/>
        <v>572</v>
      </c>
      <c r="K576" s="566">
        <v>11</v>
      </c>
    </row>
    <row r="577" spans="10:11" x14ac:dyDescent="0.25">
      <c r="J577" s="903">
        <f t="shared" si="13"/>
        <v>573</v>
      </c>
      <c r="K577" s="566">
        <v>11</v>
      </c>
    </row>
    <row r="578" spans="10:11" x14ac:dyDescent="0.25">
      <c r="J578" s="903">
        <f t="shared" si="13"/>
        <v>574</v>
      </c>
      <c r="K578" s="566">
        <v>11</v>
      </c>
    </row>
    <row r="579" spans="10:11" x14ac:dyDescent="0.25">
      <c r="J579" s="903">
        <f t="shared" si="13"/>
        <v>575</v>
      </c>
      <c r="K579" s="566">
        <v>11</v>
      </c>
    </row>
    <row r="580" spans="10:11" x14ac:dyDescent="0.25">
      <c r="J580" s="903">
        <f t="shared" si="13"/>
        <v>576</v>
      </c>
      <c r="K580" s="566">
        <v>11</v>
      </c>
    </row>
    <row r="581" spans="10:11" x14ac:dyDescent="0.25">
      <c r="J581" s="903">
        <f t="shared" si="13"/>
        <v>577</v>
      </c>
      <c r="K581" s="566">
        <v>11</v>
      </c>
    </row>
    <row r="582" spans="10:11" x14ac:dyDescent="0.25">
      <c r="J582" s="903">
        <f t="shared" si="13"/>
        <v>578</v>
      </c>
      <c r="K582" s="566">
        <v>11</v>
      </c>
    </row>
    <row r="583" spans="10:11" x14ac:dyDescent="0.25">
      <c r="J583" s="903">
        <f t="shared" si="13"/>
        <v>579</v>
      </c>
      <c r="K583" s="566">
        <v>11</v>
      </c>
    </row>
    <row r="584" spans="10:11" x14ac:dyDescent="0.25">
      <c r="J584" s="903">
        <f t="shared" si="13"/>
        <v>580</v>
      </c>
      <c r="K584" s="566">
        <v>11</v>
      </c>
    </row>
    <row r="585" spans="10:11" x14ac:dyDescent="0.25">
      <c r="J585" s="903">
        <f t="shared" si="13"/>
        <v>581</v>
      </c>
      <c r="K585" s="566">
        <v>11</v>
      </c>
    </row>
    <row r="586" spans="10:11" x14ac:dyDescent="0.25">
      <c r="J586" s="903">
        <f t="shared" si="13"/>
        <v>582</v>
      </c>
      <c r="K586" s="566">
        <v>11</v>
      </c>
    </row>
    <row r="587" spans="10:11" x14ac:dyDescent="0.25">
      <c r="J587" s="903">
        <f t="shared" si="13"/>
        <v>583</v>
      </c>
      <c r="K587" s="566">
        <v>11</v>
      </c>
    </row>
    <row r="588" spans="10:11" x14ac:dyDescent="0.25">
      <c r="J588" s="903">
        <f t="shared" si="13"/>
        <v>584</v>
      </c>
      <c r="K588" s="566">
        <v>11</v>
      </c>
    </row>
    <row r="589" spans="10:11" x14ac:dyDescent="0.25">
      <c r="J589" s="903">
        <f t="shared" si="13"/>
        <v>585</v>
      </c>
      <c r="K589" s="566">
        <v>11</v>
      </c>
    </row>
    <row r="590" spans="10:11" x14ac:dyDescent="0.25">
      <c r="J590" s="903">
        <f t="shared" si="13"/>
        <v>586</v>
      </c>
      <c r="K590" s="566">
        <v>11</v>
      </c>
    </row>
    <row r="591" spans="10:11" x14ac:dyDescent="0.25">
      <c r="J591" s="903">
        <f t="shared" si="13"/>
        <v>587</v>
      </c>
      <c r="K591" s="566">
        <v>11</v>
      </c>
    </row>
    <row r="592" spans="10:11" x14ac:dyDescent="0.25">
      <c r="J592" s="903">
        <f t="shared" si="13"/>
        <v>588</v>
      </c>
      <c r="K592" s="566">
        <v>11</v>
      </c>
    </row>
    <row r="593" spans="10:11" x14ac:dyDescent="0.25">
      <c r="J593" s="903">
        <f t="shared" si="13"/>
        <v>589</v>
      </c>
      <c r="K593" s="566">
        <v>11</v>
      </c>
    </row>
    <row r="594" spans="10:11" x14ac:dyDescent="0.25">
      <c r="J594" s="903">
        <f t="shared" si="13"/>
        <v>590</v>
      </c>
      <c r="K594" s="566">
        <v>11</v>
      </c>
    </row>
    <row r="595" spans="10:11" x14ac:dyDescent="0.25">
      <c r="J595" s="903">
        <f t="shared" si="13"/>
        <v>591</v>
      </c>
      <c r="K595" s="566">
        <v>11</v>
      </c>
    </row>
    <row r="596" spans="10:11" x14ac:dyDescent="0.25">
      <c r="J596" s="903">
        <f t="shared" si="13"/>
        <v>592</v>
      </c>
      <c r="K596" s="566">
        <v>11</v>
      </c>
    </row>
    <row r="597" spans="10:11" x14ac:dyDescent="0.25">
      <c r="J597" s="903">
        <f t="shared" ref="J597:J660" si="14">J596+1</f>
        <v>593</v>
      </c>
      <c r="K597" s="566">
        <v>11</v>
      </c>
    </row>
    <row r="598" spans="10:11" x14ac:dyDescent="0.25">
      <c r="J598" s="903">
        <f t="shared" si="14"/>
        <v>594</v>
      </c>
      <c r="K598" s="566">
        <v>11</v>
      </c>
    </row>
    <row r="599" spans="10:11" x14ac:dyDescent="0.25">
      <c r="J599" s="903">
        <f t="shared" si="14"/>
        <v>595</v>
      </c>
      <c r="K599" s="566">
        <v>11</v>
      </c>
    </row>
    <row r="600" spans="10:11" x14ac:dyDescent="0.25">
      <c r="J600" s="903">
        <f t="shared" si="14"/>
        <v>596</v>
      </c>
      <c r="K600" s="566">
        <v>11</v>
      </c>
    </row>
    <row r="601" spans="10:11" x14ac:dyDescent="0.25">
      <c r="J601" s="903">
        <f t="shared" si="14"/>
        <v>597</v>
      </c>
      <c r="K601" s="566">
        <v>11</v>
      </c>
    </row>
    <row r="602" spans="10:11" x14ac:dyDescent="0.25">
      <c r="J602" s="903">
        <f t="shared" si="14"/>
        <v>598</v>
      </c>
      <c r="K602" s="566">
        <v>11</v>
      </c>
    </row>
    <row r="603" spans="10:11" x14ac:dyDescent="0.25">
      <c r="J603" s="903">
        <f t="shared" si="14"/>
        <v>599</v>
      </c>
      <c r="K603" s="566">
        <v>11</v>
      </c>
    </row>
    <row r="604" spans="10:11" x14ac:dyDescent="0.25">
      <c r="J604" s="903">
        <f t="shared" si="14"/>
        <v>600</v>
      </c>
      <c r="K604" s="566">
        <v>11</v>
      </c>
    </row>
    <row r="605" spans="10:11" x14ac:dyDescent="0.25">
      <c r="J605" s="903">
        <f t="shared" si="14"/>
        <v>601</v>
      </c>
      <c r="K605" s="566">
        <v>11</v>
      </c>
    </row>
    <row r="606" spans="10:11" x14ac:dyDescent="0.25">
      <c r="J606" s="903">
        <f t="shared" si="14"/>
        <v>602</v>
      </c>
      <c r="K606" s="566">
        <v>11</v>
      </c>
    </row>
    <row r="607" spans="10:11" x14ac:dyDescent="0.25">
      <c r="J607" s="903">
        <f t="shared" si="14"/>
        <v>603</v>
      </c>
      <c r="K607" s="566">
        <v>11</v>
      </c>
    </row>
    <row r="608" spans="10:11" x14ac:dyDescent="0.25">
      <c r="J608" s="903">
        <f t="shared" si="14"/>
        <v>604</v>
      </c>
      <c r="K608" s="566">
        <v>11</v>
      </c>
    </row>
    <row r="609" spans="10:11" x14ac:dyDescent="0.25">
      <c r="J609" s="903">
        <f t="shared" si="14"/>
        <v>605</v>
      </c>
      <c r="K609" s="566">
        <v>11</v>
      </c>
    </row>
    <row r="610" spans="10:11" x14ac:dyDescent="0.25">
      <c r="J610" s="903">
        <f t="shared" si="14"/>
        <v>606</v>
      </c>
      <c r="K610" s="566">
        <v>11</v>
      </c>
    </row>
    <row r="611" spans="10:11" x14ac:dyDescent="0.25">
      <c r="J611" s="903">
        <f t="shared" si="14"/>
        <v>607</v>
      </c>
      <c r="K611" s="566">
        <v>11</v>
      </c>
    </row>
    <row r="612" spans="10:11" x14ac:dyDescent="0.25">
      <c r="J612" s="903">
        <f t="shared" si="14"/>
        <v>608</v>
      </c>
      <c r="K612" s="566">
        <v>11</v>
      </c>
    </row>
    <row r="613" spans="10:11" x14ac:dyDescent="0.25">
      <c r="J613" s="903">
        <f t="shared" si="14"/>
        <v>609</v>
      </c>
      <c r="K613" s="566">
        <v>11</v>
      </c>
    </row>
    <row r="614" spans="10:11" x14ac:dyDescent="0.25">
      <c r="J614" s="903">
        <f t="shared" si="14"/>
        <v>610</v>
      </c>
      <c r="K614" s="566">
        <v>11</v>
      </c>
    </row>
    <row r="615" spans="10:11" x14ac:dyDescent="0.25">
      <c r="J615" s="903">
        <f t="shared" si="14"/>
        <v>611</v>
      </c>
      <c r="K615" s="566">
        <v>11</v>
      </c>
    </row>
    <row r="616" spans="10:11" x14ac:dyDescent="0.25">
      <c r="J616" s="903">
        <f t="shared" si="14"/>
        <v>612</v>
      </c>
      <c r="K616" s="566">
        <v>11</v>
      </c>
    </row>
    <row r="617" spans="10:11" x14ac:dyDescent="0.25">
      <c r="J617" s="903">
        <f t="shared" si="14"/>
        <v>613</v>
      </c>
      <c r="K617" s="566">
        <v>11</v>
      </c>
    </row>
    <row r="618" spans="10:11" x14ac:dyDescent="0.25">
      <c r="J618" s="903">
        <f t="shared" si="14"/>
        <v>614</v>
      </c>
      <c r="K618" s="566">
        <v>11</v>
      </c>
    </row>
    <row r="619" spans="10:11" x14ac:dyDescent="0.25">
      <c r="J619" s="903">
        <f t="shared" si="14"/>
        <v>615</v>
      </c>
      <c r="K619" s="566">
        <v>11</v>
      </c>
    </row>
    <row r="620" spans="10:11" x14ac:dyDescent="0.25">
      <c r="J620" s="903">
        <f t="shared" si="14"/>
        <v>616</v>
      </c>
      <c r="K620" s="566">
        <v>11</v>
      </c>
    </row>
    <row r="621" spans="10:11" x14ac:dyDescent="0.25">
      <c r="J621" s="903">
        <f t="shared" si="14"/>
        <v>617</v>
      </c>
      <c r="K621" s="566">
        <v>11</v>
      </c>
    </row>
    <row r="622" spans="10:11" x14ac:dyDescent="0.25">
      <c r="J622" s="903">
        <f t="shared" si="14"/>
        <v>618</v>
      </c>
      <c r="K622" s="566">
        <v>11</v>
      </c>
    </row>
    <row r="623" spans="10:11" x14ac:dyDescent="0.25">
      <c r="J623" s="903">
        <f t="shared" si="14"/>
        <v>619</v>
      </c>
      <c r="K623" s="566">
        <v>11</v>
      </c>
    </row>
    <row r="624" spans="10:11" x14ac:dyDescent="0.25">
      <c r="J624" s="903">
        <f t="shared" si="14"/>
        <v>620</v>
      </c>
      <c r="K624" s="566">
        <v>11</v>
      </c>
    </row>
    <row r="625" spans="10:11" x14ac:dyDescent="0.25">
      <c r="J625" s="903">
        <f t="shared" si="14"/>
        <v>621</v>
      </c>
      <c r="K625" s="566">
        <v>11</v>
      </c>
    </row>
    <row r="626" spans="10:11" x14ac:dyDescent="0.25">
      <c r="J626" s="903">
        <f t="shared" si="14"/>
        <v>622</v>
      </c>
      <c r="K626" s="566">
        <v>11</v>
      </c>
    </row>
    <row r="627" spans="10:11" x14ac:dyDescent="0.25">
      <c r="J627" s="903">
        <f t="shared" si="14"/>
        <v>623</v>
      </c>
      <c r="K627" s="566">
        <v>11</v>
      </c>
    </row>
    <row r="628" spans="10:11" x14ac:dyDescent="0.25">
      <c r="J628" s="903">
        <f t="shared" si="14"/>
        <v>624</v>
      </c>
      <c r="K628" s="566">
        <v>11</v>
      </c>
    </row>
    <row r="629" spans="10:11" x14ac:dyDescent="0.25">
      <c r="J629" s="903">
        <f t="shared" si="14"/>
        <v>625</v>
      </c>
      <c r="K629" s="566">
        <v>11</v>
      </c>
    </row>
    <row r="630" spans="10:11" x14ac:dyDescent="0.25">
      <c r="J630" s="903">
        <f t="shared" si="14"/>
        <v>626</v>
      </c>
      <c r="K630" s="566">
        <v>11</v>
      </c>
    </row>
    <row r="631" spans="10:11" x14ac:dyDescent="0.25">
      <c r="J631" s="903">
        <f t="shared" si="14"/>
        <v>627</v>
      </c>
      <c r="K631" s="566">
        <v>11</v>
      </c>
    </row>
    <row r="632" spans="10:11" x14ac:dyDescent="0.25">
      <c r="J632" s="903">
        <f t="shared" si="14"/>
        <v>628</v>
      </c>
      <c r="K632" s="566">
        <v>11</v>
      </c>
    </row>
    <row r="633" spans="10:11" x14ac:dyDescent="0.25">
      <c r="J633" s="903">
        <f t="shared" si="14"/>
        <v>629</v>
      </c>
      <c r="K633" s="566">
        <v>11</v>
      </c>
    </row>
    <row r="634" spans="10:11" x14ac:dyDescent="0.25">
      <c r="J634" s="903">
        <f t="shared" si="14"/>
        <v>630</v>
      </c>
      <c r="K634" s="566">
        <v>11</v>
      </c>
    </row>
    <row r="635" spans="10:11" x14ac:dyDescent="0.25">
      <c r="J635" s="903">
        <f t="shared" si="14"/>
        <v>631</v>
      </c>
      <c r="K635" s="566">
        <v>11</v>
      </c>
    </row>
    <row r="636" spans="10:11" x14ac:dyDescent="0.25">
      <c r="J636" s="903">
        <f t="shared" si="14"/>
        <v>632</v>
      </c>
      <c r="K636" s="566">
        <v>11</v>
      </c>
    </row>
    <row r="637" spans="10:11" x14ac:dyDescent="0.25">
      <c r="J637" s="903">
        <f t="shared" si="14"/>
        <v>633</v>
      </c>
      <c r="K637" s="566">
        <v>11</v>
      </c>
    </row>
    <row r="638" spans="10:11" x14ac:dyDescent="0.25">
      <c r="J638" s="903">
        <f t="shared" si="14"/>
        <v>634</v>
      </c>
      <c r="K638" s="566">
        <v>11</v>
      </c>
    </row>
    <row r="639" spans="10:11" x14ac:dyDescent="0.25">
      <c r="J639" s="903">
        <f t="shared" si="14"/>
        <v>635</v>
      </c>
      <c r="K639" s="566">
        <v>11</v>
      </c>
    </row>
    <row r="640" spans="10:11" x14ac:dyDescent="0.25">
      <c r="J640" s="903">
        <f t="shared" si="14"/>
        <v>636</v>
      </c>
      <c r="K640" s="566">
        <v>11</v>
      </c>
    </row>
    <row r="641" spans="10:11" x14ac:dyDescent="0.25">
      <c r="J641" s="903">
        <f t="shared" si="14"/>
        <v>637</v>
      </c>
      <c r="K641" s="566">
        <v>11</v>
      </c>
    </row>
    <row r="642" spans="10:11" x14ac:dyDescent="0.25">
      <c r="J642" s="903">
        <f t="shared" si="14"/>
        <v>638</v>
      </c>
      <c r="K642" s="566">
        <v>11</v>
      </c>
    </row>
    <row r="643" spans="10:11" x14ac:dyDescent="0.25">
      <c r="J643" s="903">
        <f t="shared" si="14"/>
        <v>639</v>
      </c>
      <c r="K643" s="566">
        <v>11</v>
      </c>
    </row>
    <row r="644" spans="10:11" x14ac:dyDescent="0.25">
      <c r="J644" s="903">
        <f t="shared" si="14"/>
        <v>640</v>
      </c>
      <c r="K644" s="566">
        <v>11</v>
      </c>
    </row>
    <row r="645" spans="10:11" x14ac:dyDescent="0.25">
      <c r="J645" s="903">
        <f t="shared" si="14"/>
        <v>641</v>
      </c>
      <c r="K645" s="566">
        <v>11</v>
      </c>
    </row>
    <row r="646" spans="10:11" x14ac:dyDescent="0.25">
      <c r="J646" s="903">
        <f t="shared" si="14"/>
        <v>642</v>
      </c>
      <c r="K646" s="566">
        <v>11</v>
      </c>
    </row>
    <row r="647" spans="10:11" x14ac:dyDescent="0.25">
      <c r="J647" s="903">
        <f t="shared" si="14"/>
        <v>643</v>
      </c>
      <c r="K647" s="566">
        <v>11</v>
      </c>
    </row>
    <row r="648" spans="10:11" x14ac:dyDescent="0.25">
      <c r="J648" s="903">
        <f t="shared" si="14"/>
        <v>644</v>
      </c>
      <c r="K648" s="566">
        <v>11</v>
      </c>
    </row>
    <row r="649" spans="10:11" x14ac:dyDescent="0.25">
      <c r="J649" s="903">
        <f t="shared" si="14"/>
        <v>645</v>
      </c>
      <c r="K649" s="566">
        <v>11</v>
      </c>
    </row>
    <row r="650" spans="10:11" x14ac:dyDescent="0.25">
      <c r="J650" s="903">
        <f t="shared" si="14"/>
        <v>646</v>
      </c>
      <c r="K650" s="566">
        <v>11</v>
      </c>
    </row>
    <row r="651" spans="10:11" x14ac:dyDescent="0.25">
      <c r="J651" s="903">
        <f t="shared" si="14"/>
        <v>647</v>
      </c>
      <c r="K651" s="566">
        <v>11</v>
      </c>
    </row>
    <row r="652" spans="10:11" x14ac:dyDescent="0.25">
      <c r="J652" s="903">
        <f t="shared" si="14"/>
        <v>648</v>
      </c>
      <c r="K652" s="566">
        <v>11</v>
      </c>
    </row>
    <row r="653" spans="10:11" x14ac:dyDescent="0.25">
      <c r="J653" s="903">
        <f t="shared" si="14"/>
        <v>649</v>
      </c>
      <c r="K653" s="566">
        <v>11</v>
      </c>
    </row>
    <row r="654" spans="10:11" x14ac:dyDescent="0.25">
      <c r="J654" s="903">
        <f t="shared" si="14"/>
        <v>650</v>
      </c>
      <c r="K654" s="566">
        <v>12</v>
      </c>
    </row>
    <row r="655" spans="10:11" x14ac:dyDescent="0.25">
      <c r="J655" s="903">
        <f t="shared" si="14"/>
        <v>651</v>
      </c>
      <c r="K655" s="566">
        <v>12</v>
      </c>
    </row>
    <row r="656" spans="10:11" x14ac:dyDescent="0.25">
      <c r="J656" s="903">
        <f t="shared" si="14"/>
        <v>652</v>
      </c>
      <c r="K656" s="566">
        <v>12</v>
      </c>
    </row>
    <row r="657" spans="10:11" x14ac:dyDescent="0.25">
      <c r="J657" s="903">
        <f t="shared" si="14"/>
        <v>653</v>
      </c>
      <c r="K657" s="566">
        <v>12</v>
      </c>
    </row>
    <row r="658" spans="10:11" x14ac:dyDescent="0.25">
      <c r="J658" s="903">
        <f t="shared" si="14"/>
        <v>654</v>
      </c>
      <c r="K658" s="566">
        <v>12</v>
      </c>
    </row>
    <row r="659" spans="10:11" x14ac:dyDescent="0.25">
      <c r="J659" s="903">
        <f t="shared" si="14"/>
        <v>655</v>
      </c>
      <c r="K659" s="566">
        <v>12</v>
      </c>
    </row>
    <row r="660" spans="10:11" x14ac:dyDescent="0.25">
      <c r="J660" s="903">
        <f t="shared" si="14"/>
        <v>656</v>
      </c>
      <c r="K660" s="566">
        <v>12</v>
      </c>
    </row>
    <row r="661" spans="10:11" x14ac:dyDescent="0.25">
      <c r="J661" s="903">
        <f t="shared" ref="J661:J724" si="15">J660+1</f>
        <v>657</v>
      </c>
      <c r="K661" s="566">
        <v>12</v>
      </c>
    </row>
    <row r="662" spans="10:11" x14ac:dyDescent="0.25">
      <c r="J662" s="903">
        <f t="shared" si="15"/>
        <v>658</v>
      </c>
      <c r="K662" s="566">
        <v>12</v>
      </c>
    </row>
    <row r="663" spans="10:11" x14ac:dyDescent="0.25">
      <c r="J663" s="903">
        <f t="shared" si="15"/>
        <v>659</v>
      </c>
      <c r="K663" s="566">
        <v>12</v>
      </c>
    </row>
    <row r="664" spans="10:11" x14ac:dyDescent="0.25">
      <c r="J664" s="903">
        <f t="shared" si="15"/>
        <v>660</v>
      </c>
      <c r="K664" s="566">
        <v>12</v>
      </c>
    </row>
    <row r="665" spans="10:11" x14ac:dyDescent="0.25">
      <c r="J665" s="903">
        <f t="shared" si="15"/>
        <v>661</v>
      </c>
      <c r="K665" s="566">
        <v>12</v>
      </c>
    </row>
    <row r="666" spans="10:11" x14ac:dyDescent="0.25">
      <c r="J666" s="903">
        <f t="shared" si="15"/>
        <v>662</v>
      </c>
      <c r="K666" s="566">
        <v>12</v>
      </c>
    </row>
    <row r="667" spans="10:11" x14ac:dyDescent="0.25">
      <c r="J667" s="903">
        <f t="shared" si="15"/>
        <v>663</v>
      </c>
      <c r="K667" s="566">
        <v>12</v>
      </c>
    </row>
    <row r="668" spans="10:11" x14ac:dyDescent="0.25">
      <c r="J668" s="903">
        <f t="shared" si="15"/>
        <v>664</v>
      </c>
      <c r="K668" s="566">
        <v>12</v>
      </c>
    </row>
    <row r="669" spans="10:11" x14ac:dyDescent="0.25">
      <c r="J669" s="903">
        <f t="shared" si="15"/>
        <v>665</v>
      </c>
      <c r="K669" s="566">
        <v>12</v>
      </c>
    </row>
    <row r="670" spans="10:11" x14ac:dyDescent="0.25">
      <c r="J670" s="903">
        <f t="shared" si="15"/>
        <v>666</v>
      </c>
      <c r="K670" s="566">
        <v>12</v>
      </c>
    </row>
    <row r="671" spans="10:11" x14ac:dyDescent="0.25">
      <c r="J671" s="903">
        <f t="shared" si="15"/>
        <v>667</v>
      </c>
      <c r="K671" s="566">
        <v>12</v>
      </c>
    </row>
    <row r="672" spans="10:11" x14ac:dyDescent="0.25">
      <c r="J672" s="903">
        <f t="shared" si="15"/>
        <v>668</v>
      </c>
      <c r="K672" s="566">
        <v>12</v>
      </c>
    </row>
    <row r="673" spans="10:11" x14ac:dyDescent="0.25">
      <c r="J673" s="903">
        <f t="shared" si="15"/>
        <v>669</v>
      </c>
      <c r="K673" s="566">
        <v>12</v>
      </c>
    </row>
    <row r="674" spans="10:11" x14ac:dyDescent="0.25">
      <c r="J674" s="903">
        <f t="shared" si="15"/>
        <v>670</v>
      </c>
      <c r="K674" s="566">
        <v>12</v>
      </c>
    </row>
    <row r="675" spans="10:11" x14ac:dyDescent="0.25">
      <c r="J675" s="903">
        <f t="shared" si="15"/>
        <v>671</v>
      </c>
      <c r="K675" s="566">
        <v>12</v>
      </c>
    </row>
    <row r="676" spans="10:11" x14ac:dyDescent="0.25">
      <c r="J676" s="903">
        <f t="shared" si="15"/>
        <v>672</v>
      </c>
      <c r="K676" s="566">
        <v>12</v>
      </c>
    </row>
    <row r="677" spans="10:11" x14ac:dyDescent="0.25">
      <c r="J677" s="903">
        <f t="shared" si="15"/>
        <v>673</v>
      </c>
      <c r="K677" s="566">
        <v>12</v>
      </c>
    </row>
    <row r="678" spans="10:11" x14ac:dyDescent="0.25">
      <c r="J678" s="903">
        <f t="shared" si="15"/>
        <v>674</v>
      </c>
      <c r="K678" s="566">
        <v>12</v>
      </c>
    </row>
    <row r="679" spans="10:11" x14ac:dyDescent="0.25">
      <c r="J679" s="903">
        <f t="shared" si="15"/>
        <v>675</v>
      </c>
      <c r="K679" s="566">
        <v>12</v>
      </c>
    </row>
    <row r="680" spans="10:11" x14ac:dyDescent="0.25">
      <c r="J680" s="903">
        <f t="shared" si="15"/>
        <v>676</v>
      </c>
      <c r="K680" s="566">
        <v>12</v>
      </c>
    </row>
    <row r="681" spans="10:11" x14ac:dyDescent="0.25">
      <c r="J681" s="903">
        <f t="shared" si="15"/>
        <v>677</v>
      </c>
      <c r="K681" s="566">
        <v>12</v>
      </c>
    </row>
    <row r="682" spans="10:11" x14ac:dyDescent="0.25">
      <c r="J682" s="903">
        <f t="shared" si="15"/>
        <v>678</v>
      </c>
      <c r="K682" s="566">
        <v>12</v>
      </c>
    </row>
    <row r="683" spans="10:11" x14ac:dyDescent="0.25">
      <c r="J683" s="903">
        <f t="shared" si="15"/>
        <v>679</v>
      </c>
      <c r="K683" s="566">
        <v>12</v>
      </c>
    </row>
    <row r="684" spans="10:11" x14ac:dyDescent="0.25">
      <c r="J684" s="903">
        <f t="shared" si="15"/>
        <v>680</v>
      </c>
      <c r="K684" s="566">
        <v>12</v>
      </c>
    </row>
    <row r="685" spans="10:11" x14ac:dyDescent="0.25">
      <c r="J685" s="903">
        <f t="shared" si="15"/>
        <v>681</v>
      </c>
      <c r="K685" s="566">
        <v>12</v>
      </c>
    </row>
    <row r="686" spans="10:11" x14ac:dyDescent="0.25">
      <c r="J686" s="903">
        <f t="shared" si="15"/>
        <v>682</v>
      </c>
      <c r="K686" s="566">
        <v>12</v>
      </c>
    </row>
    <row r="687" spans="10:11" x14ac:dyDescent="0.25">
      <c r="J687" s="903">
        <f t="shared" si="15"/>
        <v>683</v>
      </c>
      <c r="K687" s="566">
        <v>12</v>
      </c>
    </row>
    <row r="688" spans="10:11" x14ac:dyDescent="0.25">
      <c r="J688" s="903">
        <f t="shared" si="15"/>
        <v>684</v>
      </c>
      <c r="K688" s="566">
        <v>12</v>
      </c>
    </row>
    <row r="689" spans="10:11" x14ac:dyDescent="0.25">
      <c r="J689" s="903">
        <f t="shared" si="15"/>
        <v>685</v>
      </c>
      <c r="K689" s="566">
        <v>12</v>
      </c>
    </row>
    <row r="690" spans="10:11" x14ac:dyDescent="0.25">
      <c r="J690" s="903">
        <f t="shared" si="15"/>
        <v>686</v>
      </c>
      <c r="K690" s="566">
        <v>12</v>
      </c>
    </row>
    <row r="691" spans="10:11" x14ac:dyDescent="0.25">
      <c r="J691" s="903">
        <f t="shared" si="15"/>
        <v>687</v>
      </c>
      <c r="K691" s="566">
        <v>12</v>
      </c>
    </row>
    <row r="692" spans="10:11" x14ac:dyDescent="0.25">
      <c r="J692" s="903">
        <f t="shared" si="15"/>
        <v>688</v>
      </c>
      <c r="K692" s="566">
        <v>12</v>
      </c>
    </row>
    <row r="693" spans="10:11" x14ac:dyDescent="0.25">
      <c r="J693" s="903">
        <f t="shared" si="15"/>
        <v>689</v>
      </c>
      <c r="K693" s="566">
        <v>12</v>
      </c>
    </row>
    <row r="694" spans="10:11" x14ac:dyDescent="0.25">
      <c r="J694" s="903">
        <f t="shared" si="15"/>
        <v>690</v>
      </c>
      <c r="K694" s="566">
        <v>12</v>
      </c>
    </row>
    <row r="695" spans="10:11" x14ac:dyDescent="0.25">
      <c r="J695" s="903">
        <f t="shared" si="15"/>
        <v>691</v>
      </c>
      <c r="K695" s="566">
        <v>12</v>
      </c>
    </row>
    <row r="696" spans="10:11" x14ac:dyDescent="0.25">
      <c r="J696" s="903">
        <f t="shared" si="15"/>
        <v>692</v>
      </c>
      <c r="K696" s="566">
        <v>12</v>
      </c>
    </row>
    <row r="697" spans="10:11" x14ac:dyDescent="0.25">
      <c r="J697" s="903">
        <f t="shared" si="15"/>
        <v>693</v>
      </c>
      <c r="K697" s="566">
        <v>12</v>
      </c>
    </row>
    <row r="698" spans="10:11" x14ac:dyDescent="0.25">
      <c r="J698" s="903">
        <f t="shared" si="15"/>
        <v>694</v>
      </c>
      <c r="K698" s="566">
        <v>12</v>
      </c>
    </row>
    <row r="699" spans="10:11" x14ac:dyDescent="0.25">
      <c r="J699" s="903">
        <f t="shared" si="15"/>
        <v>695</v>
      </c>
      <c r="K699" s="566">
        <v>12</v>
      </c>
    </row>
    <row r="700" spans="10:11" x14ac:dyDescent="0.25">
      <c r="J700" s="903">
        <f t="shared" si="15"/>
        <v>696</v>
      </c>
      <c r="K700" s="566">
        <v>12</v>
      </c>
    </row>
    <row r="701" spans="10:11" x14ac:dyDescent="0.25">
      <c r="J701" s="903">
        <f t="shared" si="15"/>
        <v>697</v>
      </c>
      <c r="K701" s="566">
        <v>12</v>
      </c>
    </row>
    <row r="702" spans="10:11" x14ac:dyDescent="0.25">
      <c r="J702" s="903">
        <f t="shared" si="15"/>
        <v>698</v>
      </c>
      <c r="K702" s="566">
        <v>12</v>
      </c>
    </row>
    <row r="703" spans="10:11" x14ac:dyDescent="0.25">
      <c r="J703" s="903">
        <f t="shared" si="15"/>
        <v>699</v>
      </c>
      <c r="K703" s="566">
        <v>12</v>
      </c>
    </row>
    <row r="704" spans="10:11" x14ac:dyDescent="0.25">
      <c r="J704" s="903">
        <f t="shared" si="15"/>
        <v>700</v>
      </c>
      <c r="K704" s="566">
        <v>12</v>
      </c>
    </row>
    <row r="705" spans="10:11" x14ac:dyDescent="0.25">
      <c r="J705" s="903">
        <f t="shared" si="15"/>
        <v>701</v>
      </c>
      <c r="K705" s="566">
        <v>12</v>
      </c>
    </row>
    <row r="706" spans="10:11" x14ac:dyDescent="0.25">
      <c r="J706" s="903">
        <f t="shared" si="15"/>
        <v>702</v>
      </c>
      <c r="K706" s="566">
        <v>12</v>
      </c>
    </row>
    <row r="707" spans="10:11" x14ac:dyDescent="0.25">
      <c r="J707" s="903">
        <f t="shared" si="15"/>
        <v>703</v>
      </c>
      <c r="K707" s="566">
        <v>12</v>
      </c>
    </row>
    <row r="708" spans="10:11" x14ac:dyDescent="0.25">
      <c r="J708" s="903">
        <f t="shared" si="15"/>
        <v>704</v>
      </c>
      <c r="K708" s="566">
        <v>12</v>
      </c>
    </row>
    <row r="709" spans="10:11" x14ac:dyDescent="0.25">
      <c r="J709" s="903">
        <f t="shared" si="15"/>
        <v>705</v>
      </c>
      <c r="K709" s="566">
        <v>12</v>
      </c>
    </row>
    <row r="710" spans="10:11" x14ac:dyDescent="0.25">
      <c r="J710" s="903">
        <f t="shared" si="15"/>
        <v>706</v>
      </c>
      <c r="K710" s="566">
        <v>12</v>
      </c>
    </row>
    <row r="711" spans="10:11" x14ac:dyDescent="0.25">
      <c r="J711" s="903">
        <f t="shared" si="15"/>
        <v>707</v>
      </c>
      <c r="K711" s="566">
        <v>12</v>
      </c>
    </row>
    <row r="712" spans="10:11" x14ac:dyDescent="0.25">
      <c r="J712" s="903">
        <f t="shared" si="15"/>
        <v>708</v>
      </c>
      <c r="K712" s="566">
        <v>12</v>
      </c>
    </row>
    <row r="713" spans="10:11" x14ac:dyDescent="0.25">
      <c r="J713" s="903">
        <f t="shared" si="15"/>
        <v>709</v>
      </c>
      <c r="K713" s="566">
        <v>12</v>
      </c>
    </row>
    <row r="714" spans="10:11" x14ac:dyDescent="0.25">
      <c r="J714" s="903">
        <f t="shared" si="15"/>
        <v>710</v>
      </c>
      <c r="K714" s="566">
        <v>12</v>
      </c>
    </row>
    <row r="715" spans="10:11" x14ac:dyDescent="0.25">
      <c r="J715" s="903">
        <f t="shared" si="15"/>
        <v>711</v>
      </c>
      <c r="K715" s="566">
        <v>12</v>
      </c>
    </row>
    <row r="716" spans="10:11" x14ac:dyDescent="0.25">
      <c r="J716" s="903">
        <f t="shared" si="15"/>
        <v>712</v>
      </c>
      <c r="K716" s="566">
        <v>12</v>
      </c>
    </row>
    <row r="717" spans="10:11" x14ac:dyDescent="0.25">
      <c r="J717" s="903">
        <f t="shared" si="15"/>
        <v>713</v>
      </c>
      <c r="K717" s="566">
        <v>12</v>
      </c>
    </row>
    <row r="718" spans="10:11" x14ac:dyDescent="0.25">
      <c r="J718" s="903">
        <f t="shared" si="15"/>
        <v>714</v>
      </c>
      <c r="K718" s="566">
        <v>12</v>
      </c>
    </row>
    <row r="719" spans="10:11" x14ac:dyDescent="0.25">
      <c r="J719" s="903">
        <f t="shared" si="15"/>
        <v>715</v>
      </c>
      <c r="K719" s="566">
        <v>12</v>
      </c>
    </row>
    <row r="720" spans="10:11" x14ac:dyDescent="0.25">
      <c r="J720" s="903">
        <f t="shared" si="15"/>
        <v>716</v>
      </c>
      <c r="K720" s="566">
        <v>12</v>
      </c>
    </row>
    <row r="721" spans="10:11" x14ac:dyDescent="0.25">
      <c r="J721" s="903">
        <f t="shared" si="15"/>
        <v>717</v>
      </c>
      <c r="K721" s="566">
        <v>12</v>
      </c>
    </row>
    <row r="722" spans="10:11" x14ac:dyDescent="0.25">
      <c r="J722" s="903">
        <f t="shared" si="15"/>
        <v>718</v>
      </c>
      <c r="K722" s="566">
        <v>12</v>
      </c>
    </row>
    <row r="723" spans="10:11" x14ac:dyDescent="0.25">
      <c r="J723" s="903">
        <f t="shared" si="15"/>
        <v>719</v>
      </c>
      <c r="K723" s="566">
        <v>12</v>
      </c>
    </row>
    <row r="724" spans="10:11" x14ac:dyDescent="0.25">
      <c r="J724" s="903">
        <f t="shared" si="15"/>
        <v>720</v>
      </c>
      <c r="K724" s="566">
        <v>12</v>
      </c>
    </row>
    <row r="725" spans="10:11" x14ac:dyDescent="0.25">
      <c r="J725" s="903">
        <f t="shared" ref="J725:J788" si="16">J724+1</f>
        <v>721</v>
      </c>
      <c r="K725" s="566">
        <v>12</v>
      </c>
    </row>
    <row r="726" spans="10:11" x14ac:dyDescent="0.25">
      <c r="J726" s="903">
        <f t="shared" si="16"/>
        <v>722</v>
      </c>
      <c r="K726" s="566">
        <v>12</v>
      </c>
    </row>
    <row r="727" spans="10:11" x14ac:dyDescent="0.25">
      <c r="J727" s="903">
        <f t="shared" si="16"/>
        <v>723</v>
      </c>
      <c r="K727" s="566">
        <v>12</v>
      </c>
    </row>
    <row r="728" spans="10:11" x14ac:dyDescent="0.25">
      <c r="J728" s="903">
        <f t="shared" si="16"/>
        <v>724</v>
      </c>
      <c r="K728" s="566">
        <v>12</v>
      </c>
    </row>
    <row r="729" spans="10:11" x14ac:dyDescent="0.25">
      <c r="J729" s="903">
        <f t="shared" si="16"/>
        <v>725</v>
      </c>
      <c r="K729" s="566">
        <v>12</v>
      </c>
    </row>
    <row r="730" spans="10:11" x14ac:dyDescent="0.25">
      <c r="J730" s="903">
        <f t="shared" si="16"/>
        <v>726</v>
      </c>
      <c r="K730" s="566">
        <v>12</v>
      </c>
    </row>
    <row r="731" spans="10:11" x14ac:dyDescent="0.25">
      <c r="J731" s="903">
        <f t="shared" si="16"/>
        <v>727</v>
      </c>
      <c r="K731" s="566">
        <v>12</v>
      </c>
    </row>
    <row r="732" spans="10:11" x14ac:dyDescent="0.25">
      <c r="J732" s="903">
        <f t="shared" si="16"/>
        <v>728</v>
      </c>
      <c r="K732" s="566">
        <v>12</v>
      </c>
    </row>
    <row r="733" spans="10:11" x14ac:dyDescent="0.25">
      <c r="J733" s="903">
        <f t="shared" si="16"/>
        <v>729</v>
      </c>
      <c r="K733" s="566">
        <v>12</v>
      </c>
    </row>
    <row r="734" spans="10:11" x14ac:dyDescent="0.25">
      <c r="J734" s="903">
        <f t="shared" si="16"/>
        <v>730</v>
      </c>
      <c r="K734" s="566">
        <v>12</v>
      </c>
    </row>
    <row r="735" spans="10:11" x14ac:dyDescent="0.25">
      <c r="J735" s="903">
        <f t="shared" si="16"/>
        <v>731</v>
      </c>
      <c r="K735" s="566">
        <v>12</v>
      </c>
    </row>
    <row r="736" spans="10:11" x14ac:dyDescent="0.25">
      <c r="J736" s="903">
        <f t="shared" si="16"/>
        <v>732</v>
      </c>
      <c r="K736" s="566">
        <v>12</v>
      </c>
    </row>
    <row r="737" spans="10:11" x14ac:dyDescent="0.25">
      <c r="J737" s="903">
        <f t="shared" si="16"/>
        <v>733</v>
      </c>
      <c r="K737" s="566">
        <v>12</v>
      </c>
    </row>
    <row r="738" spans="10:11" x14ac:dyDescent="0.25">
      <c r="J738" s="903">
        <f t="shared" si="16"/>
        <v>734</v>
      </c>
      <c r="K738" s="566">
        <v>12</v>
      </c>
    </row>
    <row r="739" spans="10:11" x14ac:dyDescent="0.25">
      <c r="J739" s="903">
        <f t="shared" si="16"/>
        <v>735</v>
      </c>
      <c r="K739" s="566">
        <v>12</v>
      </c>
    </row>
    <row r="740" spans="10:11" x14ac:dyDescent="0.25">
      <c r="J740" s="903">
        <f t="shared" si="16"/>
        <v>736</v>
      </c>
      <c r="K740" s="566">
        <v>12</v>
      </c>
    </row>
    <row r="741" spans="10:11" x14ac:dyDescent="0.25">
      <c r="J741" s="903">
        <f t="shared" si="16"/>
        <v>737</v>
      </c>
      <c r="K741" s="566">
        <v>12</v>
      </c>
    </row>
    <row r="742" spans="10:11" x14ac:dyDescent="0.25">
      <c r="J742" s="903">
        <f t="shared" si="16"/>
        <v>738</v>
      </c>
      <c r="K742" s="566">
        <v>12</v>
      </c>
    </row>
    <row r="743" spans="10:11" x14ac:dyDescent="0.25">
      <c r="J743" s="903">
        <f t="shared" si="16"/>
        <v>739</v>
      </c>
      <c r="K743" s="566">
        <v>12</v>
      </c>
    </row>
    <row r="744" spans="10:11" x14ac:dyDescent="0.25">
      <c r="J744" s="903">
        <f t="shared" si="16"/>
        <v>740</v>
      </c>
      <c r="K744" s="566">
        <v>12</v>
      </c>
    </row>
    <row r="745" spans="10:11" x14ac:dyDescent="0.25">
      <c r="J745" s="903">
        <f t="shared" si="16"/>
        <v>741</v>
      </c>
      <c r="K745" s="566">
        <v>12</v>
      </c>
    </row>
    <row r="746" spans="10:11" x14ac:dyDescent="0.25">
      <c r="J746" s="903">
        <f t="shared" si="16"/>
        <v>742</v>
      </c>
      <c r="K746" s="566">
        <v>12</v>
      </c>
    </row>
    <row r="747" spans="10:11" x14ac:dyDescent="0.25">
      <c r="J747" s="903">
        <f t="shared" si="16"/>
        <v>743</v>
      </c>
      <c r="K747" s="566">
        <v>12</v>
      </c>
    </row>
    <row r="748" spans="10:11" x14ac:dyDescent="0.25">
      <c r="J748" s="903">
        <f t="shared" si="16"/>
        <v>744</v>
      </c>
      <c r="K748" s="566">
        <v>12</v>
      </c>
    </row>
    <row r="749" spans="10:11" x14ac:dyDescent="0.25">
      <c r="J749" s="903">
        <f t="shared" si="16"/>
        <v>745</v>
      </c>
      <c r="K749" s="566">
        <v>12</v>
      </c>
    </row>
    <row r="750" spans="10:11" x14ac:dyDescent="0.25">
      <c r="J750" s="903">
        <f t="shared" si="16"/>
        <v>746</v>
      </c>
      <c r="K750" s="566">
        <v>12</v>
      </c>
    </row>
    <row r="751" spans="10:11" x14ac:dyDescent="0.25">
      <c r="J751" s="903">
        <f t="shared" si="16"/>
        <v>747</v>
      </c>
      <c r="K751" s="566">
        <v>12</v>
      </c>
    </row>
    <row r="752" spans="10:11" x14ac:dyDescent="0.25">
      <c r="J752" s="903">
        <f t="shared" si="16"/>
        <v>748</v>
      </c>
      <c r="K752" s="566">
        <v>12</v>
      </c>
    </row>
    <row r="753" spans="10:11" x14ac:dyDescent="0.25">
      <c r="J753" s="903">
        <f t="shared" si="16"/>
        <v>749</v>
      </c>
      <c r="K753" s="566">
        <v>12</v>
      </c>
    </row>
    <row r="754" spans="10:11" x14ac:dyDescent="0.25">
      <c r="J754" s="903">
        <f t="shared" si="16"/>
        <v>750</v>
      </c>
      <c r="K754" s="566">
        <v>12</v>
      </c>
    </row>
    <row r="755" spans="10:11" x14ac:dyDescent="0.25">
      <c r="J755" s="903">
        <f t="shared" si="16"/>
        <v>751</v>
      </c>
      <c r="K755" s="566">
        <v>12</v>
      </c>
    </row>
    <row r="756" spans="10:11" x14ac:dyDescent="0.25">
      <c r="J756" s="903">
        <f t="shared" si="16"/>
        <v>752</v>
      </c>
      <c r="K756" s="566">
        <v>12</v>
      </c>
    </row>
    <row r="757" spans="10:11" x14ac:dyDescent="0.25">
      <c r="J757" s="903">
        <f t="shared" si="16"/>
        <v>753</v>
      </c>
      <c r="K757" s="566">
        <v>12</v>
      </c>
    </row>
    <row r="758" spans="10:11" x14ac:dyDescent="0.25">
      <c r="J758" s="903">
        <f t="shared" si="16"/>
        <v>754</v>
      </c>
      <c r="K758" s="566">
        <v>12</v>
      </c>
    </row>
    <row r="759" spans="10:11" x14ac:dyDescent="0.25">
      <c r="J759" s="903">
        <f t="shared" si="16"/>
        <v>755</v>
      </c>
      <c r="K759" s="566">
        <v>12</v>
      </c>
    </row>
    <row r="760" spans="10:11" x14ac:dyDescent="0.25">
      <c r="J760" s="903">
        <f t="shared" si="16"/>
        <v>756</v>
      </c>
      <c r="K760" s="566">
        <v>12</v>
      </c>
    </row>
    <row r="761" spans="10:11" x14ac:dyDescent="0.25">
      <c r="J761" s="903">
        <f t="shared" si="16"/>
        <v>757</v>
      </c>
      <c r="K761" s="566">
        <v>12</v>
      </c>
    </row>
    <row r="762" spans="10:11" x14ac:dyDescent="0.25">
      <c r="J762" s="903">
        <f t="shared" si="16"/>
        <v>758</v>
      </c>
      <c r="K762" s="566">
        <v>12</v>
      </c>
    </row>
    <row r="763" spans="10:11" x14ac:dyDescent="0.25">
      <c r="J763" s="903">
        <f t="shared" si="16"/>
        <v>759</v>
      </c>
      <c r="K763" s="566">
        <v>12</v>
      </c>
    </row>
    <row r="764" spans="10:11" x14ac:dyDescent="0.25">
      <c r="J764" s="903">
        <f t="shared" si="16"/>
        <v>760</v>
      </c>
      <c r="K764" s="566">
        <v>12</v>
      </c>
    </row>
    <row r="765" spans="10:11" x14ac:dyDescent="0.25">
      <c r="J765" s="903">
        <f t="shared" si="16"/>
        <v>761</v>
      </c>
      <c r="K765" s="566">
        <v>12</v>
      </c>
    </row>
    <row r="766" spans="10:11" x14ac:dyDescent="0.25">
      <c r="J766" s="903">
        <f t="shared" si="16"/>
        <v>762</v>
      </c>
      <c r="K766" s="566">
        <v>12</v>
      </c>
    </row>
    <row r="767" spans="10:11" x14ac:dyDescent="0.25">
      <c r="J767" s="903">
        <f t="shared" si="16"/>
        <v>763</v>
      </c>
      <c r="K767" s="566">
        <v>12</v>
      </c>
    </row>
    <row r="768" spans="10:11" x14ac:dyDescent="0.25">
      <c r="J768" s="903">
        <f t="shared" si="16"/>
        <v>764</v>
      </c>
      <c r="K768" s="566">
        <v>12</v>
      </c>
    </row>
    <row r="769" spans="10:11" x14ac:dyDescent="0.25">
      <c r="J769" s="903">
        <f t="shared" si="16"/>
        <v>765</v>
      </c>
      <c r="K769" s="566">
        <v>12</v>
      </c>
    </row>
    <row r="770" spans="10:11" x14ac:dyDescent="0.25">
      <c r="J770" s="903">
        <f t="shared" si="16"/>
        <v>766</v>
      </c>
      <c r="K770" s="566">
        <v>12</v>
      </c>
    </row>
    <row r="771" spans="10:11" x14ac:dyDescent="0.25">
      <c r="J771" s="903">
        <f t="shared" si="16"/>
        <v>767</v>
      </c>
      <c r="K771" s="566">
        <v>12</v>
      </c>
    </row>
    <row r="772" spans="10:11" x14ac:dyDescent="0.25">
      <c r="J772" s="903">
        <f t="shared" si="16"/>
        <v>768</v>
      </c>
      <c r="K772" s="566">
        <v>12</v>
      </c>
    </row>
    <row r="773" spans="10:11" x14ac:dyDescent="0.25">
      <c r="J773" s="903">
        <f t="shared" si="16"/>
        <v>769</v>
      </c>
      <c r="K773" s="566">
        <v>12</v>
      </c>
    </row>
    <row r="774" spans="10:11" x14ac:dyDescent="0.25">
      <c r="J774" s="903">
        <f t="shared" si="16"/>
        <v>770</v>
      </c>
      <c r="K774" s="566">
        <v>12</v>
      </c>
    </row>
    <row r="775" spans="10:11" x14ac:dyDescent="0.25">
      <c r="J775" s="903">
        <f t="shared" si="16"/>
        <v>771</v>
      </c>
      <c r="K775" s="566">
        <v>12</v>
      </c>
    </row>
    <row r="776" spans="10:11" x14ac:dyDescent="0.25">
      <c r="J776" s="903">
        <f t="shared" si="16"/>
        <v>772</v>
      </c>
      <c r="K776" s="566">
        <v>12</v>
      </c>
    </row>
    <row r="777" spans="10:11" x14ac:dyDescent="0.25">
      <c r="J777" s="903">
        <f t="shared" si="16"/>
        <v>773</v>
      </c>
      <c r="K777" s="566">
        <v>12</v>
      </c>
    </row>
    <row r="778" spans="10:11" x14ac:dyDescent="0.25">
      <c r="J778" s="903">
        <f t="shared" si="16"/>
        <v>774</v>
      </c>
      <c r="K778" s="566">
        <v>12</v>
      </c>
    </row>
    <row r="779" spans="10:11" x14ac:dyDescent="0.25">
      <c r="J779" s="903">
        <f t="shared" si="16"/>
        <v>775</v>
      </c>
      <c r="K779" s="566">
        <v>12</v>
      </c>
    </row>
    <row r="780" spans="10:11" x14ac:dyDescent="0.25">
      <c r="J780" s="903">
        <f t="shared" si="16"/>
        <v>776</v>
      </c>
      <c r="K780" s="566">
        <v>12</v>
      </c>
    </row>
    <row r="781" spans="10:11" x14ac:dyDescent="0.25">
      <c r="J781" s="903">
        <f t="shared" si="16"/>
        <v>777</v>
      </c>
      <c r="K781" s="566">
        <v>12</v>
      </c>
    </row>
    <row r="782" spans="10:11" x14ac:dyDescent="0.25">
      <c r="J782" s="903">
        <f t="shared" si="16"/>
        <v>778</v>
      </c>
      <c r="K782" s="566">
        <v>12</v>
      </c>
    </row>
    <row r="783" spans="10:11" x14ac:dyDescent="0.25">
      <c r="J783" s="903">
        <f t="shared" si="16"/>
        <v>779</v>
      </c>
      <c r="K783" s="566">
        <v>12</v>
      </c>
    </row>
    <row r="784" spans="10:11" x14ac:dyDescent="0.25">
      <c r="J784" s="903">
        <f t="shared" si="16"/>
        <v>780</v>
      </c>
      <c r="K784" s="566">
        <v>12</v>
      </c>
    </row>
    <row r="785" spans="10:11" x14ac:dyDescent="0.25">
      <c r="J785" s="903">
        <f t="shared" si="16"/>
        <v>781</v>
      </c>
      <c r="K785" s="566">
        <v>12</v>
      </c>
    </row>
    <row r="786" spans="10:11" x14ac:dyDescent="0.25">
      <c r="J786" s="903">
        <f t="shared" si="16"/>
        <v>782</v>
      </c>
      <c r="K786" s="566">
        <v>12</v>
      </c>
    </row>
    <row r="787" spans="10:11" x14ac:dyDescent="0.25">
      <c r="J787" s="903">
        <f t="shared" si="16"/>
        <v>783</v>
      </c>
      <c r="K787" s="566">
        <v>12</v>
      </c>
    </row>
    <row r="788" spans="10:11" x14ac:dyDescent="0.25">
      <c r="J788" s="903">
        <f t="shared" si="16"/>
        <v>784</v>
      </c>
      <c r="K788" s="566">
        <v>12</v>
      </c>
    </row>
    <row r="789" spans="10:11" x14ac:dyDescent="0.25">
      <c r="J789" s="903">
        <f t="shared" ref="J789:J852" si="17">J788+1</f>
        <v>785</v>
      </c>
      <c r="K789" s="566">
        <v>13</v>
      </c>
    </row>
    <row r="790" spans="10:11" x14ac:dyDescent="0.25">
      <c r="J790" s="903">
        <f t="shared" si="17"/>
        <v>786</v>
      </c>
      <c r="K790" s="566">
        <v>13</v>
      </c>
    </row>
    <row r="791" spans="10:11" x14ac:dyDescent="0.25">
      <c r="J791" s="903">
        <f t="shared" si="17"/>
        <v>787</v>
      </c>
      <c r="K791" s="566">
        <v>13</v>
      </c>
    </row>
    <row r="792" spans="10:11" x14ac:dyDescent="0.25">
      <c r="J792" s="903">
        <f t="shared" si="17"/>
        <v>788</v>
      </c>
      <c r="K792" s="566">
        <v>13</v>
      </c>
    </row>
    <row r="793" spans="10:11" x14ac:dyDescent="0.25">
      <c r="J793" s="903">
        <f t="shared" si="17"/>
        <v>789</v>
      </c>
      <c r="K793" s="566">
        <v>13</v>
      </c>
    </row>
    <row r="794" spans="10:11" x14ac:dyDescent="0.25">
      <c r="J794" s="903">
        <f t="shared" si="17"/>
        <v>790</v>
      </c>
      <c r="K794" s="566">
        <v>13</v>
      </c>
    </row>
    <row r="795" spans="10:11" x14ac:dyDescent="0.25">
      <c r="J795" s="903">
        <f t="shared" si="17"/>
        <v>791</v>
      </c>
      <c r="K795" s="566">
        <v>13</v>
      </c>
    </row>
    <row r="796" spans="10:11" x14ac:dyDescent="0.25">
      <c r="J796" s="903">
        <f t="shared" si="17"/>
        <v>792</v>
      </c>
      <c r="K796" s="566">
        <v>13</v>
      </c>
    </row>
    <row r="797" spans="10:11" x14ac:dyDescent="0.25">
      <c r="J797" s="903">
        <f t="shared" si="17"/>
        <v>793</v>
      </c>
      <c r="K797" s="566">
        <v>13</v>
      </c>
    </row>
    <row r="798" spans="10:11" x14ac:dyDescent="0.25">
      <c r="J798" s="903">
        <f t="shared" si="17"/>
        <v>794</v>
      </c>
      <c r="K798" s="566">
        <v>13</v>
      </c>
    </row>
    <row r="799" spans="10:11" x14ac:dyDescent="0.25">
      <c r="J799" s="903">
        <f t="shared" si="17"/>
        <v>795</v>
      </c>
      <c r="K799" s="566">
        <v>13</v>
      </c>
    </row>
    <row r="800" spans="10:11" x14ac:dyDescent="0.25">
      <c r="J800" s="903">
        <f t="shared" si="17"/>
        <v>796</v>
      </c>
      <c r="K800" s="566">
        <v>13</v>
      </c>
    </row>
    <row r="801" spans="10:11" x14ac:dyDescent="0.25">
      <c r="J801" s="903">
        <f t="shared" si="17"/>
        <v>797</v>
      </c>
      <c r="K801" s="566">
        <v>13</v>
      </c>
    </row>
    <row r="802" spans="10:11" x14ac:dyDescent="0.25">
      <c r="J802" s="903">
        <f t="shared" si="17"/>
        <v>798</v>
      </c>
      <c r="K802" s="566">
        <v>13</v>
      </c>
    </row>
    <row r="803" spans="10:11" x14ac:dyDescent="0.25">
      <c r="J803" s="903">
        <f t="shared" si="17"/>
        <v>799</v>
      </c>
      <c r="K803" s="566">
        <v>13</v>
      </c>
    </row>
    <row r="804" spans="10:11" x14ac:dyDescent="0.25">
      <c r="J804" s="903">
        <f t="shared" si="17"/>
        <v>800</v>
      </c>
      <c r="K804" s="566">
        <v>13</v>
      </c>
    </row>
    <row r="805" spans="10:11" x14ac:dyDescent="0.25">
      <c r="J805" s="903">
        <f t="shared" si="17"/>
        <v>801</v>
      </c>
      <c r="K805" s="566">
        <v>13</v>
      </c>
    </row>
    <row r="806" spans="10:11" x14ac:dyDescent="0.25">
      <c r="J806" s="903">
        <f t="shared" si="17"/>
        <v>802</v>
      </c>
      <c r="K806" s="566">
        <v>13</v>
      </c>
    </row>
    <row r="807" spans="10:11" x14ac:dyDescent="0.25">
      <c r="J807" s="903">
        <f t="shared" si="17"/>
        <v>803</v>
      </c>
      <c r="K807" s="566">
        <v>13</v>
      </c>
    </row>
    <row r="808" spans="10:11" x14ac:dyDescent="0.25">
      <c r="J808" s="903">
        <f t="shared" si="17"/>
        <v>804</v>
      </c>
      <c r="K808" s="566">
        <v>13</v>
      </c>
    </row>
    <row r="809" spans="10:11" x14ac:dyDescent="0.25">
      <c r="J809" s="903">
        <f t="shared" si="17"/>
        <v>805</v>
      </c>
      <c r="K809" s="566">
        <v>13</v>
      </c>
    </row>
    <row r="810" spans="10:11" x14ac:dyDescent="0.25">
      <c r="J810" s="903">
        <f t="shared" si="17"/>
        <v>806</v>
      </c>
      <c r="K810" s="566">
        <v>13</v>
      </c>
    </row>
    <row r="811" spans="10:11" x14ac:dyDescent="0.25">
      <c r="J811" s="903">
        <f t="shared" si="17"/>
        <v>807</v>
      </c>
      <c r="K811" s="566">
        <v>13</v>
      </c>
    </row>
    <row r="812" spans="10:11" x14ac:dyDescent="0.25">
      <c r="J812" s="903">
        <f t="shared" si="17"/>
        <v>808</v>
      </c>
      <c r="K812" s="566">
        <v>13</v>
      </c>
    </row>
    <row r="813" spans="10:11" x14ac:dyDescent="0.25">
      <c r="J813" s="903">
        <f t="shared" si="17"/>
        <v>809</v>
      </c>
      <c r="K813" s="566">
        <v>13</v>
      </c>
    </row>
    <row r="814" spans="10:11" x14ac:dyDescent="0.25">
      <c r="J814" s="903">
        <f t="shared" si="17"/>
        <v>810</v>
      </c>
      <c r="K814" s="566">
        <v>13</v>
      </c>
    </row>
    <row r="815" spans="10:11" x14ac:dyDescent="0.25">
      <c r="J815" s="903">
        <f t="shared" si="17"/>
        <v>811</v>
      </c>
      <c r="K815" s="566">
        <v>13</v>
      </c>
    </row>
    <row r="816" spans="10:11" x14ac:dyDescent="0.25">
      <c r="J816" s="903">
        <f t="shared" si="17"/>
        <v>812</v>
      </c>
      <c r="K816" s="566">
        <v>13</v>
      </c>
    </row>
    <row r="817" spans="10:11" x14ac:dyDescent="0.25">
      <c r="J817" s="903">
        <f t="shared" si="17"/>
        <v>813</v>
      </c>
      <c r="K817" s="566">
        <v>13</v>
      </c>
    </row>
    <row r="818" spans="10:11" x14ac:dyDescent="0.25">
      <c r="J818" s="903">
        <f t="shared" si="17"/>
        <v>814</v>
      </c>
      <c r="K818" s="566">
        <v>13</v>
      </c>
    </row>
    <row r="819" spans="10:11" x14ac:dyDescent="0.25">
      <c r="J819" s="903">
        <f t="shared" si="17"/>
        <v>815</v>
      </c>
      <c r="K819" s="566">
        <v>13</v>
      </c>
    </row>
    <row r="820" spans="10:11" x14ac:dyDescent="0.25">
      <c r="J820" s="903">
        <f t="shared" si="17"/>
        <v>816</v>
      </c>
      <c r="K820" s="566">
        <v>13</v>
      </c>
    </row>
    <row r="821" spans="10:11" x14ac:dyDescent="0.25">
      <c r="J821" s="903">
        <f t="shared" si="17"/>
        <v>817</v>
      </c>
      <c r="K821" s="566">
        <v>13</v>
      </c>
    </row>
    <row r="822" spans="10:11" x14ac:dyDescent="0.25">
      <c r="J822" s="903">
        <f t="shared" si="17"/>
        <v>818</v>
      </c>
      <c r="K822" s="566">
        <v>13</v>
      </c>
    </row>
    <row r="823" spans="10:11" x14ac:dyDescent="0.25">
      <c r="J823" s="903">
        <f t="shared" si="17"/>
        <v>819</v>
      </c>
      <c r="K823" s="566">
        <v>13</v>
      </c>
    </row>
    <row r="824" spans="10:11" x14ac:dyDescent="0.25">
      <c r="J824" s="903">
        <f t="shared" si="17"/>
        <v>820</v>
      </c>
      <c r="K824" s="566">
        <v>13</v>
      </c>
    </row>
    <row r="825" spans="10:11" x14ac:dyDescent="0.25">
      <c r="J825" s="903">
        <f t="shared" si="17"/>
        <v>821</v>
      </c>
      <c r="K825" s="566">
        <v>13</v>
      </c>
    </row>
    <row r="826" spans="10:11" x14ac:dyDescent="0.25">
      <c r="J826" s="903">
        <f t="shared" si="17"/>
        <v>822</v>
      </c>
      <c r="K826" s="566">
        <v>13</v>
      </c>
    </row>
    <row r="827" spans="10:11" x14ac:dyDescent="0.25">
      <c r="J827" s="903">
        <f t="shared" si="17"/>
        <v>823</v>
      </c>
      <c r="K827" s="566">
        <v>13</v>
      </c>
    </row>
    <row r="828" spans="10:11" x14ac:dyDescent="0.25">
      <c r="J828" s="903">
        <f t="shared" si="17"/>
        <v>824</v>
      </c>
      <c r="K828" s="566">
        <v>13</v>
      </c>
    </row>
    <row r="829" spans="10:11" x14ac:dyDescent="0.25">
      <c r="J829" s="903">
        <f t="shared" si="17"/>
        <v>825</v>
      </c>
      <c r="K829" s="566">
        <v>13</v>
      </c>
    </row>
    <row r="830" spans="10:11" x14ac:dyDescent="0.25">
      <c r="J830" s="903">
        <f t="shared" si="17"/>
        <v>826</v>
      </c>
      <c r="K830" s="566">
        <v>13</v>
      </c>
    </row>
    <row r="831" spans="10:11" x14ac:dyDescent="0.25">
      <c r="J831" s="903">
        <f t="shared" si="17"/>
        <v>827</v>
      </c>
      <c r="K831" s="566">
        <v>13</v>
      </c>
    </row>
    <row r="832" spans="10:11" x14ac:dyDescent="0.25">
      <c r="J832" s="903">
        <f t="shared" si="17"/>
        <v>828</v>
      </c>
      <c r="K832" s="566">
        <v>13</v>
      </c>
    </row>
    <row r="833" spans="10:11" x14ac:dyDescent="0.25">
      <c r="J833" s="903">
        <f t="shared" si="17"/>
        <v>829</v>
      </c>
      <c r="K833" s="566">
        <v>13</v>
      </c>
    </row>
    <row r="834" spans="10:11" x14ac:dyDescent="0.25">
      <c r="J834" s="903">
        <f t="shared" si="17"/>
        <v>830</v>
      </c>
      <c r="K834" s="566">
        <v>13</v>
      </c>
    </row>
    <row r="835" spans="10:11" x14ac:dyDescent="0.25">
      <c r="J835" s="903">
        <f t="shared" si="17"/>
        <v>831</v>
      </c>
      <c r="K835" s="566">
        <v>13</v>
      </c>
    </row>
    <row r="836" spans="10:11" x14ac:dyDescent="0.25">
      <c r="J836" s="903">
        <f t="shared" si="17"/>
        <v>832</v>
      </c>
      <c r="K836" s="566">
        <v>13</v>
      </c>
    </row>
    <row r="837" spans="10:11" x14ac:dyDescent="0.25">
      <c r="J837" s="903">
        <f t="shared" si="17"/>
        <v>833</v>
      </c>
      <c r="K837" s="566">
        <v>13</v>
      </c>
    </row>
    <row r="838" spans="10:11" x14ac:dyDescent="0.25">
      <c r="J838" s="903">
        <f t="shared" si="17"/>
        <v>834</v>
      </c>
      <c r="K838" s="566">
        <v>13</v>
      </c>
    </row>
    <row r="839" spans="10:11" x14ac:dyDescent="0.25">
      <c r="J839" s="903">
        <f t="shared" si="17"/>
        <v>835</v>
      </c>
      <c r="K839" s="566">
        <v>13</v>
      </c>
    </row>
    <row r="840" spans="10:11" x14ac:dyDescent="0.25">
      <c r="J840" s="903">
        <f t="shared" si="17"/>
        <v>836</v>
      </c>
      <c r="K840" s="566">
        <v>13</v>
      </c>
    </row>
    <row r="841" spans="10:11" x14ac:dyDescent="0.25">
      <c r="J841" s="903">
        <f t="shared" si="17"/>
        <v>837</v>
      </c>
      <c r="K841" s="566">
        <v>13</v>
      </c>
    </row>
    <row r="842" spans="10:11" x14ac:dyDescent="0.25">
      <c r="J842" s="903">
        <f t="shared" si="17"/>
        <v>838</v>
      </c>
      <c r="K842" s="566">
        <v>13</v>
      </c>
    </row>
    <row r="843" spans="10:11" x14ac:dyDescent="0.25">
      <c r="J843" s="903">
        <f t="shared" si="17"/>
        <v>839</v>
      </c>
      <c r="K843" s="566">
        <v>13</v>
      </c>
    </row>
    <row r="844" spans="10:11" x14ac:dyDescent="0.25">
      <c r="J844" s="903">
        <f t="shared" si="17"/>
        <v>840</v>
      </c>
      <c r="K844" s="566">
        <v>13</v>
      </c>
    </row>
    <row r="845" spans="10:11" x14ac:dyDescent="0.25">
      <c r="J845" s="903">
        <f t="shared" si="17"/>
        <v>841</v>
      </c>
      <c r="K845" s="566">
        <v>13</v>
      </c>
    </row>
    <row r="846" spans="10:11" x14ac:dyDescent="0.25">
      <c r="J846" s="903">
        <f t="shared" si="17"/>
        <v>842</v>
      </c>
      <c r="K846" s="566">
        <v>13</v>
      </c>
    </row>
    <row r="847" spans="10:11" x14ac:dyDescent="0.25">
      <c r="J847" s="903">
        <f t="shared" si="17"/>
        <v>843</v>
      </c>
      <c r="K847" s="566">
        <v>13</v>
      </c>
    </row>
    <row r="848" spans="10:11" x14ac:dyDescent="0.25">
      <c r="J848" s="903">
        <f t="shared" si="17"/>
        <v>844</v>
      </c>
      <c r="K848" s="566">
        <v>13</v>
      </c>
    </row>
    <row r="849" spans="10:11" x14ac:dyDescent="0.25">
      <c r="J849" s="903">
        <f t="shared" si="17"/>
        <v>845</v>
      </c>
      <c r="K849" s="566">
        <v>13</v>
      </c>
    </row>
    <row r="850" spans="10:11" x14ac:dyDescent="0.25">
      <c r="J850" s="903">
        <f t="shared" si="17"/>
        <v>846</v>
      </c>
      <c r="K850" s="566">
        <v>13</v>
      </c>
    </row>
    <row r="851" spans="10:11" x14ac:dyDescent="0.25">
      <c r="J851" s="903">
        <f t="shared" si="17"/>
        <v>847</v>
      </c>
      <c r="K851" s="566">
        <v>13</v>
      </c>
    </row>
    <row r="852" spans="10:11" x14ac:dyDescent="0.25">
      <c r="J852" s="903">
        <f t="shared" si="17"/>
        <v>848</v>
      </c>
      <c r="K852" s="566">
        <v>13</v>
      </c>
    </row>
    <row r="853" spans="10:11" x14ac:dyDescent="0.25">
      <c r="J853" s="903">
        <f t="shared" ref="J853:J916" si="18">J852+1</f>
        <v>849</v>
      </c>
      <c r="K853" s="566">
        <v>13</v>
      </c>
    </row>
    <row r="854" spans="10:11" x14ac:dyDescent="0.25">
      <c r="J854" s="903">
        <f t="shared" si="18"/>
        <v>850</v>
      </c>
      <c r="K854" s="566">
        <v>13</v>
      </c>
    </row>
    <row r="855" spans="10:11" x14ac:dyDescent="0.25">
      <c r="J855" s="903">
        <f t="shared" si="18"/>
        <v>851</v>
      </c>
      <c r="K855" s="566">
        <v>13</v>
      </c>
    </row>
    <row r="856" spans="10:11" x14ac:dyDescent="0.25">
      <c r="J856" s="903">
        <f t="shared" si="18"/>
        <v>852</v>
      </c>
      <c r="K856" s="566">
        <v>13</v>
      </c>
    </row>
    <row r="857" spans="10:11" x14ac:dyDescent="0.25">
      <c r="J857" s="903">
        <f t="shared" si="18"/>
        <v>853</v>
      </c>
      <c r="K857" s="566">
        <v>13</v>
      </c>
    </row>
    <row r="858" spans="10:11" x14ac:dyDescent="0.25">
      <c r="J858" s="903">
        <f t="shared" si="18"/>
        <v>854</v>
      </c>
      <c r="K858" s="566">
        <v>13</v>
      </c>
    </row>
    <row r="859" spans="10:11" x14ac:dyDescent="0.25">
      <c r="J859" s="903">
        <f t="shared" si="18"/>
        <v>855</v>
      </c>
      <c r="K859" s="566">
        <v>13</v>
      </c>
    </row>
    <row r="860" spans="10:11" x14ac:dyDescent="0.25">
      <c r="J860" s="903">
        <f t="shared" si="18"/>
        <v>856</v>
      </c>
      <c r="K860" s="566">
        <v>13</v>
      </c>
    </row>
    <row r="861" spans="10:11" x14ac:dyDescent="0.25">
      <c r="J861" s="903">
        <f t="shared" si="18"/>
        <v>857</v>
      </c>
      <c r="K861" s="566">
        <v>13</v>
      </c>
    </row>
    <row r="862" spans="10:11" x14ac:dyDescent="0.25">
      <c r="J862" s="903">
        <f t="shared" si="18"/>
        <v>858</v>
      </c>
      <c r="K862" s="566">
        <v>13</v>
      </c>
    </row>
    <row r="863" spans="10:11" x14ac:dyDescent="0.25">
      <c r="J863" s="903">
        <f t="shared" si="18"/>
        <v>859</v>
      </c>
      <c r="K863" s="566">
        <v>13</v>
      </c>
    </row>
    <row r="864" spans="10:11" x14ac:dyDescent="0.25">
      <c r="J864" s="903">
        <f t="shared" si="18"/>
        <v>860</v>
      </c>
      <c r="K864" s="566">
        <v>13</v>
      </c>
    </row>
    <row r="865" spans="10:11" x14ac:dyDescent="0.25">
      <c r="J865" s="903">
        <f t="shared" si="18"/>
        <v>861</v>
      </c>
      <c r="K865" s="566">
        <v>13</v>
      </c>
    </row>
    <row r="866" spans="10:11" x14ac:dyDescent="0.25">
      <c r="J866" s="903">
        <f t="shared" si="18"/>
        <v>862</v>
      </c>
      <c r="K866" s="566">
        <v>13</v>
      </c>
    </row>
    <row r="867" spans="10:11" x14ac:dyDescent="0.25">
      <c r="J867" s="903">
        <f t="shared" si="18"/>
        <v>863</v>
      </c>
      <c r="K867" s="566">
        <v>13</v>
      </c>
    </row>
    <row r="868" spans="10:11" x14ac:dyDescent="0.25">
      <c r="J868" s="903">
        <f t="shared" si="18"/>
        <v>864</v>
      </c>
      <c r="K868" s="566">
        <v>13</v>
      </c>
    </row>
    <row r="869" spans="10:11" x14ac:dyDescent="0.25">
      <c r="J869" s="903">
        <f t="shared" si="18"/>
        <v>865</v>
      </c>
      <c r="K869" s="566">
        <v>13</v>
      </c>
    </row>
    <row r="870" spans="10:11" x14ac:dyDescent="0.25">
      <c r="J870" s="903">
        <f t="shared" si="18"/>
        <v>866</v>
      </c>
      <c r="K870" s="566">
        <v>13</v>
      </c>
    </row>
    <row r="871" spans="10:11" x14ac:dyDescent="0.25">
      <c r="J871" s="903">
        <f t="shared" si="18"/>
        <v>867</v>
      </c>
      <c r="K871" s="566">
        <v>13</v>
      </c>
    </row>
    <row r="872" spans="10:11" x14ac:dyDescent="0.25">
      <c r="J872" s="903">
        <f t="shared" si="18"/>
        <v>868</v>
      </c>
      <c r="K872" s="566">
        <v>13</v>
      </c>
    </row>
    <row r="873" spans="10:11" x14ac:dyDescent="0.25">
      <c r="J873" s="903">
        <f t="shared" si="18"/>
        <v>869</v>
      </c>
      <c r="K873" s="566">
        <v>13</v>
      </c>
    </row>
    <row r="874" spans="10:11" x14ac:dyDescent="0.25">
      <c r="J874" s="903">
        <f t="shared" si="18"/>
        <v>870</v>
      </c>
      <c r="K874" s="566">
        <v>13</v>
      </c>
    </row>
    <row r="875" spans="10:11" x14ac:dyDescent="0.25">
      <c r="J875" s="903">
        <f t="shared" si="18"/>
        <v>871</v>
      </c>
      <c r="K875" s="566">
        <v>13</v>
      </c>
    </row>
    <row r="876" spans="10:11" x14ac:dyDescent="0.25">
      <c r="J876" s="903">
        <f t="shared" si="18"/>
        <v>872</v>
      </c>
      <c r="K876" s="566">
        <v>13</v>
      </c>
    </row>
    <row r="877" spans="10:11" x14ac:dyDescent="0.25">
      <c r="J877" s="903">
        <f t="shared" si="18"/>
        <v>873</v>
      </c>
      <c r="K877" s="566">
        <v>13</v>
      </c>
    </row>
    <row r="878" spans="10:11" x14ac:dyDescent="0.25">
      <c r="J878" s="903">
        <f t="shared" si="18"/>
        <v>874</v>
      </c>
      <c r="K878" s="566">
        <v>13</v>
      </c>
    </row>
    <row r="879" spans="10:11" x14ac:dyDescent="0.25">
      <c r="J879" s="903">
        <f t="shared" si="18"/>
        <v>875</v>
      </c>
      <c r="K879" s="566">
        <v>13</v>
      </c>
    </row>
    <row r="880" spans="10:11" x14ac:dyDescent="0.25">
      <c r="J880" s="903">
        <f t="shared" si="18"/>
        <v>876</v>
      </c>
      <c r="K880" s="566">
        <v>13</v>
      </c>
    </row>
    <row r="881" spans="10:11" x14ac:dyDescent="0.25">
      <c r="J881" s="903">
        <f t="shared" si="18"/>
        <v>877</v>
      </c>
      <c r="K881" s="566">
        <v>13</v>
      </c>
    </row>
    <row r="882" spans="10:11" x14ac:dyDescent="0.25">
      <c r="J882" s="903">
        <f t="shared" si="18"/>
        <v>878</v>
      </c>
      <c r="K882" s="566">
        <v>13</v>
      </c>
    </row>
    <row r="883" spans="10:11" x14ac:dyDescent="0.25">
      <c r="J883" s="903">
        <f t="shared" si="18"/>
        <v>879</v>
      </c>
      <c r="K883" s="566">
        <v>13</v>
      </c>
    </row>
    <row r="884" spans="10:11" x14ac:dyDescent="0.25">
      <c r="J884" s="903">
        <f t="shared" si="18"/>
        <v>880</v>
      </c>
      <c r="K884" s="566">
        <v>13</v>
      </c>
    </row>
    <row r="885" spans="10:11" x14ac:dyDescent="0.25">
      <c r="J885" s="903">
        <f t="shared" si="18"/>
        <v>881</v>
      </c>
      <c r="K885" s="566">
        <v>13</v>
      </c>
    </row>
    <row r="886" spans="10:11" x14ac:dyDescent="0.25">
      <c r="J886" s="903">
        <f t="shared" si="18"/>
        <v>882</v>
      </c>
      <c r="K886" s="566">
        <v>13</v>
      </c>
    </row>
    <row r="887" spans="10:11" x14ac:dyDescent="0.25">
      <c r="J887" s="903">
        <f t="shared" si="18"/>
        <v>883</v>
      </c>
      <c r="K887" s="566">
        <v>13</v>
      </c>
    </row>
    <row r="888" spans="10:11" x14ac:dyDescent="0.25">
      <c r="J888" s="903">
        <f t="shared" si="18"/>
        <v>884</v>
      </c>
      <c r="K888" s="566">
        <v>13</v>
      </c>
    </row>
    <row r="889" spans="10:11" x14ac:dyDescent="0.25">
      <c r="J889" s="903">
        <f t="shared" si="18"/>
        <v>885</v>
      </c>
      <c r="K889" s="566">
        <v>13</v>
      </c>
    </row>
    <row r="890" spans="10:11" x14ac:dyDescent="0.25">
      <c r="J890" s="903">
        <f t="shared" si="18"/>
        <v>886</v>
      </c>
      <c r="K890" s="566">
        <v>13</v>
      </c>
    </row>
    <row r="891" spans="10:11" x14ac:dyDescent="0.25">
      <c r="J891" s="903">
        <f t="shared" si="18"/>
        <v>887</v>
      </c>
      <c r="K891" s="566">
        <v>13</v>
      </c>
    </row>
    <row r="892" spans="10:11" x14ac:dyDescent="0.25">
      <c r="J892" s="903">
        <f t="shared" si="18"/>
        <v>888</v>
      </c>
      <c r="K892" s="566">
        <v>13</v>
      </c>
    </row>
    <row r="893" spans="10:11" x14ac:dyDescent="0.25">
      <c r="J893" s="903">
        <f t="shared" si="18"/>
        <v>889</v>
      </c>
      <c r="K893" s="566">
        <v>13</v>
      </c>
    </row>
    <row r="894" spans="10:11" x14ac:dyDescent="0.25">
      <c r="J894" s="903">
        <f t="shared" si="18"/>
        <v>890</v>
      </c>
      <c r="K894" s="566">
        <v>13</v>
      </c>
    </row>
    <row r="895" spans="10:11" x14ac:dyDescent="0.25">
      <c r="J895" s="903">
        <f t="shared" si="18"/>
        <v>891</v>
      </c>
      <c r="K895" s="566">
        <v>13</v>
      </c>
    </row>
    <row r="896" spans="10:11" x14ac:dyDescent="0.25">
      <c r="J896" s="903">
        <f t="shared" si="18"/>
        <v>892</v>
      </c>
      <c r="K896" s="566">
        <v>13</v>
      </c>
    </row>
    <row r="897" spans="10:11" x14ac:dyDescent="0.25">
      <c r="J897" s="903">
        <f t="shared" si="18"/>
        <v>893</v>
      </c>
      <c r="K897" s="566">
        <v>13</v>
      </c>
    </row>
    <row r="898" spans="10:11" x14ac:dyDescent="0.25">
      <c r="J898" s="903">
        <f t="shared" si="18"/>
        <v>894</v>
      </c>
      <c r="K898" s="566">
        <v>13</v>
      </c>
    </row>
    <row r="899" spans="10:11" x14ac:dyDescent="0.25">
      <c r="J899" s="903">
        <f t="shared" si="18"/>
        <v>895</v>
      </c>
      <c r="K899" s="566">
        <v>13</v>
      </c>
    </row>
    <row r="900" spans="10:11" x14ac:dyDescent="0.25">
      <c r="J900" s="903">
        <f t="shared" si="18"/>
        <v>896</v>
      </c>
      <c r="K900" s="566">
        <v>13</v>
      </c>
    </row>
    <row r="901" spans="10:11" x14ac:dyDescent="0.25">
      <c r="J901" s="903">
        <f t="shared" si="18"/>
        <v>897</v>
      </c>
      <c r="K901" s="566">
        <v>13</v>
      </c>
    </row>
    <row r="902" spans="10:11" x14ac:dyDescent="0.25">
      <c r="J902" s="903">
        <f t="shared" si="18"/>
        <v>898</v>
      </c>
      <c r="K902" s="566">
        <v>13</v>
      </c>
    </row>
    <row r="903" spans="10:11" x14ac:dyDescent="0.25">
      <c r="J903" s="903">
        <f t="shared" si="18"/>
        <v>899</v>
      </c>
      <c r="K903" s="566">
        <v>13</v>
      </c>
    </row>
    <row r="904" spans="10:11" x14ac:dyDescent="0.25">
      <c r="J904" s="903">
        <f t="shared" si="18"/>
        <v>900</v>
      </c>
      <c r="K904" s="566">
        <v>13</v>
      </c>
    </row>
    <row r="905" spans="10:11" x14ac:dyDescent="0.25">
      <c r="J905" s="903">
        <f t="shared" si="18"/>
        <v>901</v>
      </c>
      <c r="K905" s="566">
        <v>13</v>
      </c>
    </row>
    <row r="906" spans="10:11" x14ac:dyDescent="0.25">
      <c r="J906" s="903">
        <f t="shared" si="18"/>
        <v>902</v>
      </c>
      <c r="K906" s="566">
        <v>13</v>
      </c>
    </row>
    <row r="907" spans="10:11" x14ac:dyDescent="0.25">
      <c r="J907" s="903">
        <f t="shared" si="18"/>
        <v>903</v>
      </c>
      <c r="K907" s="566">
        <v>13</v>
      </c>
    </row>
    <row r="908" spans="10:11" x14ac:dyDescent="0.25">
      <c r="J908" s="903">
        <f t="shared" si="18"/>
        <v>904</v>
      </c>
      <c r="K908" s="566">
        <v>13</v>
      </c>
    </row>
    <row r="909" spans="10:11" x14ac:dyDescent="0.25">
      <c r="J909" s="903">
        <f t="shared" si="18"/>
        <v>905</v>
      </c>
      <c r="K909" s="566">
        <v>13</v>
      </c>
    </row>
    <row r="910" spans="10:11" x14ac:dyDescent="0.25">
      <c r="J910" s="903">
        <f t="shared" si="18"/>
        <v>906</v>
      </c>
      <c r="K910" s="566">
        <v>13</v>
      </c>
    </row>
    <row r="911" spans="10:11" x14ac:dyDescent="0.25">
      <c r="J911" s="903">
        <f t="shared" si="18"/>
        <v>907</v>
      </c>
      <c r="K911" s="566">
        <v>13</v>
      </c>
    </row>
    <row r="912" spans="10:11" x14ac:dyDescent="0.25">
      <c r="J912" s="903">
        <f t="shared" si="18"/>
        <v>908</v>
      </c>
      <c r="K912" s="566">
        <v>13</v>
      </c>
    </row>
    <row r="913" spans="10:11" x14ac:dyDescent="0.25">
      <c r="J913" s="903">
        <f t="shared" si="18"/>
        <v>909</v>
      </c>
      <c r="K913" s="566">
        <v>13</v>
      </c>
    </row>
    <row r="914" spans="10:11" x14ac:dyDescent="0.25">
      <c r="J914" s="903">
        <f t="shared" si="18"/>
        <v>910</v>
      </c>
      <c r="K914" s="566">
        <v>13</v>
      </c>
    </row>
    <row r="915" spans="10:11" x14ac:dyDescent="0.25">
      <c r="J915" s="903">
        <f t="shared" si="18"/>
        <v>911</v>
      </c>
      <c r="K915" s="566">
        <v>13</v>
      </c>
    </row>
    <row r="916" spans="10:11" x14ac:dyDescent="0.25">
      <c r="J916" s="903">
        <f t="shared" si="18"/>
        <v>912</v>
      </c>
      <c r="K916" s="566">
        <v>13</v>
      </c>
    </row>
    <row r="917" spans="10:11" x14ac:dyDescent="0.25">
      <c r="J917" s="903">
        <f t="shared" ref="J917:J980" si="19">J916+1</f>
        <v>913</v>
      </c>
      <c r="K917" s="566">
        <v>13</v>
      </c>
    </row>
    <row r="918" spans="10:11" x14ac:dyDescent="0.25">
      <c r="J918" s="903">
        <f t="shared" si="19"/>
        <v>914</v>
      </c>
      <c r="K918" s="566">
        <v>13</v>
      </c>
    </row>
    <row r="919" spans="10:11" x14ac:dyDescent="0.25">
      <c r="J919" s="903">
        <f t="shared" si="19"/>
        <v>915</v>
      </c>
      <c r="K919" s="566">
        <v>13</v>
      </c>
    </row>
    <row r="920" spans="10:11" x14ac:dyDescent="0.25">
      <c r="J920" s="903">
        <f t="shared" si="19"/>
        <v>916</v>
      </c>
      <c r="K920" s="566">
        <v>13</v>
      </c>
    </row>
    <row r="921" spans="10:11" x14ac:dyDescent="0.25">
      <c r="J921" s="903">
        <f t="shared" si="19"/>
        <v>917</v>
      </c>
      <c r="K921" s="566">
        <v>13</v>
      </c>
    </row>
    <row r="922" spans="10:11" x14ac:dyDescent="0.25">
      <c r="J922" s="903">
        <f t="shared" si="19"/>
        <v>918</v>
      </c>
      <c r="K922" s="566">
        <v>13</v>
      </c>
    </row>
    <row r="923" spans="10:11" x14ac:dyDescent="0.25">
      <c r="J923" s="903">
        <f t="shared" si="19"/>
        <v>919</v>
      </c>
      <c r="K923" s="566">
        <v>13</v>
      </c>
    </row>
    <row r="924" spans="10:11" x14ac:dyDescent="0.25">
      <c r="J924" s="903">
        <f t="shared" si="19"/>
        <v>920</v>
      </c>
      <c r="K924" s="566">
        <v>13</v>
      </c>
    </row>
    <row r="925" spans="10:11" x14ac:dyDescent="0.25">
      <c r="J925" s="903">
        <f t="shared" si="19"/>
        <v>921</v>
      </c>
      <c r="K925" s="566">
        <v>13</v>
      </c>
    </row>
    <row r="926" spans="10:11" x14ac:dyDescent="0.25">
      <c r="J926" s="903">
        <f t="shared" si="19"/>
        <v>922</v>
      </c>
      <c r="K926" s="566">
        <v>13</v>
      </c>
    </row>
    <row r="927" spans="10:11" x14ac:dyDescent="0.25">
      <c r="J927" s="903">
        <f t="shared" si="19"/>
        <v>923</v>
      </c>
      <c r="K927" s="566">
        <v>13</v>
      </c>
    </row>
    <row r="928" spans="10:11" x14ac:dyDescent="0.25">
      <c r="J928" s="903">
        <f t="shared" si="19"/>
        <v>924</v>
      </c>
      <c r="K928" s="566">
        <v>13</v>
      </c>
    </row>
    <row r="929" spans="10:11" x14ac:dyDescent="0.25">
      <c r="J929" s="903">
        <f t="shared" si="19"/>
        <v>925</v>
      </c>
      <c r="K929" s="566">
        <v>13</v>
      </c>
    </row>
    <row r="930" spans="10:11" x14ac:dyDescent="0.25">
      <c r="J930" s="903">
        <f t="shared" si="19"/>
        <v>926</v>
      </c>
      <c r="K930" s="566">
        <v>13</v>
      </c>
    </row>
    <row r="931" spans="10:11" x14ac:dyDescent="0.25">
      <c r="J931" s="903">
        <f t="shared" si="19"/>
        <v>927</v>
      </c>
      <c r="K931" s="566">
        <v>13</v>
      </c>
    </row>
    <row r="932" spans="10:11" x14ac:dyDescent="0.25">
      <c r="J932" s="903">
        <f t="shared" si="19"/>
        <v>928</v>
      </c>
      <c r="K932" s="566">
        <v>13</v>
      </c>
    </row>
    <row r="933" spans="10:11" x14ac:dyDescent="0.25">
      <c r="J933" s="903">
        <f t="shared" si="19"/>
        <v>929</v>
      </c>
      <c r="K933" s="566">
        <v>13</v>
      </c>
    </row>
    <row r="934" spans="10:11" x14ac:dyDescent="0.25">
      <c r="J934" s="903">
        <f t="shared" si="19"/>
        <v>930</v>
      </c>
      <c r="K934" s="566">
        <v>13</v>
      </c>
    </row>
    <row r="935" spans="10:11" x14ac:dyDescent="0.25">
      <c r="J935" s="903">
        <f t="shared" si="19"/>
        <v>931</v>
      </c>
      <c r="K935" s="566">
        <v>13</v>
      </c>
    </row>
    <row r="936" spans="10:11" x14ac:dyDescent="0.25">
      <c r="J936" s="903">
        <f t="shared" si="19"/>
        <v>932</v>
      </c>
      <c r="K936" s="566">
        <v>13</v>
      </c>
    </row>
    <row r="937" spans="10:11" x14ac:dyDescent="0.25">
      <c r="J937" s="903">
        <f t="shared" si="19"/>
        <v>933</v>
      </c>
      <c r="K937" s="566">
        <v>13</v>
      </c>
    </row>
    <row r="938" spans="10:11" x14ac:dyDescent="0.25">
      <c r="J938" s="903">
        <f t="shared" si="19"/>
        <v>934</v>
      </c>
      <c r="K938" s="566">
        <v>13</v>
      </c>
    </row>
    <row r="939" spans="10:11" x14ac:dyDescent="0.25">
      <c r="J939" s="903">
        <f t="shared" si="19"/>
        <v>935</v>
      </c>
      <c r="K939" s="566">
        <v>13</v>
      </c>
    </row>
    <row r="940" spans="10:11" x14ac:dyDescent="0.25">
      <c r="J940" s="903">
        <f t="shared" si="19"/>
        <v>936</v>
      </c>
      <c r="K940" s="566">
        <v>13</v>
      </c>
    </row>
    <row r="941" spans="10:11" x14ac:dyDescent="0.25">
      <c r="J941" s="903">
        <f t="shared" si="19"/>
        <v>937</v>
      </c>
      <c r="K941" s="566">
        <v>13</v>
      </c>
    </row>
    <row r="942" spans="10:11" x14ac:dyDescent="0.25">
      <c r="J942" s="903">
        <f t="shared" si="19"/>
        <v>938</v>
      </c>
      <c r="K942" s="566">
        <v>13</v>
      </c>
    </row>
    <row r="943" spans="10:11" x14ac:dyDescent="0.25">
      <c r="J943" s="903">
        <f t="shared" si="19"/>
        <v>939</v>
      </c>
      <c r="K943" s="566">
        <v>13</v>
      </c>
    </row>
    <row r="944" spans="10:11" x14ac:dyDescent="0.25">
      <c r="J944" s="903">
        <f t="shared" si="19"/>
        <v>940</v>
      </c>
      <c r="K944" s="566">
        <v>13</v>
      </c>
    </row>
    <row r="945" spans="10:11" x14ac:dyDescent="0.25">
      <c r="J945" s="903">
        <f t="shared" si="19"/>
        <v>941</v>
      </c>
      <c r="K945" s="566">
        <v>13</v>
      </c>
    </row>
    <row r="946" spans="10:11" x14ac:dyDescent="0.25">
      <c r="J946" s="903">
        <f t="shared" si="19"/>
        <v>942</v>
      </c>
      <c r="K946" s="566">
        <v>13</v>
      </c>
    </row>
    <row r="947" spans="10:11" x14ac:dyDescent="0.25">
      <c r="J947" s="903">
        <f t="shared" si="19"/>
        <v>943</v>
      </c>
      <c r="K947" s="566">
        <v>13</v>
      </c>
    </row>
    <row r="948" spans="10:11" x14ac:dyDescent="0.25">
      <c r="J948" s="903">
        <f t="shared" si="19"/>
        <v>944</v>
      </c>
      <c r="K948" s="566">
        <v>14</v>
      </c>
    </row>
    <row r="949" spans="10:11" x14ac:dyDescent="0.25">
      <c r="J949" s="903">
        <f t="shared" si="19"/>
        <v>945</v>
      </c>
      <c r="K949" s="566">
        <v>14</v>
      </c>
    </row>
    <row r="950" spans="10:11" x14ac:dyDescent="0.25">
      <c r="J950" s="903">
        <f t="shared" si="19"/>
        <v>946</v>
      </c>
      <c r="K950" s="566">
        <v>14</v>
      </c>
    </row>
    <row r="951" spans="10:11" x14ac:dyDescent="0.25">
      <c r="J951" s="903">
        <f t="shared" si="19"/>
        <v>947</v>
      </c>
      <c r="K951" s="566">
        <v>14</v>
      </c>
    </row>
    <row r="952" spans="10:11" x14ac:dyDescent="0.25">
      <c r="J952" s="903">
        <f t="shared" si="19"/>
        <v>948</v>
      </c>
      <c r="K952" s="566">
        <v>14</v>
      </c>
    </row>
    <row r="953" spans="10:11" x14ac:dyDescent="0.25">
      <c r="J953" s="903">
        <f t="shared" si="19"/>
        <v>949</v>
      </c>
      <c r="K953" s="566">
        <v>14</v>
      </c>
    </row>
    <row r="954" spans="10:11" x14ac:dyDescent="0.25">
      <c r="J954" s="903">
        <f t="shared" si="19"/>
        <v>950</v>
      </c>
      <c r="K954" s="566">
        <v>14</v>
      </c>
    </row>
    <row r="955" spans="10:11" x14ac:dyDescent="0.25">
      <c r="J955" s="903">
        <f t="shared" si="19"/>
        <v>951</v>
      </c>
      <c r="K955" s="566">
        <v>14</v>
      </c>
    </row>
    <row r="956" spans="10:11" x14ac:dyDescent="0.25">
      <c r="J956" s="903">
        <f t="shared" si="19"/>
        <v>952</v>
      </c>
      <c r="K956" s="566">
        <v>14</v>
      </c>
    </row>
    <row r="957" spans="10:11" x14ac:dyDescent="0.25">
      <c r="J957" s="903">
        <f t="shared" si="19"/>
        <v>953</v>
      </c>
      <c r="K957" s="566">
        <v>14</v>
      </c>
    </row>
    <row r="958" spans="10:11" x14ac:dyDescent="0.25">
      <c r="J958" s="903">
        <f t="shared" si="19"/>
        <v>954</v>
      </c>
      <c r="K958" s="566">
        <v>14</v>
      </c>
    </row>
    <row r="959" spans="10:11" x14ac:dyDescent="0.25">
      <c r="J959" s="903">
        <f t="shared" si="19"/>
        <v>955</v>
      </c>
      <c r="K959" s="566">
        <v>14</v>
      </c>
    </row>
    <row r="960" spans="10:11" x14ac:dyDescent="0.25">
      <c r="J960" s="903">
        <f t="shared" si="19"/>
        <v>956</v>
      </c>
      <c r="K960" s="566">
        <v>14</v>
      </c>
    </row>
    <row r="961" spans="10:11" x14ac:dyDescent="0.25">
      <c r="J961" s="903">
        <f t="shared" si="19"/>
        <v>957</v>
      </c>
      <c r="K961" s="566">
        <v>14</v>
      </c>
    </row>
    <row r="962" spans="10:11" x14ac:dyDescent="0.25">
      <c r="J962" s="903">
        <f t="shared" si="19"/>
        <v>958</v>
      </c>
      <c r="K962" s="566">
        <v>14</v>
      </c>
    </row>
    <row r="963" spans="10:11" x14ac:dyDescent="0.25">
      <c r="J963" s="903">
        <f t="shared" si="19"/>
        <v>959</v>
      </c>
      <c r="K963" s="566">
        <v>14</v>
      </c>
    </row>
    <row r="964" spans="10:11" x14ac:dyDescent="0.25">
      <c r="J964" s="903">
        <f t="shared" si="19"/>
        <v>960</v>
      </c>
      <c r="K964" s="566">
        <v>14</v>
      </c>
    </row>
    <row r="965" spans="10:11" x14ac:dyDescent="0.25">
      <c r="J965" s="903">
        <f t="shared" si="19"/>
        <v>961</v>
      </c>
      <c r="K965" s="566">
        <v>14</v>
      </c>
    </row>
    <row r="966" spans="10:11" x14ac:dyDescent="0.25">
      <c r="J966" s="903">
        <f t="shared" si="19"/>
        <v>962</v>
      </c>
      <c r="K966" s="566">
        <v>14</v>
      </c>
    </row>
    <row r="967" spans="10:11" x14ac:dyDescent="0.25">
      <c r="J967" s="903">
        <f t="shared" si="19"/>
        <v>963</v>
      </c>
      <c r="K967" s="566">
        <v>14</v>
      </c>
    </row>
    <row r="968" spans="10:11" x14ac:dyDescent="0.25">
      <c r="J968" s="903">
        <f t="shared" si="19"/>
        <v>964</v>
      </c>
      <c r="K968" s="566">
        <v>14</v>
      </c>
    </row>
    <row r="969" spans="10:11" x14ac:dyDescent="0.25">
      <c r="J969" s="903">
        <f t="shared" si="19"/>
        <v>965</v>
      </c>
      <c r="K969" s="566">
        <v>14</v>
      </c>
    </row>
    <row r="970" spans="10:11" x14ac:dyDescent="0.25">
      <c r="J970" s="903">
        <f t="shared" si="19"/>
        <v>966</v>
      </c>
      <c r="K970" s="566">
        <v>14</v>
      </c>
    </row>
    <row r="971" spans="10:11" x14ac:dyDescent="0.25">
      <c r="J971" s="903">
        <f t="shared" si="19"/>
        <v>967</v>
      </c>
      <c r="K971" s="566">
        <v>14</v>
      </c>
    </row>
    <row r="972" spans="10:11" x14ac:dyDescent="0.25">
      <c r="J972" s="903">
        <f t="shared" si="19"/>
        <v>968</v>
      </c>
      <c r="K972" s="566">
        <v>14</v>
      </c>
    </row>
    <row r="973" spans="10:11" x14ac:dyDescent="0.25">
      <c r="J973" s="903">
        <f t="shared" si="19"/>
        <v>969</v>
      </c>
      <c r="K973" s="566">
        <v>14</v>
      </c>
    </row>
    <row r="974" spans="10:11" x14ac:dyDescent="0.25">
      <c r="J974" s="903">
        <f t="shared" si="19"/>
        <v>970</v>
      </c>
      <c r="K974" s="566">
        <v>14</v>
      </c>
    </row>
    <row r="975" spans="10:11" x14ac:dyDescent="0.25">
      <c r="J975" s="903">
        <f t="shared" si="19"/>
        <v>971</v>
      </c>
      <c r="K975" s="566">
        <v>14</v>
      </c>
    </row>
    <row r="976" spans="10:11" x14ac:dyDescent="0.25">
      <c r="J976" s="903">
        <f t="shared" si="19"/>
        <v>972</v>
      </c>
      <c r="K976" s="566">
        <v>14</v>
      </c>
    </row>
    <row r="977" spans="10:11" x14ac:dyDescent="0.25">
      <c r="J977" s="903">
        <f t="shared" si="19"/>
        <v>973</v>
      </c>
      <c r="K977" s="566">
        <v>14</v>
      </c>
    </row>
    <row r="978" spans="10:11" x14ac:dyDescent="0.25">
      <c r="J978" s="903">
        <f t="shared" si="19"/>
        <v>974</v>
      </c>
      <c r="K978" s="566">
        <v>14</v>
      </c>
    </row>
    <row r="979" spans="10:11" x14ac:dyDescent="0.25">
      <c r="J979" s="903">
        <f t="shared" si="19"/>
        <v>975</v>
      </c>
      <c r="K979" s="566">
        <v>14</v>
      </c>
    </row>
    <row r="980" spans="10:11" x14ac:dyDescent="0.25">
      <c r="J980" s="903">
        <f t="shared" si="19"/>
        <v>976</v>
      </c>
      <c r="K980" s="566">
        <v>14</v>
      </c>
    </row>
    <row r="981" spans="10:11" x14ac:dyDescent="0.25">
      <c r="J981" s="903">
        <f t="shared" ref="J981:J1044" si="20">J980+1</f>
        <v>977</v>
      </c>
      <c r="K981" s="566">
        <v>14</v>
      </c>
    </row>
    <row r="982" spans="10:11" x14ac:dyDescent="0.25">
      <c r="J982" s="903">
        <f t="shared" si="20"/>
        <v>978</v>
      </c>
      <c r="K982" s="566">
        <v>14</v>
      </c>
    </row>
    <row r="983" spans="10:11" x14ac:dyDescent="0.25">
      <c r="J983" s="903">
        <f t="shared" si="20"/>
        <v>979</v>
      </c>
      <c r="K983" s="566">
        <v>14</v>
      </c>
    </row>
    <row r="984" spans="10:11" x14ac:dyDescent="0.25">
      <c r="J984" s="903">
        <f t="shared" si="20"/>
        <v>980</v>
      </c>
      <c r="K984" s="566">
        <v>14</v>
      </c>
    </row>
    <row r="985" spans="10:11" x14ac:dyDescent="0.25">
      <c r="J985" s="903">
        <f t="shared" si="20"/>
        <v>981</v>
      </c>
      <c r="K985" s="566">
        <v>14</v>
      </c>
    </row>
    <row r="986" spans="10:11" x14ac:dyDescent="0.25">
      <c r="J986" s="903">
        <f t="shared" si="20"/>
        <v>982</v>
      </c>
      <c r="K986" s="566">
        <v>14</v>
      </c>
    </row>
    <row r="987" spans="10:11" x14ac:dyDescent="0.25">
      <c r="J987" s="903">
        <f t="shared" si="20"/>
        <v>983</v>
      </c>
      <c r="K987" s="566">
        <v>14</v>
      </c>
    </row>
    <row r="988" spans="10:11" x14ac:dyDescent="0.25">
      <c r="J988" s="903">
        <f t="shared" si="20"/>
        <v>984</v>
      </c>
      <c r="K988" s="566">
        <v>14</v>
      </c>
    </row>
    <row r="989" spans="10:11" x14ac:dyDescent="0.25">
      <c r="J989" s="903">
        <f t="shared" si="20"/>
        <v>985</v>
      </c>
      <c r="K989" s="566">
        <v>14</v>
      </c>
    </row>
    <row r="990" spans="10:11" x14ac:dyDescent="0.25">
      <c r="J990" s="903">
        <f t="shared" si="20"/>
        <v>986</v>
      </c>
      <c r="K990" s="566">
        <v>14</v>
      </c>
    </row>
    <row r="991" spans="10:11" x14ac:dyDescent="0.25">
      <c r="J991" s="903">
        <f t="shared" si="20"/>
        <v>987</v>
      </c>
      <c r="K991" s="566">
        <v>14</v>
      </c>
    </row>
    <row r="992" spans="10:11" x14ac:dyDescent="0.25">
      <c r="J992" s="903">
        <f t="shared" si="20"/>
        <v>988</v>
      </c>
      <c r="K992" s="566">
        <v>14</v>
      </c>
    </row>
    <row r="993" spans="10:11" x14ac:dyDescent="0.25">
      <c r="J993" s="903">
        <f t="shared" si="20"/>
        <v>989</v>
      </c>
      <c r="K993" s="566">
        <v>14</v>
      </c>
    </row>
    <row r="994" spans="10:11" x14ac:dyDescent="0.25">
      <c r="J994" s="903">
        <f t="shared" si="20"/>
        <v>990</v>
      </c>
      <c r="K994" s="566">
        <v>14</v>
      </c>
    </row>
    <row r="995" spans="10:11" x14ac:dyDescent="0.25">
      <c r="J995" s="903">
        <f t="shared" si="20"/>
        <v>991</v>
      </c>
      <c r="K995" s="566">
        <v>14</v>
      </c>
    </row>
    <row r="996" spans="10:11" x14ac:dyDescent="0.25">
      <c r="J996" s="903">
        <f t="shared" si="20"/>
        <v>992</v>
      </c>
      <c r="K996" s="566">
        <v>14</v>
      </c>
    </row>
    <row r="997" spans="10:11" x14ac:dyDescent="0.25">
      <c r="J997" s="903">
        <f t="shared" si="20"/>
        <v>993</v>
      </c>
      <c r="K997" s="566">
        <v>14</v>
      </c>
    </row>
    <row r="998" spans="10:11" x14ac:dyDescent="0.25">
      <c r="J998" s="903">
        <f t="shared" si="20"/>
        <v>994</v>
      </c>
      <c r="K998" s="566">
        <v>14</v>
      </c>
    </row>
    <row r="999" spans="10:11" x14ac:dyDescent="0.25">
      <c r="J999" s="903">
        <f t="shared" si="20"/>
        <v>995</v>
      </c>
      <c r="K999" s="566">
        <v>14</v>
      </c>
    </row>
    <row r="1000" spans="10:11" x14ac:dyDescent="0.25">
      <c r="J1000" s="903">
        <f t="shared" si="20"/>
        <v>996</v>
      </c>
      <c r="K1000" s="566">
        <v>14</v>
      </c>
    </row>
    <row r="1001" spans="10:11" x14ac:dyDescent="0.25">
      <c r="J1001" s="903">
        <f t="shared" si="20"/>
        <v>997</v>
      </c>
      <c r="K1001" s="566">
        <v>14</v>
      </c>
    </row>
    <row r="1002" spans="10:11" x14ac:dyDescent="0.25">
      <c r="J1002" s="903">
        <f t="shared" si="20"/>
        <v>998</v>
      </c>
      <c r="K1002" s="566">
        <v>14</v>
      </c>
    </row>
    <row r="1003" spans="10:11" x14ac:dyDescent="0.25">
      <c r="J1003" s="903">
        <f t="shared" si="20"/>
        <v>999</v>
      </c>
      <c r="K1003" s="566">
        <v>14</v>
      </c>
    </row>
    <row r="1004" spans="10:11" x14ac:dyDescent="0.25">
      <c r="J1004" s="903">
        <f t="shared" si="20"/>
        <v>1000</v>
      </c>
      <c r="K1004" s="566">
        <v>14</v>
      </c>
    </row>
    <row r="1005" spans="10:11" x14ac:dyDescent="0.25">
      <c r="J1005" s="903">
        <f t="shared" si="20"/>
        <v>1001</v>
      </c>
      <c r="K1005" s="566">
        <v>14</v>
      </c>
    </row>
    <row r="1006" spans="10:11" x14ac:dyDescent="0.25">
      <c r="J1006" s="903">
        <f t="shared" si="20"/>
        <v>1002</v>
      </c>
      <c r="K1006" s="566">
        <v>14</v>
      </c>
    </row>
    <row r="1007" spans="10:11" x14ac:dyDescent="0.25">
      <c r="J1007" s="903">
        <f t="shared" si="20"/>
        <v>1003</v>
      </c>
      <c r="K1007" s="566">
        <v>14</v>
      </c>
    </row>
    <row r="1008" spans="10:11" x14ac:dyDescent="0.25">
      <c r="J1008" s="903">
        <f t="shared" si="20"/>
        <v>1004</v>
      </c>
      <c r="K1008" s="566">
        <v>14</v>
      </c>
    </row>
    <row r="1009" spans="10:11" x14ac:dyDescent="0.25">
      <c r="J1009" s="903">
        <f t="shared" si="20"/>
        <v>1005</v>
      </c>
      <c r="K1009" s="566">
        <v>14</v>
      </c>
    </row>
    <row r="1010" spans="10:11" x14ac:dyDescent="0.25">
      <c r="J1010" s="903">
        <f t="shared" si="20"/>
        <v>1006</v>
      </c>
      <c r="K1010" s="566">
        <v>14</v>
      </c>
    </row>
    <row r="1011" spans="10:11" x14ac:dyDescent="0.25">
      <c r="J1011" s="903">
        <f t="shared" si="20"/>
        <v>1007</v>
      </c>
      <c r="K1011" s="566">
        <v>14</v>
      </c>
    </row>
    <row r="1012" spans="10:11" x14ac:dyDescent="0.25">
      <c r="J1012" s="903">
        <f t="shared" si="20"/>
        <v>1008</v>
      </c>
      <c r="K1012" s="566">
        <v>14</v>
      </c>
    </row>
    <row r="1013" spans="10:11" x14ac:dyDescent="0.25">
      <c r="J1013" s="903">
        <f t="shared" si="20"/>
        <v>1009</v>
      </c>
      <c r="K1013" s="566">
        <v>14</v>
      </c>
    </row>
    <row r="1014" spans="10:11" x14ac:dyDescent="0.25">
      <c r="J1014" s="903">
        <f t="shared" si="20"/>
        <v>1010</v>
      </c>
      <c r="K1014" s="566">
        <v>14</v>
      </c>
    </row>
    <row r="1015" spans="10:11" x14ac:dyDescent="0.25">
      <c r="J1015" s="903">
        <f t="shared" si="20"/>
        <v>1011</v>
      </c>
      <c r="K1015" s="566">
        <v>14</v>
      </c>
    </row>
    <row r="1016" spans="10:11" x14ac:dyDescent="0.25">
      <c r="J1016" s="903">
        <f t="shared" si="20"/>
        <v>1012</v>
      </c>
      <c r="K1016" s="566">
        <v>14</v>
      </c>
    </row>
    <row r="1017" spans="10:11" x14ac:dyDescent="0.25">
      <c r="J1017" s="903">
        <f t="shared" si="20"/>
        <v>1013</v>
      </c>
      <c r="K1017" s="566">
        <v>14</v>
      </c>
    </row>
    <row r="1018" spans="10:11" x14ac:dyDescent="0.25">
      <c r="J1018" s="903">
        <f t="shared" si="20"/>
        <v>1014</v>
      </c>
      <c r="K1018" s="566">
        <v>14</v>
      </c>
    </row>
    <row r="1019" spans="10:11" x14ac:dyDescent="0.25">
      <c r="J1019" s="903">
        <f t="shared" si="20"/>
        <v>1015</v>
      </c>
      <c r="K1019" s="566">
        <v>14</v>
      </c>
    </row>
    <row r="1020" spans="10:11" x14ac:dyDescent="0.25">
      <c r="J1020" s="903">
        <f t="shared" si="20"/>
        <v>1016</v>
      </c>
      <c r="K1020" s="566">
        <v>14</v>
      </c>
    </row>
    <row r="1021" spans="10:11" x14ac:dyDescent="0.25">
      <c r="J1021" s="903">
        <f t="shared" si="20"/>
        <v>1017</v>
      </c>
      <c r="K1021" s="566">
        <v>14</v>
      </c>
    </row>
    <row r="1022" spans="10:11" x14ac:dyDescent="0.25">
      <c r="J1022" s="903">
        <f t="shared" si="20"/>
        <v>1018</v>
      </c>
      <c r="K1022" s="566">
        <v>14</v>
      </c>
    </row>
    <row r="1023" spans="10:11" x14ac:dyDescent="0.25">
      <c r="J1023" s="903">
        <f t="shared" si="20"/>
        <v>1019</v>
      </c>
      <c r="K1023" s="566">
        <v>14</v>
      </c>
    </row>
    <row r="1024" spans="10:11" x14ac:dyDescent="0.25">
      <c r="J1024" s="903">
        <f t="shared" si="20"/>
        <v>1020</v>
      </c>
      <c r="K1024" s="566">
        <v>14</v>
      </c>
    </row>
    <row r="1025" spans="10:11" x14ac:dyDescent="0.25">
      <c r="J1025" s="903">
        <f t="shared" si="20"/>
        <v>1021</v>
      </c>
      <c r="K1025" s="566">
        <v>14</v>
      </c>
    </row>
    <row r="1026" spans="10:11" x14ac:dyDescent="0.25">
      <c r="J1026" s="903">
        <f t="shared" si="20"/>
        <v>1022</v>
      </c>
      <c r="K1026" s="566">
        <v>14</v>
      </c>
    </row>
    <row r="1027" spans="10:11" x14ac:dyDescent="0.25">
      <c r="J1027" s="903">
        <f t="shared" si="20"/>
        <v>1023</v>
      </c>
      <c r="K1027" s="566">
        <v>14</v>
      </c>
    </row>
    <row r="1028" spans="10:11" x14ac:dyDescent="0.25">
      <c r="J1028" s="903">
        <f t="shared" si="20"/>
        <v>1024</v>
      </c>
      <c r="K1028" s="566">
        <v>14</v>
      </c>
    </row>
    <row r="1029" spans="10:11" x14ac:dyDescent="0.25">
      <c r="J1029" s="903">
        <f t="shared" si="20"/>
        <v>1025</v>
      </c>
      <c r="K1029" s="566">
        <v>14</v>
      </c>
    </row>
    <row r="1030" spans="10:11" x14ac:dyDescent="0.25">
      <c r="J1030" s="903">
        <f t="shared" si="20"/>
        <v>1026</v>
      </c>
      <c r="K1030" s="566">
        <v>14</v>
      </c>
    </row>
    <row r="1031" spans="10:11" x14ac:dyDescent="0.25">
      <c r="J1031" s="903">
        <f t="shared" si="20"/>
        <v>1027</v>
      </c>
      <c r="K1031" s="566">
        <v>14</v>
      </c>
    </row>
    <row r="1032" spans="10:11" x14ac:dyDescent="0.25">
      <c r="J1032" s="903">
        <f t="shared" si="20"/>
        <v>1028</v>
      </c>
      <c r="K1032" s="566">
        <v>14</v>
      </c>
    </row>
    <row r="1033" spans="10:11" x14ac:dyDescent="0.25">
      <c r="J1033" s="903">
        <f t="shared" si="20"/>
        <v>1029</v>
      </c>
      <c r="K1033" s="566">
        <v>14</v>
      </c>
    </row>
    <row r="1034" spans="10:11" x14ac:dyDescent="0.25">
      <c r="J1034" s="903">
        <f t="shared" si="20"/>
        <v>1030</v>
      </c>
      <c r="K1034" s="566">
        <v>14</v>
      </c>
    </row>
    <row r="1035" spans="10:11" x14ac:dyDescent="0.25">
      <c r="J1035" s="903">
        <f t="shared" si="20"/>
        <v>1031</v>
      </c>
      <c r="K1035" s="566">
        <v>14</v>
      </c>
    </row>
    <row r="1036" spans="10:11" x14ac:dyDescent="0.25">
      <c r="J1036" s="903">
        <f t="shared" si="20"/>
        <v>1032</v>
      </c>
      <c r="K1036" s="566">
        <v>14</v>
      </c>
    </row>
    <row r="1037" spans="10:11" x14ac:dyDescent="0.25">
      <c r="J1037" s="903">
        <f t="shared" si="20"/>
        <v>1033</v>
      </c>
      <c r="K1037" s="566">
        <v>14</v>
      </c>
    </row>
    <row r="1038" spans="10:11" x14ac:dyDescent="0.25">
      <c r="J1038" s="903">
        <f t="shared" si="20"/>
        <v>1034</v>
      </c>
      <c r="K1038" s="566">
        <v>14</v>
      </c>
    </row>
    <row r="1039" spans="10:11" x14ac:dyDescent="0.25">
      <c r="J1039" s="903">
        <f t="shared" si="20"/>
        <v>1035</v>
      </c>
      <c r="K1039" s="566">
        <v>14</v>
      </c>
    </row>
    <row r="1040" spans="10:11" x14ac:dyDescent="0.25">
      <c r="J1040" s="903">
        <f t="shared" si="20"/>
        <v>1036</v>
      </c>
      <c r="K1040" s="566">
        <v>14</v>
      </c>
    </row>
    <row r="1041" spans="10:11" x14ac:dyDescent="0.25">
      <c r="J1041" s="903">
        <f t="shared" si="20"/>
        <v>1037</v>
      </c>
      <c r="K1041" s="566">
        <v>14</v>
      </c>
    </row>
    <row r="1042" spans="10:11" x14ac:dyDescent="0.25">
      <c r="J1042" s="903">
        <f t="shared" si="20"/>
        <v>1038</v>
      </c>
      <c r="K1042" s="566">
        <v>14</v>
      </c>
    </row>
    <row r="1043" spans="10:11" x14ac:dyDescent="0.25">
      <c r="J1043" s="903">
        <f t="shared" si="20"/>
        <v>1039</v>
      </c>
      <c r="K1043" s="566">
        <v>14</v>
      </c>
    </row>
    <row r="1044" spans="10:11" x14ac:dyDescent="0.25">
      <c r="J1044" s="903">
        <f t="shared" si="20"/>
        <v>1040</v>
      </c>
      <c r="K1044" s="566">
        <v>14</v>
      </c>
    </row>
    <row r="1045" spans="10:11" x14ac:dyDescent="0.25">
      <c r="J1045" s="903">
        <f t="shared" ref="J1045:J1108" si="21">J1044+1</f>
        <v>1041</v>
      </c>
      <c r="K1045" s="566">
        <v>14</v>
      </c>
    </row>
    <row r="1046" spans="10:11" x14ac:dyDescent="0.25">
      <c r="J1046" s="903">
        <f t="shared" si="21"/>
        <v>1042</v>
      </c>
      <c r="K1046" s="566">
        <v>14</v>
      </c>
    </row>
    <row r="1047" spans="10:11" x14ac:dyDescent="0.25">
      <c r="J1047" s="903">
        <f t="shared" si="21"/>
        <v>1043</v>
      </c>
      <c r="K1047" s="566">
        <v>14</v>
      </c>
    </row>
    <row r="1048" spans="10:11" x14ac:dyDescent="0.25">
      <c r="J1048" s="903">
        <f t="shared" si="21"/>
        <v>1044</v>
      </c>
      <c r="K1048" s="566">
        <v>14</v>
      </c>
    </row>
    <row r="1049" spans="10:11" x14ac:dyDescent="0.25">
      <c r="J1049" s="903">
        <f t="shared" si="21"/>
        <v>1045</v>
      </c>
      <c r="K1049" s="566">
        <v>14</v>
      </c>
    </row>
    <row r="1050" spans="10:11" x14ac:dyDescent="0.25">
      <c r="J1050" s="903">
        <f t="shared" si="21"/>
        <v>1046</v>
      </c>
      <c r="K1050" s="566">
        <v>14</v>
      </c>
    </row>
    <row r="1051" spans="10:11" x14ac:dyDescent="0.25">
      <c r="J1051" s="903">
        <f t="shared" si="21"/>
        <v>1047</v>
      </c>
      <c r="K1051" s="566">
        <v>14</v>
      </c>
    </row>
    <row r="1052" spans="10:11" x14ac:dyDescent="0.25">
      <c r="J1052" s="903">
        <f t="shared" si="21"/>
        <v>1048</v>
      </c>
      <c r="K1052" s="566">
        <v>14</v>
      </c>
    </row>
    <row r="1053" spans="10:11" x14ac:dyDescent="0.25">
      <c r="J1053" s="903">
        <f t="shared" si="21"/>
        <v>1049</v>
      </c>
      <c r="K1053" s="566">
        <v>14</v>
      </c>
    </row>
    <row r="1054" spans="10:11" x14ac:dyDescent="0.25">
      <c r="J1054" s="903">
        <f t="shared" si="21"/>
        <v>1050</v>
      </c>
      <c r="K1054" s="566">
        <v>14</v>
      </c>
    </row>
    <row r="1055" spans="10:11" x14ac:dyDescent="0.25">
      <c r="J1055" s="903">
        <f t="shared" si="21"/>
        <v>1051</v>
      </c>
      <c r="K1055" s="566">
        <v>14</v>
      </c>
    </row>
    <row r="1056" spans="10:11" x14ac:dyDescent="0.25">
      <c r="J1056" s="903">
        <f t="shared" si="21"/>
        <v>1052</v>
      </c>
      <c r="K1056" s="566">
        <v>14</v>
      </c>
    </row>
    <row r="1057" spans="10:11" x14ac:dyDescent="0.25">
      <c r="J1057" s="903">
        <f t="shared" si="21"/>
        <v>1053</v>
      </c>
      <c r="K1057" s="566">
        <v>14</v>
      </c>
    </row>
    <row r="1058" spans="10:11" x14ac:dyDescent="0.25">
      <c r="J1058" s="903">
        <f t="shared" si="21"/>
        <v>1054</v>
      </c>
      <c r="K1058" s="566">
        <v>14</v>
      </c>
    </row>
    <row r="1059" spans="10:11" x14ac:dyDescent="0.25">
      <c r="J1059" s="903">
        <f t="shared" si="21"/>
        <v>1055</v>
      </c>
      <c r="K1059" s="566">
        <v>14</v>
      </c>
    </row>
    <row r="1060" spans="10:11" x14ac:dyDescent="0.25">
      <c r="J1060" s="903">
        <f t="shared" si="21"/>
        <v>1056</v>
      </c>
      <c r="K1060" s="566">
        <v>14</v>
      </c>
    </row>
    <row r="1061" spans="10:11" x14ac:dyDescent="0.25">
      <c r="J1061" s="903">
        <f t="shared" si="21"/>
        <v>1057</v>
      </c>
      <c r="K1061" s="566">
        <v>14</v>
      </c>
    </row>
    <row r="1062" spans="10:11" x14ac:dyDescent="0.25">
      <c r="J1062" s="903">
        <f t="shared" si="21"/>
        <v>1058</v>
      </c>
      <c r="K1062" s="566">
        <v>14</v>
      </c>
    </row>
    <row r="1063" spans="10:11" x14ac:dyDescent="0.25">
      <c r="J1063" s="903">
        <f t="shared" si="21"/>
        <v>1059</v>
      </c>
      <c r="K1063" s="566">
        <v>14</v>
      </c>
    </row>
    <row r="1064" spans="10:11" x14ac:dyDescent="0.25">
      <c r="J1064" s="903">
        <f t="shared" si="21"/>
        <v>1060</v>
      </c>
      <c r="K1064" s="566">
        <v>14</v>
      </c>
    </row>
    <row r="1065" spans="10:11" x14ac:dyDescent="0.25">
      <c r="J1065" s="903">
        <f t="shared" si="21"/>
        <v>1061</v>
      </c>
      <c r="K1065" s="566">
        <v>14</v>
      </c>
    </row>
    <row r="1066" spans="10:11" x14ac:dyDescent="0.25">
      <c r="J1066" s="903">
        <f t="shared" si="21"/>
        <v>1062</v>
      </c>
      <c r="K1066" s="566">
        <v>14</v>
      </c>
    </row>
    <row r="1067" spans="10:11" x14ac:dyDescent="0.25">
      <c r="J1067" s="903">
        <f t="shared" si="21"/>
        <v>1063</v>
      </c>
      <c r="K1067" s="566">
        <v>14</v>
      </c>
    </row>
    <row r="1068" spans="10:11" x14ac:dyDescent="0.25">
      <c r="J1068" s="903">
        <f t="shared" si="21"/>
        <v>1064</v>
      </c>
      <c r="K1068" s="566">
        <v>14</v>
      </c>
    </row>
    <row r="1069" spans="10:11" x14ac:dyDescent="0.25">
      <c r="J1069" s="903">
        <f t="shared" si="21"/>
        <v>1065</v>
      </c>
      <c r="K1069" s="566">
        <v>14</v>
      </c>
    </row>
    <row r="1070" spans="10:11" x14ac:dyDescent="0.25">
      <c r="J1070" s="903">
        <f t="shared" si="21"/>
        <v>1066</v>
      </c>
      <c r="K1070" s="566">
        <v>14</v>
      </c>
    </row>
    <row r="1071" spans="10:11" x14ac:dyDescent="0.25">
      <c r="J1071" s="903">
        <f t="shared" si="21"/>
        <v>1067</v>
      </c>
      <c r="K1071" s="566">
        <v>14</v>
      </c>
    </row>
    <row r="1072" spans="10:11" x14ac:dyDescent="0.25">
      <c r="J1072" s="903">
        <f t="shared" si="21"/>
        <v>1068</v>
      </c>
      <c r="K1072" s="566">
        <v>14</v>
      </c>
    </row>
    <row r="1073" spans="10:11" x14ac:dyDescent="0.25">
      <c r="J1073" s="903">
        <f t="shared" si="21"/>
        <v>1069</v>
      </c>
      <c r="K1073" s="566">
        <v>14</v>
      </c>
    </row>
    <row r="1074" spans="10:11" x14ac:dyDescent="0.25">
      <c r="J1074" s="903">
        <f t="shared" si="21"/>
        <v>1070</v>
      </c>
      <c r="K1074" s="566">
        <v>14</v>
      </c>
    </row>
    <row r="1075" spans="10:11" x14ac:dyDescent="0.25">
      <c r="J1075" s="903">
        <f t="shared" si="21"/>
        <v>1071</v>
      </c>
      <c r="K1075" s="566">
        <v>14</v>
      </c>
    </row>
    <row r="1076" spans="10:11" x14ac:dyDescent="0.25">
      <c r="J1076" s="903">
        <f t="shared" si="21"/>
        <v>1072</v>
      </c>
      <c r="K1076" s="566">
        <v>14</v>
      </c>
    </row>
    <row r="1077" spans="10:11" x14ac:dyDescent="0.25">
      <c r="J1077" s="903">
        <f t="shared" si="21"/>
        <v>1073</v>
      </c>
      <c r="K1077" s="566">
        <v>14</v>
      </c>
    </row>
    <row r="1078" spans="10:11" x14ac:dyDescent="0.25">
      <c r="J1078" s="903">
        <f t="shared" si="21"/>
        <v>1074</v>
      </c>
      <c r="K1078" s="566">
        <v>14</v>
      </c>
    </row>
    <row r="1079" spans="10:11" x14ac:dyDescent="0.25">
      <c r="J1079" s="903">
        <f t="shared" si="21"/>
        <v>1075</v>
      </c>
      <c r="K1079" s="566">
        <v>14</v>
      </c>
    </row>
    <row r="1080" spans="10:11" x14ac:dyDescent="0.25">
      <c r="J1080" s="903">
        <f t="shared" si="21"/>
        <v>1076</v>
      </c>
      <c r="K1080" s="566">
        <v>14</v>
      </c>
    </row>
    <row r="1081" spans="10:11" x14ac:dyDescent="0.25">
      <c r="J1081" s="903">
        <f t="shared" si="21"/>
        <v>1077</v>
      </c>
      <c r="K1081" s="566">
        <v>14</v>
      </c>
    </row>
    <row r="1082" spans="10:11" x14ac:dyDescent="0.25">
      <c r="J1082" s="903">
        <f t="shared" si="21"/>
        <v>1078</v>
      </c>
      <c r="K1082" s="566">
        <v>14</v>
      </c>
    </row>
    <row r="1083" spans="10:11" x14ac:dyDescent="0.25">
      <c r="J1083" s="903">
        <f t="shared" si="21"/>
        <v>1079</v>
      </c>
      <c r="K1083" s="566">
        <v>14</v>
      </c>
    </row>
    <row r="1084" spans="10:11" x14ac:dyDescent="0.25">
      <c r="J1084" s="903">
        <f t="shared" si="21"/>
        <v>1080</v>
      </c>
      <c r="K1084" s="566">
        <v>14</v>
      </c>
    </row>
    <row r="1085" spans="10:11" x14ac:dyDescent="0.25">
      <c r="J1085" s="903">
        <f t="shared" si="21"/>
        <v>1081</v>
      </c>
      <c r="K1085" s="566">
        <v>14</v>
      </c>
    </row>
    <row r="1086" spans="10:11" x14ac:dyDescent="0.25">
      <c r="J1086" s="903">
        <f t="shared" si="21"/>
        <v>1082</v>
      </c>
      <c r="K1086" s="566">
        <v>14</v>
      </c>
    </row>
    <row r="1087" spans="10:11" x14ac:dyDescent="0.25">
      <c r="J1087" s="903">
        <f t="shared" si="21"/>
        <v>1083</v>
      </c>
      <c r="K1087" s="566">
        <v>14</v>
      </c>
    </row>
    <row r="1088" spans="10:11" x14ac:dyDescent="0.25">
      <c r="J1088" s="903">
        <f t="shared" si="21"/>
        <v>1084</v>
      </c>
      <c r="K1088" s="566">
        <v>14</v>
      </c>
    </row>
    <row r="1089" spans="10:11" x14ac:dyDescent="0.25">
      <c r="J1089" s="903">
        <f t="shared" si="21"/>
        <v>1085</v>
      </c>
      <c r="K1089" s="566">
        <v>14</v>
      </c>
    </row>
    <row r="1090" spans="10:11" x14ac:dyDescent="0.25">
      <c r="J1090" s="903">
        <f t="shared" si="21"/>
        <v>1086</v>
      </c>
      <c r="K1090" s="566">
        <v>14</v>
      </c>
    </row>
    <row r="1091" spans="10:11" x14ac:dyDescent="0.25">
      <c r="J1091" s="903">
        <f t="shared" si="21"/>
        <v>1087</v>
      </c>
      <c r="K1091" s="566">
        <v>14</v>
      </c>
    </row>
    <row r="1092" spans="10:11" x14ac:dyDescent="0.25">
      <c r="J1092" s="903">
        <f t="shared" si="21"/>
        <v>1088</v>
      </c>
      <c r="K1092" s="566">
        <v>14</v>
      </c>
    </row>
    <row r="1093" spans="10:11" x14ac:dyDescent="0.25">
      <c r="J1093" s="903">
        <f t="shared" si="21"/>
        <v>1089</v>
      </c>
      <c r="K1093" s="566">
        <v>14</v>
      </c>
    </row>
    <row r="1094" spans="10:11" x14ac:dyDescent="0.25">
      <c r="J1094" s="903">
        <f t="shared" si="21"/>
        <v>1090</v>
      </c>
      <c r="K1094" s="566">
        <v>14</v>
      </c>
    </row>
    <row r="1095" spans="10:11" x14ac:dyDescent="0.25">
      <c r="J1095" s="903">
        <f t="shared" si="21"/>
        <v>1091</v>
      </c>
      <c r="K1095" s="566">
        <v>14</v>
      </c>
    </row>
    <row r="1096" spans="10:11" x14ac:dyDescent="0.25">
      <c r="J1096" s="903">
        <f t="shared" si="21"/>
        <v>1092</v>
      </c>
      <c r="K1096" s="566">
        <v>14</v>
      </c>
    </row>
    <row r="1097" spans="10:11" x14ac:dyDescent="0.25">
      <c r="J1097" s="903">
        <f t="shared" si="21"/>
        <v>1093</v>
      </c>
      <c r="K1097" s="566">
        <v>14</v>
      </c>
    </row>
    <row r="1098" spans="10:11" x14ac:dyDescent="0.25">
      <c r="J1098" s="903">
        <f t="shared" si="21"/>
        <v>1094</v>
      </c>
      <c r="K1098" s="566">
        <v>14</v>
      </c>
    </row>
    <row r="1099" spans="10:11" x14ac:dyDescent="0.25">
      <c r="J1099" s="903">
        <f t="shared" si="21"/>
        <v>1095</v>
      </c>
      <c r="K1099" s="566">
        <v>14</v>
      </c>
    </row>
    <row r="1100" spans="10:11" x14ac:dyDescent="0.25">
      <c r="J1100" s="903">
        <f t="shared" si="21"/>
        <v>1096</v>
      </c>
      <c r="K1100" s="566">
        <v>14</v>
      </c>
    </row>
    <row r="1101" spans="10:11" x14ac:dyDescent="0.25">
      <c r="J1101" s="903">
        <f t="shared" si="21"/>
        <v>1097</v>
      </c>
      <c r="K1101" s="566">
        <v>14</v>
      </c>
    </row>
    <row r="1102" spans="10:11" x14ac:dyDescent="0.25">
      <c r="J1102" s="903">
        <f t="shared" si="21"/>
        <v>1098</v>
      </c>
      <c r="K1102" s="566">
        <v>14</v>
      </c>
    </row>
    <row r="1103" spans="10:11" x14ac:dyDescent="0.25">
      <c r="J1103" s="903">
        <f t="shared" si="21"/>
        <v>1099</v>
      </c>
      <c r="K1103" s="566">
        <v>14</v>
      </c>
    </row>
    <row r="1104" spans="10:11" x14ac:dyDescent="0.25">
      <c r="J1104" s="903">
        <f t="shared" si="21"/>
        <v>1100</v>
      </c>
      <c r="K1104" s="566">
        <v>14</v>
      </c>
    </row>
    <row r="1105" spans="10:11" x14ac:dyDescent="0.25">
      <c r="J1105" s="903">
        <f t="shared" si="21"/>
        <v>1101</v>
      </c>
      <c r="K1105" s="566">
        <v>14</v>
      </c>
    </row>
    <row r="1106" spans="10:11" x14ac:dyDescent="0.25">
      <c r="J1106" s="903">
        <f t="shared" si="21"/>
        <v>1102</v>
      </c>
      <c r="K1106" s="566">
        <v>14</v>
      </c>
    </row>
    <row r="1107" spans="10:11" x14ac:dyDescent="0.25">
      <c r="J1107" s="903">
        <f t="shared" si="21"/>
        <v>1103</v>
      </c>
      <c r="K1107" s="566">
        <v>14</v>
      </c>
    </row>
    <row r="1108" spans="10:11" x14ac:dyDescent="0.25">
      <c r="J1108" s="903">
        <f t="shared" si="21"/>
        <v>1104</v>
      </c>
      <c r="K1108" s="566">
        <v>14</v>
      </c>
    </row>
    <row r="1109" spans="10:11" x14ac:dyDescent="0.25">
      <c r="J1109" s="903">
        <f t="shared" ref="J1109:J1172" si="22">J1108+1</f>
        <v>1105</v>
      </c>
      <c r="K1109" s="566">
        <v>14</v>
      </c>
    </row>
    <row r="1110" spans="10:11" x14ac:dyDescent="0.25">
      <c r="J1110" s="903">
        <f t="shared" si="22"/>
        <v>1106</v>
      </c>
      <c r="K1110" s="566">
        <v>14</v>
      </c>
    </row>
    <row r="1111" spans="10:11" x14ac:dyDescent="0.25">
      <c r="J1111" s="903">
        <f t="shared" si="22"/>
        <v>1107</v>
      </c>
      <c r="K1111" s="566">
        <v>14</v>
      </c>
    </row>
    <row r="1112" spans="10:11" x14ac:dyDescent="0.25">
      <c r="J1112" s="903">
        <f t="shared" si="22"/>
        <v>1108</v>
      </c>
      <c r="K1112" s="566">
        <v>14</v>
      </c>
    </row>
    <row r="1113" spans="10:11" x14ac:dyDescent="0.25">
      <c r="J1113" s="903">
        <f t="shared" si="22"/>
        <v>1109</v>
      </c>
      <c r="K1113" s="566">
        <v>14</v>
      </c>
    </row>
    <row r="1114" spans="10:11" x14ac:dyDescent="0.25">
      <c r="J1114" s="903">
        <f t="shared" si="22"/>
        <v>1110</v>
      </c>
      <c r="K1114" s="566">
        <v>14</v>
      </c>
    </row>
    <row r="1115" spans="10:11" x14ac:dyDescent="0.25">
      <c r="J1115" s="903">
        <f t="shared" si="22"/>
        <v>1111</v>
      </c>
      <c r="K1115" s="566">
        <v>14</v>
      </c>
    </row>
    <row r="1116" spans="10:11" x14ac:dyDescent="0.25">
      <c r="J1116" s="903">
        <f t="shared" si="22"/>
        <v>1112</v>
      </c>
      <c r="K1116" s="566">
        <v>14</v>
      </c>
    </row>
    <row r="1117" spans="10:11" x14ac:dyDescent="0.25">
      <c r="J1117" s="903">
        <f t="shared" si="22"/>
        <v>1113</v>
      </c>
      <c r="K1117" s="566">
        <v>14</v>
      </c>
    </row>
    <row r="1118" spans="10:11" x14ac:dyDescent="0.25">
      <c r="J1118" s="903">
        <f t="shared" si="22"/>
        <v>1114</v>
      </c>
      <c r="K1118" s="566">
        <v>14</v>
      </c>
    </row>
    <row r="1119" spans="10:11" x14ac:dyDescent="0.25">
      <c r="J1119" s="903">
        <f t="shared" si="22"/>
        <v>1115</v>
      </c>
      <c r="K1119" s="566">
        <v>14</v>
      </c>
    </row>
    <row r="1120" spans="10:11" x14ac:dyDescent="0.25">
      <c r="J1120" s="903">
        <f t="shared" si="22"/>
        <v>1116</v>
      </c>
      <c r="K1120" s="566">
        <v>14</v>
      </c>
    </row>
    <row r="1121" spans="10:11" x14ac:dyDescent="0.25">
      <c r="J1121" s="903">
        <f t="shared" si="22"/>
        <v>1117</v>
      </c>
      <c r="K1121" s="566">
        <v>14</v>
      </c>
    </row>
    <row r="1122" spans="10:11" x14ac:dyDescent="0.25">
      <c r="J1122" s="903">
        <f t="shared" si="22"/>
        <v>1118</v>
      </c>
      <c r="K1122" s="566">
        <v>14</v>
      </c>
    </row>
    <row r="1123" spans="10:11" x14ac:dyDescent="0.25">
      <c r="J1123" s="903">
        <f t="shared" si="22"/>
        <v>1119</v>
      </c>
      <c r="K1123" s="566">
        <v>14</v>
      </c>
    </row>
    <row r="1124" spans="10:11" x14ac:dyDescent="0.25">
      <c r="J1124" s="903">
        <f t="shared" si="22"/>
        <v>1120</v>
      </c>
      <c r="K1124" s="566">
        <v>14</v>
      </c>
    </row>
    <row r="1125" spans="10:11" x14ac:dyDescent="0.25">
      <c r="J1125" s="903">
        <f t="shared" si="22"/>
        <v>1121</v>
      </c>
      <c r="K1125" s="566">
        <v>14</v>
      </c>
    </row>
    <row r="1126" spans="10:11" x14ac:dyDescent="0.25">
      <c r="J1126" s="903">
        <f t="shared" si="22"/>
        <v>1122</v>
      </c>
      <c r="K1126" s="566">
        <v>14</v>
      </c>
    </row>
    <row r="1127" spans="10:11" x14ac:dyDescent="0.25">
      <c r="J1127" s="903">
        <f t="shared" si="22"/>
        <v>1123</v>
      </c>
      <c r="K1127" s="566">
        <v>14</v>
      </c>
    </row>
    <row r="1128" spans="10:11" x14ac:dyDescent="0.25">
      <c r="J1128" s="903">
        <f t="shared" si="22"/>
        <v>1124</v>
      </c>
      <c r="K1128" s="566">
        <v>14</v>
      </c>
    </row>
    <row r="1129" spans="10:11" x14ac:dyDescent="0.25">
      <c r="J1129" s="903">
        <f t="shared" si="22"/>
        <v>1125</v>
      </c>
      <c r="K1129" s="566">
        <v>14</v>
      </c>
    </row>
    <row r="1130" spans="10:11" x14ac:dyDescent="0.25">
      <c r="J1130" s="903">
        <f t="shared" si="22"/>
        <v>1126</v>
      </c>
      <c r="K1130" s="566">
        <v>14</v>
      </c>
    </row>
    <row r="1131" spans="10:11" x14ac:dyDescent="0.25">
      <c r="J1131" s="903">
        <f t="shared" si="22"/>
        <v>1127</v>
      </c>
      <c r="K1131" s="566">
        <v>14</v>
      </c>
    </row>
    <row r="1132" spans="10:11" x14ac:dyDescent="0.25">
      <c r="J1132" s="903">
        <f t="shared" si="22"/>
        <v>1128</v>
      </c>
      <c r="K1132" s="566">
        <v>14</v>
      </c>
    </row>
    <row r="1133" spans="10:11" x14ac:dyDescent="0.25">
      <c r="J1133" s="903">
        <f t="shared" si="22"/>
        <v>1129</v>
      </c>
      <c r="K1133" s="566">
        <v>14</v>
      </c>
    </row>
    <row r="1134" spans="10:11" x14ac:dyDescent="0.25">
      <c r="J1134" s="903">
        <f t="shared" si="22"/>
        <v>1130</v>
      </c>
      <c r="K1134" s="566">
        <v>14</v>
      </c>
    </row>
    <row r="1135" spans="10:11" x14ac:dyDescent="0.25">
      <c r="J1135" s="903">
        <f t="shared" si="22"/>
        <v>1131</v>
      </c>
      <c r="K1135" s="566">
        <v>14</v>
      </c>
    </row>
    <row r="1136" spans="10:11" x14ac:dyDescent="0.25">
      <c r="J1136" s="903">
        <f t="shared" si="22"/>
        <v>1132</v>
      </c>
      <c r="K1136" s="566">
        <v>14</v>
      </c>
    </row>
    <row r="1137" spans="10:11" x14ac:dyDescent="0.25">
      <c r="J1137" s="903">
        <f t="shared" si="22"/>
        <v>1133</v>
      </c>
      <c r="K1137" s="566">
        <v>14</v>
      </c>
    </row>
    <row r="1138" spans="10:11" x14ac:dyDescent="0.25">
      <c r="J1138" s="903">
        <f t="shared" si="22"/>
        <v>1134</v>
      </c>
      <c r="K1138" s="566">
        <v>14</v>
      </c>
    </row>
    <row r="1139" spans="10:11" x14ac:dyDescent="0.25">
      <c r="J1139" s="903">
        <f t="shared" si="22"/>
        <v>1135</v>
      </c>
      <c r="K1139" s="566">
        <v>15</v>
      </c>
    </row>
    <row r="1140" spans="10:11" x14ac:dyDescent="0.25">
      <c r="J1140" s="903">
        <f t="shared" si="22"/>
        <v>1136</v>
      </c>
      <c r="K1140" s="566">
        <v>15</v>
      </c>
    </row>
    <row r="1141" spans="10:11" x14ac:dyDescent="0.25">
      <c r="J1141" s="903">
        <f t="shared" si="22"/>
        <v>1137</v>
      </c>
      <c r="K1141" s="566">
        <v>15</v>
      </c>
    </row>
    <row r="1142" spans="10:11" x14ac:dyDescent="0.25">
      <c r="J1142" s="903">
        <f t="shared" si="22"/>
        <v>1138</v>
      </c>
      <c r="K1142" s="566">
        <v>15</v>
      </c>
    </row>
    <row r="1143" spans="10:11" x14ac:dyDescent="0.25">
      <c r="J1143" s="903">
        <f t="shared" si="22"/>
        <v>1139</v>
      </c>
      <c r="K1143" s="566">
        <v>15</v>
      </c>
    </row>
    <row r="1144" spans="10:11" x14ac:dyDescent="0.25">
      <c r="J1144" s="903">
        <f t="shared" si="22"/>
        <v>1140</v>
      </c>
      <c r="K1144" s="566">
        <v>15</v>
      </c>
    </row>
    <row r="1145" spans="10:11" x14ac:dyDescent="0.25">
      <c r="J1145" s="903">
        <f t="shared" si="22"/>
        <v>1141</v>
      </c>
      <c r="K1145" s="566">
        <v>15</v>
      </c>
    </row>
    <row r="1146" spans="10:11" x14ac:dyDescent="0.25">
      <c r="J1146" s="903">
        <f t="shared" si="22"/>
        <v>1142</v>
      </c>
      <c r="K1146" s="566">
        <v>15</v>
      </c>
    </row>
    <row r="1147" spans="10:11" x14ac:dyDescent="0.25">
      <c r="J1147" s="903">
        <f t="shared" si="22"/>
        <v>1143</v>
      </c>
      <c r="K1147" s="566">
        <v>15</v>
      </c>
    </row>
    <row r="1148" spans="10:11" x14ac:dyDescent="0.25">
      <c r="J1148" s="903">
        <f t="shared" si="22"/>
        <v>1144</v>
      </c>
      <c r="K1148" s="566">
        <v>15</v>
      </c>
    </row>
    <row r="1149" spans="10:11" x14ac:dyDescent="0.25">
      <c r="J1149" s="903">
        <f t="shared" si="22"/>
        <v>1145</v>
      </c>
      <c r="K1149" s="566">
        <v>15</v>
      </c>
    </row>
    <row r="1150" spans="10:11" x14ac:dyDescent="0.25">
      <c r="J1150" s="903">
        <f t="shared" si="22"/>
        <v>1146</v>
      </c>
      <c r="K1150" s="566">
        <v>15</v>
      </c>
    </row>
    <row r="1151" spans="10:11" x14ac:dyDescent="0.25">
      <c r="J1151" s="903">
        <f t="shared" si="22"/>
        <v>1147</v>
      </c>
      <c r="K1151" s="566">
        <v>15</v>
      </c>
    </row>
    <row r="1152" spans="10:11" x14ac:dyDescent="0.25">
      <c r="J1152" s="903">
        <f t="shared" si="22"/>
        <v>1148</v>
      </c>
      <c r="K1152" s="566">
        <v>15</v>
      </c>
    </row>
    <row r="1153" spans="10:11" x14ac:dyDescent="0.25">
      <c r="J1153" s="903">
        <f t="shared" si="22"/>
        <v>1149</v>
      </c>
      <c r="K1153" s="566">
        <v>15</v>
      </c>
    </row>
    <row r="1154" spans="10:11" x14ac:dyDescent="0.25">
      <c r="J1154" s="903">
        <f t="shared" si="22"/>
        <v>1150</v>
      </c>
      <c r="K1154" s="566">
        <v>15</v>
      </c>
    </row>
    <row r="1155" spans="10:11" x14ac:dyDescent="0.25">
      <c r="J1155" s="903">
        <f t="shared" si="22"/>
        <v>1151</v>
      </c>
      <c r="K1155" s="566">
        <v>15</v>
      </c>
    </row>
    <row r="1156" spans="10:11" x14ac:dyDescent="0.25">
      <c r="J1156" s="903">
        <f t="shared" si="22"/>
        <v>1152</v>
      </c>
      <c r="K1156" s="566">
        <v>15</v>
      </c>
    </row>
    <row r="1157" spans="10:11" x14ac:dyDescent="0.25">
      <c r="J1157" s="903">
        <f t="shared" si="22"/>
        <v>1153</v>
      </c>
      <c r="K1157" s="566">
        <v>15</v>
      </c>
    </row>
    <row r="1158" spans="10:11" x14ac:dyDescent="0.25">
      <c r="J1158" s="903">
        <f t="shared" si="22"/>
        <v>1154</v>
      </c>
      <c r="K1158" s="566">
        <v>15</v>
      </c>
    </row>
    <row r="1159" spans="10:11" x14ac:dyDescent="0.25">
      <c r="J1159" s="903">
        <f t="shared" si="22"/>
        <v>1155</v>
      </c>
      <c r="K1159" s="566">
        <v>15</v>
      </c>
    </row>
    <row r="1160" spans="10:11" x14ac:dyDescent="0.25">
      <c r="J1160" s="903">
        <f t="shared" si="22"/>
        <v>1156</v>
      </c>
      <c r="K1160" s="566">
        <v>15</v>
      </c>
    </row>
    <row r="1161" spans="10:11" x14ac:dyDescent="0.25">
      <c r="J1161" s="903">
        <f t="shared" si="22"/>
        <v>1157</v>
      </c>
      <c r="K1161" s="566">
        <v>15</v>
      </c>
    </row>
    <row r="1162" spans="10:11" x14ac:dyDescent="0.25">
      <c r="J1162" s="903">
        <f t="shared" si="22"/>
        <v>1158</v>
      </c>
      <c r="K1162" s="566">
        <v>15</v>
      </c>
    </row>
    <row r="1163" spans="10:11" x14ac:dyDescent="0.25">
      <c r="J1163" s="903">
        <f t="shared" si="22"/>
        <v>1159</v>
      </c>
      <c r="K1163" s="566">
        <v>15</v>
      </c>
    </row>
    <row r="1164" spans="10:11" x14ac:dyDescent="0.25">
      <c r="J1164" s="903">
        <f t="shared" si="22"/>
        <v>1160</v>
      </c>
      <c r="K1164" s="566">
        <v>15</v>
      </c>
    </row>
    <row r="1165" spans="10:11" x14ac:dyDescent="0.25">
      <c r="J1165" s="903">
        <f t="shared" si="22"/>
        <v>1161</v>
      </c>
      <c r="K1165" s="566">
        <v>15</v>
      </c>
    </row>
    <row r="1166" spans="10:11" x14ac:dyDescent="0.25">
      <c r="J1166" s="903">
        <f t="shared" si="22"/>
        <v>1162</v>
      </c>
      <c r="K1166" s="566">
        <v>15</v>
      </c>
    </row>
    <row r="1167" spans="10:11" x14ac:dyDescent="0.25">
      <c r="J1167" s="903">
        <f t="shared" si="22"/>
        <v>1163</v>
      </c>
      <c r="K1167" s="566">
        <v>15</v>
      </c>
    </row>
    <row r="1168" spans="10:11" x14ac:dyDescent="0.25">
      <c r="J1168" s="903">
        <f t="shared" si="22"/>
        <v>1164</v>
      </c>
      <c r="K1168" s="566">
        <v>15</v>
      </c>
    </row>
    <row r="1169" spans="10:11" x14ac:dyDescent="0.25">
      <c r="J1169" s="903">
        <f t="shared" si="22"/>
        <v>1165</v>
      </c>
      <c r="K1169" s="566">
        <v>15</v>
      </c>
    </row>
    <row r="1170" spans="10:11" x14ac:dyDescent="0.25">
      <c r="J1170" s="903">
        <f t="shared" si="22"/>
        <v>1166</v>
      </c>
      <c r="K1170" s="566">
        <v>15</v>
      </c>
    </row>
    <row r="1171" spans="10:11" x14ac:dyDescent="0.25">
      <c r="J1171" s="903">
        <f t="shared" si="22"/>
        <v>1167</v>
      </c>
      <c r="K1171" s="566">
        <v>15</v>
      </c>
    </row>
    <row r="1172" spans="10:11" x14ac:dyDescent="0.25">
      <c r="J1172" s="903">
        <f t="shared" si="22"/>
        <v>1168</v>
      </c>
      <c r="K1172" s="566">
        <v>15</v>
      </c>
    </row>
    <row r="1173" spans="10:11" x14ac:dyDescent="0.25">
      <c r="J1173" s="903">
        <f t="shared" ref="J1173:J1236" si="23">J1172+1</f>
        <v>1169</v>
      </c>
      <c r="K1173" s="566">
        <v>15</v>
      </c>
    </row>
    <row r="1174" spans="10:11" x14ac:dyDescent="0.25">
      <c r="J1174" s="903">
        <f t="shared" si="23"/>
        <v>1170</v>
      </c>
      <c r="K1174" s="566">
        <v>15</v>
      </c>
    </row>
    <row r="1175" spans="10:11" x14ac:dyDescent="0.25">
      <c r="J1175" s="903">
        <f t="shared" si="23"/>
        <v>1171</v>
      </c>
      <c r="K1175" s="566">
        <v>15</v>
      </c>
    </row>
    <row r="1176" spans="10:11" x14ac:dyDescent="0.25">
      <c r="J1176" s="903">
        <f t="shared" si="23"/>
        <v>1172</v>
      </c>
      <c r="K1176" s="566">
        <v>15</v>
      </c>
    </row>
    <row r="1177" spans="10:11" x14ac:dyDescent="0.25">
      <c r="J1177" s="903">
        <f t="shared" si="23"/>
        <v>1173</v>
      </c>
      <c r="K1177" s="566">
        <v>15</v>
      </c>
    </row>
    <row r="1178" spans="10:11" x14ac:dyDescent="0.25">
      <c r="J1178" s="903">
        <f t="shared" si="23"/>
        <v>1174</v>
      </c>
      <c r="K1178" s="566">
        <v>15</v>
      </c>
    </row>
    <row r="1179" spans="10:11" x14ac:dyDescent="0.25">
      <c r="J1179" s="903">
        <f t="shared" si="23"/>
        <v>1175</v>
      </c>
      <c r="K1179" s="566">
        <v>15</v>
      </c>
    </row>
    <row r="1180" spans="10:11" x14ac:dyDescent="0.25">
      <c r="J1180" s="903">
        <f t="shared" si="23"/>
        <v>1176</v>
      </c>
      <c r="K1180" s="566">
        <v>15</v>
      </c>
    </row>
    <row r="1181" spans="10:11" x14ac:dyDescent="0.25">
      <c r="J1181" s="903">
        <f t="shared" si="23"/>
        <v>1177</v>
      </c>
      <c r="K1181" s="566">
        <v>15</v>
      </c>
    </row>
    <row r="1182" spans="10:11" x14ac:dyDescent="0.25">
      <c r="J1182" s="903">
        <f t="shared" si="23"/>
        <v>1178</v>
      </c>
      <c r="K1182" s="566">
        <v>15</v>
      </c>
    </row>
    <row r="1183" spans="10:11" x14ac:dyDescent="0.25">
      <c r="J1183" s="903">
        <f t="shared" si="23"/>
        <v>1179</v>
      </c>
      <c r="K1183" s="566">
        <v>15</v>
      </c>
    </row>
    <row r="1184" spans="10:11" x14ac:dyDescent="0.25">
      <c r="J1184" s="903">
        <f t="shared" si="23"/>
        <v>1180</v>
      </c>
      <c r="K1184" s="566">
        <v>15</v>
      </c>
    </row>
    <row r="1185" spans="10:11" x14ac:dyDescent="0.25">
      <c r="J1185" s="903">
        <f t="shared" si="23"/>
        <v>1181</v>
      </c>
      <c r="K1185" s="566">
        <v>15</v>
      </c>
    </row>
    <row r="1186" spans="10:11" x14ac:dyDescent="0.25">
      <c r="J1186" s="903">
        <f t="shared" si="23"/>
        <v>1182</v>
      </c>
      <c r="K1186" s="566">
        <v>15</v>
      </c>
    </row>
    <row r="1187" spans="10:11" x14ac:dyDescent="0.25">
      <c r="J1187" s="903">
        <f t="shared" si="23"/>
        <v>1183</v>
      </c>
      <c r="K1187" s="566">
        <v>15</v>
      </c>
    </row>
    <row r="1188" spans="10:11" x14ac:dyDescent="0.25">
      <c r="J1188" s="903">
        <f t="shared" si="23"/>
        <v>1184</v>
      </c>
      <c r="K1188" s="566">
        <v>15</v>
      </c>
    </row>
    <row r="1189" spans="10:11" x14ac:dyDescent="0.25">
      <c r="J1189" s="903">
        <f t="shared" si="23"/>
        <v>1185</v>
      </c>
      <c r="K1189" s="566">
        <v>15</v>
      </c>
    </row>
    <row r="1190" spans="10:11" x14ac:dyDescent="0.25">
      <c r="J1190" s="903">
        <f t="shared" si="23"/>
        <v>1186</v>
      </c>
      <c r="K1190" s="566">
        <v>15</v>
      </c>
    </row>
    <row r="1191" spans="10:11" x14ac:dyDescent="0.25">
      <c r="J1191" s="903">
        <f t="shared" si="23"/>
        <v>1187</v>
      </c>
      <c r="K1191" s="566">
        <v>15</v>
      </c>
    </row>
    <row r="1192" spans="10:11" x14ac:dyDescent="0.25">
      <c r="J1192" s="903">
        <f t="shared" si="23"/>
        <v>1188</v>
      </c>
      <c r="K1192" s="566">
        <v>15</v>
      </c>
    </row>
    <row r="1193" spans="10:11" x14ac:dyDescent="0.25">
      <c r="J1193" s="903">
        <f t="shared" si="23"/>
        <v>1189</v>
      </c>
      <c r="K1193" s="566">
        <v>15</v>
      </c>
    </row>
    <row r="1194" spans="10:11" x14ac:dyDescent="0.25">
      <c r="J1194" s="903">
        <f t="shared" si="23"/>
        <v>1190</v>
      </c>
      <c r="K1194" s="566">
        <v>15</v>
      </c>
    </row>
    <row r="1195" spans="10:11" x14ac:dyDescent="0.25">
      <c r="J1195" s="903">
        <f t="shared" si="23"/>
        <v>1191</v>
      </c>
      <c r="K1195" s="566">
        <v>15</v>
      </c>
    </row>
    <row r="1196" spans="10:11" x14ac:dyDescent="0.25">
      <c r="J1196" s="903">
        <f t="shared" si="23"/>
        <v>1192</v>
      </c>
      <c r="K1196" s="566">
        <v>15</v>
      </c>
    </row>
    <row r="1197" spans="10:11" x14ac:dyDescent="0.25">
      <c r="J1197" s="903">
        <f t="shared" si="23"/>
        <v>1193</v>
      </c>
      <c r="K1197" s="566">
        <v>15</v>
      </c>
    </row>
    <row r="1198" spans="10:11" x14ac:dyDescent="0.25">
      <c r="J1198" s="903">
        <f t="shared" si="23"/>
        <v>1194</v>
      </c>
      <c r="K1198" s="566">
        <v>15</v>
      </c>
    </row>
    <row r="1199" spans="10:11" x14ac:dyDescent="0.25">
      <c r="J1199" s="903">
        <f t="shared" si="23"/>
        <v>1195</v>
      </c>
      <c r="K1199" s="566">
        <v>15</v>
      </c>
    </row>
    <row r="1200" spans="10:11" x14ac:dyDescent="0.25">
      <c r="J1200" s="903">
        <f t="shared" si="23"/>
        <v>1196</v>
      </c>
      <c r="K1200" s="566">
        <v>15</v>
      </c>
    </row>
    <row r="1201" spans="10:11" x14ac:dyDescent="0.25">
      <c r="J1201" s="903">
        <f t="shared" si="23"/>
        <v>1197</v>
      </c>
      <c r="K1201" s="566">
        <v>15</v>
      </c>
    </row>
    <row r="1202" spans="10:11" x14ac:dyDescent="0.25">
      <c r="J1202" s="903">
        <f t="shared" si="23"/>
        <v>1198</v>
      </c>
      <c r="K1202" s="566">
        <v>15</v>
      </c>
    </row>
    <row r="1203" spans="10:11" x14ac:dyDescent="0.25">
      <c r="J1203" s="903">
        <f t="shared" si="23"/>
        <v>1199</v>
      </c>
      <c r="K1203" s="566">
        <v>15</v>
      </c>
    </row>
    <row r="1204" spans="10:11" x14ac:dyDescent="0.25">
      <c r="J1204" s="903">
        <f t="shared" si="23"/>
        <v>1200</v>
      </c>
      <c r="K1204" s="566">
        <v>15</v>
      </c>
    </row>
    <row r="1205" spans="10:11" x14ac:dyDescent="0.25">
      <c r="J1205" s="903">
        <f t="shared" si="23"/>
        <v>1201</v>
      </c>
      <c r="K1205" s="566">
        <v>15</v>
      </c>
    </row>
    <row r="1206" spans="10:11" x14ac:dyDescent="0.25">
      <c r="J1206" s="903">
        <f t="shared" si="23"/>
        <v>1202</v>
      </c>
      <c r="K1206" s="566">
        <v>15</v>
      </c>
    </row>
    <row r="1207" spans="10:11" x14ac:dyDescent="0.25">
      <c r="J1207" s="903">
        <f t="shared" si="23"/>
        <v>1203</v>
      </c>
      <c r="K1207" s="566">
        <v>15</v>
      </c>
    </row>
    <row r="1208" spans="10:11" x14ac:dyDescent="0.25">
      <c r="J1208" s="903">
        <f t="shared" si="23"/>
        <v>1204</v>
      </c>
      <c r="K1208" s="566">
        <v>15</v>
      </c>
    </row>
    <row r="1209" spans="10:11" x14ac:dyDescent="0.25">
      <c r="J1209" s="903">
        <f t="shared" si="23"/>
        <v>1205</v>
      </c>
      <c r="K1209" s="566">
        <v>15</v>
      </c>
    </row>
    <row r="1210" spans="10:11" x14ac:dyDescent="0.25">
      <c r="J1210" s="903">
        <f t="shared" si="23"/>
        <v>1206</v>
      </c>
      <c r="K1210" s="566">
        <v>15</v>
      </c>
    </row>
    <row r="1211" spans="10:11" x14ac:dyDescent="0.25">
      <c r="J1211" s="903">
        <f t="shared" si="23"/>
        <v>1207</v>
      </c>
      <c r="K1211" s="566">
        <v>15</v>
      </c>
    </row>
    <row r="1212" spans="10:11" x14ac:dyDescent="0.25">
      <c r="J1212" s="903">
        <f t="shared" si="23"/>
        <v>1208</v>
      </c>
      <c r="K1212" s="566">
        <v>15</v>
      </c>
    </row>
    <row r="1213" spans="10:11" x14ac:dyDescent="0.25">
      <c r="J1213" s="903">
        <f t="shared" si="23"/>
        <v>1209</v>
      </c>
      <c r="K1213" s="566">
        <v>15</v>
      </c>
    </row>
    <row r="1214" spans="10:11" x14ac:dyDescent="0.25">
      <c r="J1214" s="903">
        <f t="shared" si="23"/>
        <v>1210</v>
      </c>
      <c r="K1214" s="566">
        <v>15</v>
      </c>
    </row>
    <row r="1215" spans="10:11" x14ac:dyDescent="0.25">
      <c r="J1215" s="903">
        <f t="shared" si="23"/>
        <v>1211</v>
      </c>
      <c r="K1215" s="566">
        <v>15</v>
      </c>
    </row>
    <row r="1216" spans="10:11" x14ac:dyDescent="0.25">
      <c r="J1216" s="903">
        <f t="shared" si="23"/>
        <v>1212</v>
      </c>
      <c r="K1216" s="566">
        <v>15</v>
      </c>
    </row>
    <row r="1217" spans="10:11" x14ac:dyDescent="0.25">
      <c r="J1217" s="903">
        <f t="shared" si="23"/>
        <v>1213</v>
      </c>
      <c r="K1217" s="566">
        <v>15</v>
      </c>
    </row>
    <row r="1218" spans="10:11" x14ac:dyDescent="0.25">
      <c r="J1218" s="903">
        <f t="shared" si="23"/>
        <v>1214</v>
      </c>
      <c r="K1218" s="566">
        <v>15</v>
      </c>
    </row>
    <row r="1219" spans="10:11" x14ac:dyDescent="0.25">
      <c r="J1219" s="903">
        <f t="shared" si="23"/>
        <v>1215</v>
      </c>
      <c r="K1219" s="566">
        <v>15</v>
      </c>
    </row>
    <row r="1220" spans="10:11" x14ac:dyDescent="0.25">
      <c r="J1220" s="903">
        <f t="shared" si="23"/>
        <v>1216</v>
      </c>
      <c r="K1220" s="566">
        <v>15</v>
      </c>
    </row>
    <row r="1221" spans="10:11" x14ac:dyDescent="0.25">
      <c r="J1221" s="903">
        <f t="shared" si="23"/>
        <v>1217</v>
      </c>
      <c r="K1221" s="566">
        <v>15</v>
      </c>
    </row>
    <row r="1222" spans="10:11" x14ac:dyDescent="0.25">
      <c r="J1222" s="903">
        <f t="shared" si="23"/>
        <v>1218</v>
      </c>
      <c r="K1222" s="566">
        <v>15</v>
      </c>
    </row>
    <row r="1223" spans="10:11" x14ac:dyDescent="0.25">
      <c r="J1223" s="903">
        <f t="shared" si="23"/>
        <v>1219</v>
      </c>
      <c r="K1223" s="566">
        <v>15</v>
      </c>
    </row>
    <row r="1224" spans="10:11" x14ac:dyDescent="0.25">
      <c r="J1224" s="903">
        <f t="shared" si="23"/>
        <v>1220</v>
      </c>
      <c r="K1224" s="566">
        <v>15</v>
      </c>
    </row>
    <row r="1225" spans="10:11" x14ac:dyDescent="0.25">
      <c r="J1225" s="903">
        <f t="shared" si="23"/>
        <v>1221</v>
      </c>
      <c r="K1225" s="566">
        <v>15</v>
      </c>
    </row>
    <row r="1226" spans="10:11" x14ac:dyDescent="0.25">
      <c r="J1226" s="903">
        <f t="shared" si="23"/>
        <v>1222</v>
      </c>
      <c r="K1226" s="566">
        <v>15</v>
      </c>
    </row>
    <row r="1227" spans="10:11" x14ac:dyDescent="0.25">
      <c r="J1227" s="903">
        <f t="shared" si="23"/>
        <v>1223</v>
      </c>
      <c r="K1227" s="566">
        <v>15</v>
      </c>
    </row>
    <row r="1228" spans="10:11" x14ac:dyDescent="0.25">
      <c r="J1228" s="903">
        <f t="shared" si="23"/>
        <v>1224</v>
      </c>
      <c r="K1228" s="566">
        <v>15</v>
      </c>
    </row>
    <row r="1229" spans="10:11" x14ac:dyDescent="0.25">
      <c r="J1229" s="903">
        <f t="shared" si="23"/>
        <v>1225</v>
      </c>
      <c r="K1229" s="566">
        <v>15</v>
      </c>
    </row>
    <row r="1230" spans="10:11" x14ac:dyDescent="0.25">
      <c r="J1230" s="903">
        <f t="shared" si="23"/>
        <v>1226</v>
      </c>
      <c r="K1230" s="566">
        <v>15</v>
      </c>
    </row>
    <row r="1231" spans="10:11" x14ac:dyDescent="0.25">
      <c r="J1231" s="903">
        <f t="shared" si="23"/>
        <v>1227</v>
      </c>
      <c r="K1231" s="566">
        <v>15</v>
      </c>
    </row>
    <row r="1232" spans="10:11" x14ac:dyDescent="0.25">
      <c r="J1232" s="903">
        <f t="shared" si="23"/>
        <v>1228</v>
      </c>
      <c r="K1232" s="566">
        <v>15</v>
      </c>
    </row>
    <row r="1233" spans="10:11" x14ac:dyDescent="0.25">
      <c r="J1233" s="903">
        <f t="shared" si="23"/>
        <v>1229</v>
      </c>
      <c r="K1233" s="566">
        <v>15</v>
      </c>
    </row>
    <row r="1234" spans="10:11" x14ac:dyDescent="0.25">
      <c r="J1234" s="903">
        <f t="shared" si="23"/>
        <v>1230</v>
      </c>
      <c r="K1234" s="566">
        <v>15</v>
      </c>
    </row>
    <row r="1235" spans="10:11" x14ac:dyDescent="0.25">
      <c r="J1235" s="903">
        <f t="shared" si="23"/>
        <v>1231</v>
      </c>
      <c r="K1235" s="566">
        <v>15</v>
      </c>
    </row>
    <row r="1236" spans="10:11" x14ac:dyDescent="0.25">
      <c r="J1236" s="903">
        <f t="shared" si="23"/>
        <v>1232</v>
      </c>
      <c r="K1236" s="566">
        <v>15</v>
      </c>
    </row>
    <row r="1237" spans="10:11" x14ac:dyDescent="0.25">
      <c r="J1237" s="903">
        <f t="shared" ref="J1237:J1300" si="24">J1236+1</f>
        <v>1233</v>
      </c>
      <c r="K1237" s="566">
        <v>15</v>
      </c>
    </row>
    <row r="1238" spans="10:11" x14ac:dyDescent="0.25">
      <c r="J1238" s="903">
        <f t="shared" si="24"/>
        <v>1234</v>
      </c>
      <c r="K1238" s="566">
        <v>15</v>
      </c>
    </row>
    <row r="1239" spans="10:11" x14ac:dyDescent="0.25">
      <c r="J1239" s="903">
        <f t="shared" si="24"/>
        <v>1235</v>
      </c>
      <c r="K1239" s="566">
        <v>15</v>
      </c>
    </row>
    <row r="1240" spans="10:11" x14ac:dyDescent="0.25">
      <c r="J1240" s="903">
        <f t="shared" si="24"/>
        <v>1236</v>
      </c>
      <c r="K1240" s="566">
        <v>15</v>
      </c>
    </row>
    <row r="1241" spans="10:11" x14ac:dyDescent="0.25">
      <c r="J1241" s="903">
        <f t="shared" si="24"/>
        <v>1237</v>
      </c>
      <c r="K1241" s="566">
        <v>15</v>
      </c>
    </row>
    <row r="1242" spans="10:11" x14ac:dyDescent="0.25">
      <c r="J1242" s="903">
        <f t="shared" si="24"/>
        <v>1238</v>
      </c>
      <c r="K1242" s="566">
        <v>15</v>
      </c>
    </row>
    <row r="1243" spans="10:11" x14ac:dyDescent="0.25">
      <c r="J1243" s="903">
        <f t="shared" si="24"/>
        <v>1239</v>
      </c>
      <c r="K1243" s="566">
        <v>15</v>
      </c>
    </row>
    <row r="1244" spans="10:11" x14ac:dyDescent="0.25">
      <c r="J1244" s="903">
        <f t="shared" si="24"/>
        <v>1240</v>
      </c>
      <c r="K1244" s="566">
        <v>15</v>
      </c>
    </row>
    <row r="1245" spans="10:11" x14ac:dyDescent="0.25">
      <c r="J1245" s="903">
        <f t="shared" si="24"/>
        <v>1241</v>
      </c>
      <c r="K1245" s="566">
        <v>15</v>
      </c>
    </row>
    <row r="1246" spans="10:11" x14ac:dyDescent="0.25">
      <c r="J1246" s="903">
        <f t="shared" si="24"/>
        <v>1242</v>
      </c>
      <c r="K1246" s="566">
        <v>15</v>
      </c>
    </row>
    <row r="1247" spans="10:11" x14ac:dyDescent="0.25">
      <c r="J1247" s="903">
        <f t="shared" si="24"/>
        <v>1243</v>
      </c>
      <c r="K1247" s="566">
        <v>15</v>
      </c>
    </row>
    <row r="1248" spans="10:11" x14ac:dyDescent="0.25">
      <c r="J1248" s="903">
        <f t="shared" si="24"/>
        <v>1244</v>
      </c>
      <c r="K1248" s="566">
        <v>15</v>
      </c>
    </row>
    <row r="1249" spans="10:11" x14ac:dyDescent="0.25">
      <c r="J1249" s="903">
        <f t="shared" si="24"/>
        <v>1245</v>
      </c>
      <c r="K1249" s="566">
        <v>15</v>
      </c>
    </row>
    <row r="1250" spans="10:11" x14ac:dyDescent="0.25">
      <c r="J1250" s="903">
        <f t="shared" si="24"/>
        <v>1246</v>
      </c>
      <c r="K1250" s="566">
        <v>15</v>
      </c>
    </row>
    <row r="1251" spans="10:11" x14ac:dyDescent="0.25">
      <c r="J1251" s="903">
        <f t="shared" si="24"/>
        <v>1247</v>
      </c>
      <c r="K1251" s="566">
        <v>15</v>
      </c>
    </row>
    <row r="1252" spans="10:11" x14ac:dyDescent="0.25">
      <c r="J1252" s="903">
        <f t="shared" si="24"/>
        <v>1248</v>
      </c>
      <c r="K1252" s="566">
        <v>15</v>
      </c>
    </row>
    <row r="1253" spans="10:11" x14ac:dyDescent="0.25">
      <c r="J1253" s="903">
        <f t="shared" si="24"/>
        <v>1249</v>
      </c>
      <c r="K1253" s="566">
        <v>15</v>
      </c>
    </row>
    <row r="1254" spans="10:11" x14ac:dyDescent="0.25">
      <c r="J1254" s="903">
        <f t="shared" si="24"/>
        <v>1250</v>
      </c>
      <c r="K1254" s="566">
        <v>15</v>
      </c>
    </row>
    <row r="1255" spans="10:11" x14ac:dyDescent="0.25">
      <c r="J1255" s="903">
        <f t="shared" si="24"/>
        <v>1251</v>
      </c>
      <c r="K1255" s="566">
        <v>15</v>
      </c>
    </row>
    <row r="1256" spans="10:11" x14ac:dyDescent="0.25">
      <c r="J1256" s="903">
        <f t="shared" si="24"/>
        <v>1252</v>
      </c>
      <c r="K1256" s="566">
        <v>15</v>
      </c>
    </row>
    <row r="1257" spans="10:11" x14ac:dyDescent="0.25">
      <c r="J1257" s="903">
        <f t="shared" si="24"/>
        <v>1253</v>
      </c>
      <c r="K1257" s="566">
        <v>15</v>
      </c>
    </row>
    <row r="1258" spans="10:11" x14ac:dyDescent="0.25">
      <c r="J1258" s="903">
        <f t="shared" si="24"/>
        <v>1254</v>
      </c>
      <c r="K1258" s="566">
        <v>15</v>
      </c>
    </row>
    <row r="1259" spans="10:11" x14ac:dyDescent="0.25">
      <c r="J1259" s="903">
        <f t="shared" si="24"/>
        <v>1255</v>
      </c>
      <c r="K1259" s="566">
        <v>15</v>
      </c>
    </row>
    <row r="1260" spans="10:11" x14ac:dyDescent="0.25">
      <c r="J1260" s="903">
        <f t="shared" si="24"/>
        <v>1256</v>
      </c>
      <c r="K1260" s="566">
        <v>15</v>
      </c>
    </row>
    <row r="1261" spans="10:11" x14ac:dyDescent="0.25">
      <c r="J1261" s="903">
        <f t="shared" si="24"/>
        <v>1257</v>
      </c>
      <c r="K1261" s="566">
        <v>15</v>
      </c>
    </row>
    <row r="1262" spans="10:11" x14ac:dyDescent="0.25">
      <c r="J1262" s="903">
        <f t="shared" si="24"/>
        <v>1258</v>
      </c>
      <c r="K1262" s="566">
        <v>15</v>
      </c>
    </row>
    <row r="1263" spans="10:11" x14ac:dyDescent="0.25">
      <c r="J1263" s="903">
        <f t="shared" si="24"/>
        <v>1259</v>
      </c>
      <c r="K1263" s="566">
        <v>15</v>
      </c>
    </row>
    <row r="1264" spans="10:11" x14ac:dyDescent="0.25">
      <c r="J1264" s="903">
        <f t="shared" si="24"/>
        <v>1260</v>
      </c>
      <c r="K1264" s="566">
        <v>15</v>
      </c>
    </row>
    <row r="1265" spans="10:11" x14ac:dyDescent="0.25">
      <c r="J1265" s="903">
        <f t="shared" si="24"/>
        <v>1261</v>
      </c>
      <c r="K1265" s="566">
        <v>15</v>
      </c>
    </row>
    <row r="1266" spans="10:11" x14ac:dyDescent="0.25">
      <c r="J1266" s="903">
        <f t="shared" si="24"/>
        <v>1262</v>
      </c>
      <c r="K1266" s="566">
        <v>15</v>
      </c>
    </row>
    <row r="1267" spans="10:11" x14ac:dyDescent="0.25">
      <c r="J1267" s="903">
        <f t="shared" si="24"/>
        <v>1263</v>
      </c>
      <c r="K1267" s="566">
        <v>15</v>
      </c>
    </row>
    <row r="1268" spans="10:11" x14ac:dyDescent="0.25">
      <c r="J1268" s="903">
        <f t="shared" si="24"/>
        <v>1264</v>
      </c>
      <c r="K1268" s="566">
        <v>15</v>
      </c>
    </row>
    <row r="1269" spans="10:11" x14ac:dyDescent="0.25">
      <c r="J1269" s="903">
        <f t="shared" si="24"/>
        <v>1265</v>
      </c>
      <c r="K1269" s="566">
        <v>15</v>
      </c>
    </row>
    <row r="1270" spans="10:11" x14ac:dyDescent="0.25">
      <c r="J1270" s="903">
        <f t="shared" si="24"/>
        <v>1266</v>
      </c>
      <c r="K1270" s="566">
        <v>15</v>
      </c>
    </row>
    <row r="1271" spans="10:11" x14ac:dyDescent="0.25">
      <c r="J1271" s="903">
        <f t="shared" si="24"/>
        <v>1267</v>
      </c>
      <c r="K1271" s="566">
        <v>15</v>
      </c>
    </row>
    <row r="1272" spans="10:11" x14ac:dyDescent="0.25">
      <c r="J1272" s="903">
        <f t="shared" si="24"/>
        <v>1268</v>
      </c>
      <c r="K1272" s="566">
        <v>15</v>
      </c>
    </row>
    <row r="1273" spans="10:11" x14ac:dyDescent="0.25">
      <c r="J1273" s="903">
        <f t="shared" si="24"/>
        <v>1269</v>
      </c>
      <c r="K1273" s="566">
        <v>15</v>
      </c>
    </row>
    <row r="1274" spans="10:11" x14ac:dyDescent="0.25">
      <c r="J1274" s="903">
        <f t="shared" si="24"/>
        <v>1270</v>
      </c>
      <c r="K1274" s="566">
        <v>15</v>
      </c>
    </row>
    <row r="1275" spans="10:11" x14ac:dyDescent="0.25">
      <c r="J1275" s="903">
        <f t="shared" si="24"/>
        <v>1271</v>
      </c>
      <c r="K1275" s="566">
        <v>15</v>
      </c>
    </row>
    <row r="1276" spans="10:11" x14ac:dyDescent="0.25">
      <c r="J1276" s="903">
        <f t="shared" si="24"/>
        <v>1272</v>
      </c>
      <c r="K1276" s="566">
        <v>15</v>
      </c>
    </row>
    <row r="1277" spans="10:11" x14ac:dyDescent="0.25">
      <c r="J1277" s="903">
        <f t="shared" si="24"/>
        <v>1273</v>
      </c>
      <c r="K1277" s="566">
        <v>15</v>
      </c>
    </row>
    <row r="1278" spans="10:11" x14ac:dyDescent="0.25">
      <c r="J1278" s="903">
        <f t="shared" si="24"/>
        <v>1274</v>
      </c>
      <c r="K1278" s="566">
        <v>15</v>
      </c>
    </row>
    <row r="1279" spans="10:11" x14ac:dyDescent="0.25">
      <c r="J1279" s="903">
        <f t="shared" si="24"/>
        <v>1275</v>
      </c>
      <c r="K1279" s="566">
        <v>15</v>
      </c>
    </row>
    <row r="1280" spans="10:11" x14ac:dyDescent="0.25">
      <c r="J1280" s="903">
        <f t="shared" si="24"/>
        <v>1276</v>
      </c>
      <c r="K1280" s="566">
        <v>15</v>
      </c>
    </row>
    <row r="1281" spans="10:11" x14ac:dyDescent="0.25">
      <c r="J1281" s="903">
        <f t="shared" si="24"/>
        <v>1277</v>
      </c>
      <c r="K1281" s="566">
        <v>15</v>
      </c>
    </row>
    <row r="1282" spans="10:11" x14ac:dyDescent="0.25">
      <c r="J1282" s="903">
        <f t="shared" si="24"/>
        <v>1278</v>
      </c>
      <c r="K1282" s="566">
        <v>15</v>
      </c>
    </row>
    <row r="1283" spans="10:11" x14ac:dyDescent="0.25">
      <c r="J1283" s="903">
        <f t="shared" si="24"/>
        <v>1279</v>
      </c>
      <c r="K1283" s="566">
        <v>15</v>
      </c>
    </row>
    <row r="1284" spans="10:11" x14ac:dyDescent="0.25">
      <c r="J1284" s="903">
        <f t="shared" si="24"/>
        <v>1280</v>
      </c>
      <c r="K1284" s="566">
        <v>15</v>
      </c>
    </row>
    <row r="1285" spans="10:11" x14ac:dyDescent="0.25">
      <c r="J1285" s="903">
        <f t="shared" si="24"/>
        <v>1281</v>
      </c>
      <c r="K1285" s="566">
        <v>15</v>
      </c>
    </row>
    <row r="1286" spans="10:11" x14ac:dyDescent="0.25">
      <c r="J1286" s="903">
        <f t="shared" si="24"/>
        <v>1282</v>
      </c>
      <c r="K1286" s="566">
        <v>15</v>
      </c>
    </row>
    <row r="1287" spans="10:11" x14ac:dyDescent="0.25">
      <c r="J1287" s="903">
        <f t="shared" si="24"/>
        <v>1283</v>
      </c>
      <c r="K1287" s="566">
        <v>15</v>
      </c>
    </row>
    <row r="1288" spans="10:11" x14ac:dyDescent="0.25">
      <c r="J1288" s="903">
        <f t="shared" si="24"/>
        <v>1284</v>
      </c>
      <c r="K1288" s="566">
        <v>15</v>
      </c>
    </row>
    <row r="1289" spans="10:11" x14ac:dyDescent="0.25">
      <c r="J1289" s="903">
        <f t="shared" si="24"/>
        <v>1285</v>
      </c>
      <c r="K1289" s="566">
        <v>15</v>
      </c>
    </row>
    <row r="1290" spans="10:11" x14ac:dyDescent="0.25">
      <c r="J1290" s="903">
        <f t="shared" si="24"/>
        <v>1286</v>
      </c>
      <c r="K1290" s="566">
        <v>15</v>
      </c>
    </row>
    <row r="1291" spans="10:11" x14ac:dyDescent="0.25">
      <c r="J1291" s="903">
        <f t="shared" si="24"/>
        <v>1287</v>
      </c>
      <c r="K1291" s="566">
        <v>15</v>
      </c>
    </row>
    <row r="1292" spans="10:11" x14ac:dyDescent="0.25">
      <c r="J1292" s="903">
        <f t="shared" si="24"/>
        <v>1288</v>
      </c>
      <c r="K1292" s="566">
        <v>15</v>
      </c>
    </row>
    <row r="1293" spans="10:11" x14ac:dyDescent="0.25">
      <c r="J1293" s="903">
        <f t="shared" si="24"/>
        <v>1289</v>
      </c>
      <c r="K1293" s="566">
        <v>15</v>
      </c>
    </row>
    <row r="1294" spans="10:11" x14ac:dyDescent="0.25">
      <c r="J1294" s="903">
        <f t="shared" si="24"/>
        <v>1290</v>
      </c>
      <c r="K1294" s="566">
        <v>15</v>
      </c>
    </row>
    <row r="1295" spans="10:11" x14ac:dyDescent="0.25">
      <c r="J1295" s="903">
        <f t="shared" si="24"/>
        <v>1291</v>
      </c>
      <c r="K1295" s="566">
        <v>15</v>
      </c>
    </row>
    <row r="1296" spans="10:11" x14ac:dyDescent="0.25">
      <c r="J1296" s="903">
        <f t="shared" si="24"/>
        <v>1292</v>
      </c>
      <c r="K1296" s="566">
        <v>15</v>
      </c>
    </row>
    <row r="1297" spans="10:11" x14ac:dyDescent="0.25">
      <c r="J1297" s="903">
        <f t="shared" si="24"/>
        <v>1293</v>
      </c>
      <c r="K1297" s="566">
        <v>15</v>
      </c>
    </row>
    <row r="1298" spans="10:11" x14ac:dyDescent="0.25">
      <c r="J1298" s="903">
        <f t="shared" si="24"/>
        <v>1294</v>
      </c>
      <c r="K1298" s="566">
        <v>15</v>
      </c>
    </row>
    <row r="1299" spans="10:11" x14ac:dyDescent="0.25">
      <c r="J1299" s="903">
        <f t="shared" si="24"/>
        <v>1295</v>
      </c>
      <c r="K1299" s="566">
        <v>15</v>
      </c>
    </row>
    <row r="1300" spans="10:11" x14ac:dyDescent="0.25">
      <c r="J1300" s="903">
        <f t="shared" si="24"/>
        <v>1296</v>
      </c>
      <c r="K1300" s="566">
        <v>15</v>
      </c>
    </row>
    <row r="1301" spans="10:11" x14ac:dyDescent="0.25">
      <c r="J1301" s="903">
        <f t="shared" ref="J1301:J1364" si="25">J1300+1</f>
        <v>1297</v>
      </c>
      <c r="K1301" s="566">
        <v>15</v>
      </c>
    </row>
    <row r="1302" spans="10:11" x14ac:dyDescent="0.25">
      <c r="J1302" s="903">
        <f t="shared" si="25"/>
        <v>1298</v>
      </c>
      <c r="K1302" s="566">
        <v>15</v>
      </c>
    </row>
    <row r="1303" spans="10:11" x14ac:dyDescent="0.25">
      <c r="J1303" s="903">
        <f t="shared" si="25"/>
        <v>1299</v>
      </c>
      <c r="K1303" s="566">
        <v>15</v>
      </c>
    </row>
    <row r="1304" spans="10:11" x14ac:dyDescent="0.25">
      <c r="J1304" s="903">
        <f t="shared" si="25"/>
        <v>1300</v>
      </c>
      <c r="K1304" s="566">
        <v>15</v>
      </c>
    </row>
    <row r="1305" spans="10:11" x14ac:dyDescent="0.25">
      <c r="J1305" s="903">
        <f t="shared" si="25"/>
        <v>1301</v>
      </c>
      <c r="K1305" s="566">
        <v>15</v>
      </c>
    </row>
    <row r="1306" spans="10:11" x14ac:dyDescent="0.25">
      <c r="J1306" s="903">
        <f t="shared" si="25"/>
        <v>1302</v>
      </c>
      <c r="K1306" s="566">
        <v>15</v>
      </c>
    </row>
    <row r="1307" spans="10:11" x14ac:dyDescent="0.25">
      <c r="J1307" s="903">
        <f t="shared" si="25"/>
        <v>1303</v>
      </c>
      <c r="K1307" s="566">
        <v>15</v>
      </c>
    </row>
    <row r="1308" spans="10:11" x14ac:dyDescent="0.25">
      <c r="J1308" s="903">
        <f t="shared" si="25"/>
        <v>1304</v>
      </c>
      <c r="K1308" s="566">
        <v>15</v>
      </c>
    </row>
    <row r="1309" spans="10:11" x14ac:dyDescent="0.25">
      <c r="J1309" s="903">
        <f t="shared" si="25"/>
        <v>1305</v>
      </c>
      <c r="K1309" s="566">
        <v>15</v>
      </c>
    </row>
    <row r="1310" spans="10:11" x14ac:dyDescent="0.25">
      <c r="J1310" s="903">
        <f t="shared" si="25"/>
        <v>1306</v>
      </c>
      <c r="K1310" s="566">
        <v>15</v>
      </c>
    </row>
    <row r="1311" spans="10:11" x14ac:dyDescent="0.25">
      <c r="J1311" s="903">
        <f t="shared" si="25"/>
        <v>1307</v>
      </c>
      <c r="K1311" s="566">
        <v>15</v>
      </c>
    </row>
    <row r="1312" spans="10:11" x14ac:dyDescent="0.25">
      <c r="J1312" s="903">
        <f t="shared" si="25"/>
        <v>1308</v>
      </c>
      <c r="K1312" s="566">
        <v>15</v>
      </c>
    </row>
    <row r="1313" spans="10:11" x14ac:dyDescent="0.25">
      <c r="J1313" s="903">
        <f t="shared" si="25"/>
        <v>1309</v>
      </c>
      <c r="K1313" s="566">
        <v>15</v>
      </c>
    </row>
    <row r="1314" spans="10:11" x14ac:dyDescent="0.25">
      <c r="J1314" s="903">
        <f t="shared" si="25"/>
        <v>1310</v>
      </c>
      <c r="K1314" s="566">
        <v>15</v>
      </c>
    </row>
    <row r="1315" spans="10:11" x14ac:dyDescent="0.25">
      <c r="J1315" s="903">
        <f t="shared" si="25"/>
        <v>1311</v>
      </c>
      <c r="K1315" s="566">
        <v>15</v>
      </c>
    </row>
    <row r="1316" spans="10:11" x14ac:dyDescent="0.25">
      <c r="J1316" s="903">
        <f t="shared" si="25"/>
        <v>1312</v>
      </c>
      <c r="K1316" s="566">
        <v>15</v>
      </c>
    </row>
    <row r="1317" spans="10:11" x14ac:dyDescent="0.25">
      <c r="J1317" s="903">
        <f t="shared" si="25"/>
        <v>1313</v>
      </c>
      <c r="K1317" s="566">
        <v>15</v>
      </c>
    </row>
    <row r="1318" spans="10:11" x14ac:dyDescent="0.25">
      <c r="J1318" s="903">
        <f t="shared" si="25"/>
        <v>1314</v>
      </c>
      <c r="K1318" s="566">
        <v>15</v>
      </c>
    </row>
    <row r="1319" spans="10:11" x14ac:dyDescent="0.25">
      <c r="J1319" s="903">
        <f t="shared" si="25"/>
        <v>1315</v>
      </c>
      <c r="K1319" s="566">
        <v>15</v>
      </c>
    </row>
    <row r="1320" spans="10:11" x14ac:dyDescent="0.25">
      <c r="J1320" s="903">
        <f t="shared" si="25"/>
        <v>1316</v>
      </c>
      <c r="K1320" s="566">
        <v>15</v>
      </c>
    </row>
    <row r="1321" spans="10:11" x14ac:dyDescent="0.25">
      <c r="J1321" s="903">
        <f t="shared" si="25"/>
        <v>1317</v>
      </c>
      <c r="K1321" s="566">
        <v>15</v>
      </c>
    </row>
    <row r="1322" spans="10:11" x14ac:dyDescent="0.25">
      <c r="J1322" s="903">
        <f t="shared" si="25"/>
        <v>1318</v>
      </c>
      <c r="K1322" s="566">
        <v>15</v>
      </c>
    </row>
    <row r="1323" spans="10:11" x14ac:dyDescent="0.25">
      <c r="J1323" s="903">
        <f t="shared" si="25"/>
        <v>1319</v>
      </c>
      <c r="K1323" s="566">
        <v>15</v>
      </c>
    </row>
    <row r="1324" spans="10:11" x14ac:dyDescent="0.25">
      <c r="J1324" s="903">
        <f t="shared" si="25"/>
        <v>1320</v>
      </c>
      <c r="K1324" s="566">
        <v>15</v>
      </c>
    </row>
    <row r="1325" spans="10:11" x14ac:dyDescent="0.25">
      <c r="J1325" s="903">
        <f t="shared" si="25"/>
        <v>1321</v>
      </c>
      <c r="K1325" s="566">
        <v>15</v>
      </c>
    </row>
    <row r="1326" spans="10:11" x14ac:dyDescent="0.25">
      <c r="J1326" s="903">
        <f t="shared" si="25"/>
        <v>1322</v>
      </c>
      <c r="K1326" s="566">
        <v>15</v>
      </c>
    </row>
    <row r="1327" spans="10:11" x14ac:dyDescent="0.25">
      <c r="J1327" s="903">
        <f t="shared" si="25"/>
        <v>1323</v>
      </c>
      <c r="K1327" s="566">
        <v>15</v>
      </c>
    </row>
    <row r="1328" spans="10:11" x14ac:dyDescent="0.25">
      <c r="J1328" s="903">
        <f t="shared" si="25"/>
        <v>1324</v>
      </c>
      <c r="K1328" s="566">
        <v>15</v>
      </c>
    </row>
    <row r="1329" spans="10:11" x14ac:dyDescent="0.25">
      <c r="J1329" s="903">
        <f t="shared" si="25"/>
        <v>1325</v>
      </c>
      <c r="K1329" s="566">
        <v>15</v>
      </c>
    </row>
    <row r="1330" spans="10:11" x14ac:dyDescent="0.25">
      <c r="J1330" s="903">
        <f t="shared" si="25"/>
        <v>1326</v>
      </c>
      <c r="K1330" s="566">
        <v>15</v>
      </c>
    </row>
    <row r="1331" spans="10:11" x14ac:dyDescent="0.25">
      <c r="J1331" s="903">
        <f t="shared" si="25"/>
        <v>1327</v>
      </c>
      <c r="K1331" s="566">
        <v>15</v>
      </c>
    </row>
    <row r="1332" spans="10:11" x14ac:dyDescent="0.25">
      <c r="J1332" s="903">
        <f t="shared" si="25"/>
        <v>1328</v>
      </c>
      <c r="K1332" s="566">
        <v>15</v>
      </c>
    </row>
    <row r="1333" spans="10:11" x14ac:dyDescent="0.25">
      <c r="J1333" s="903">
        <f t="shared" si="25"/>
        <v>1329</v>
      </c>
      <c r="K1333" s="566">
        <v>15</v>
      </c>
    </row>
    <row r="1334" spans="10:11" x14ac:dyDescent="0.25">
      <c r="J1334" s="903">
        <f t="shared" si="25"/>
        <v>1330</v>
      </c>
      <c r="K1334" s="566">
        <v>15</v>
      </c>
    </row>
    <row r="1335" spans="10:11" x14ac:dyDescent="0.25">
      <c r="J1335" s="903">
        <f t="shared" si="25"/>
        <v>1331</v>
      </c>
      <c r="K1335" s="566">
        <v>15</v>
      </c>
    </row>
    <row r="1336" spans="10:11" x14ac:dyDescent="0.25">
      <c r="J1336" s="903">
        <f t="shared" si="25"/>
        <v>1332</v>
      </c>
      <c r="K1336" s="566">
        <v>15</v>
      </c>
    </row>
    <row r="1337" spans="10:11" x14ac:dyDescent="0.25">
      <c r="J1337" s="903">
        <f t="shared" si="25"/>
        <v>1333</v>
      </c>
      <c r="K1337" s="566">
        <v>15</v>
      </c>
    </row>
    <row r="1338" spans="10:11" x14ac:dyDescent="0.25">
      <c r="J1338" s="903">
        <f t="shared" si="25"/>
        <v>1334</v>
      </c>
      <c r="K1338" s="566">
        <v>15</v>
      </c>
    </row>
    <row r="1339" spans="10:11" x14ac:dyDescent="0.25">
      <c r="J1339" s="903">
        <f t="shared" si="25"/>
        <v>1335</v>
      </c>
      <c r="K1339" s="566">
        <v>15</v>
      </c>
    </row>
    <row r="1340" spans="10:11" x14ac:dyDescent="0.25">
      <c r="J1340" s="903">
        <f t="shared" si="25"/>
        <v>1336</v>
      </c>
      <c r="K1340" s="566">
        <v>15</v>
      </c>
    </row>
    <row r="1341" spans="10:11" x14ac:dyDescent="0.25">
      <c r="J1341" s="903">
        <f t="shared" si="25"/>
        <v>1337</v>
      </c>
      <c r="K1341" s="566">
        <v>15</v>
      </c>
    </row>
    <row r="1342" spans="10:11" x14ac:dyDescent="0.25">
      <c r="J1342" s="903">
        <f t="shared" si="25"/>
        <v>1338</v>
      </c>
      <c r="K1342" s="566">
        <v>15</v>
      </c>
    </row>
    <row r="1343" spans="10:11" x14ac:dyDescent="0.25">
      <c r="J1343" s="903">
        <f t="shared" si="25"/>
        <v>1339</v>
      </c>
      <c r="K1343" s="566">
        <v>15</v>
      </c>
    </row>
    <row r="1344" spans="10:11" x14ac:dyDescent="0.25">
      <c r="J1344" s="903">
        <f t="shared" si="25"/>
        <v>1340</v>
      </c>
      <c r="K1344" s="566">
        <v>15</v>
      </c>
    </row>
    <row r="1345" spans="10:11" x14ac:dyDescent="0.25">
      <c r="J1345" s="903">
        <f t="shared" si="25"/>
        <v>1341</v>
      </c>
      <c r="K1345" s="566">
        <v>15</v>
      </c>
    </row>
    <row r="1346" spans="10:11" x14ac:dyDescent="0.25">
      <c r="J1346" s="903">
        <f t="shared" si="25"/>
        <v>1342</v>
      </c>
      <c r="K1346" s="566">
        <v>15</v>
      </c>
    </row>
    <row r="1347" spans="10:11" x14ac:dyDescent="0.25">
      <c r="J1347" s="903">
        <f t="shared" si="25"/>
        <v>1343</v>
      </c>
      <c r="K1347" s="566">
        <v>15</v>
      </c>
    </row>
    <row r="1348" spans="10:11" x14ac:dyDescent="0.25">
      <c r="J1348" s="903">
        <f t="shared" si="25"/>
        <v>1344</v>
      </c>
      <c r="K1348" s="566">
        <v>15</v>
      </c>
    </row>
    <row r="1349" spans="10:11" x14ac:dyDescent="0.25">
      <c r="J1349" s="903">
        <f t="shared" si="25"/>
        <v>1345</v>
      </c>
      <c r="K1349" s="566">
        <v>15</v>
      </c>
    </row>
    <row r="1350" spans="10:11" x14ac:dyDescent="0.25">
      <c r="J1350" s="903">
        <f t="shared" si="25"/>
        <v>1346</v>
      </c>
      <c r="K1350" s="566">
        <v>15</v>
      </c>
    </row>
    <row r="1351" spans="10:11" x14ac:dyDescent="0.25">
      <c r="J1351" s="903">
        <f t="shared" si="25"/>
        <v>1347</v>
      </c>
      <c r="K1351" s="566">
        <v>15</v>
      </c>
    </row>
    <row r="1352" spans="10:11" x14ac:dyDescent="0.25">
      <c r="J1352" s="903">
        <f t="shared" si="25"/>
        <v>1348</v>
      </c>
      <c r="K1352" s="566">
        <v>15</v>
      </c>
    </row>
    <row r="1353" spans="10:11" x14ac:dyDescent="0.25">
      <c r="J1353" s="903">
        <f t="shared" si="25"/>
        <v>1349</v>
      </c>
      <c r="K1353" s="566">
        <v>15</v>
      </c>
    </row>
    <row r="1354" spans="10:11" x14ac:dyDescent="0.25">
      <c r="J1354" s="903">
        <f t="shared" si="25"/>
        <v>1350</v>
      </c>
      <c r="K1354" s="566">
        <v>15</v>
      </c>
    </row>
    <row r="1355" spans="10:11" x14ac:dyDescent="0.25">
      <c r="J1355" s="903">
        <f t="shared" si="25"/>
        <v>1351</v>
      </c>
      <c r="K1355" s="566">
        <v>15</v>
      </c>
    </row>
    <row r="1356" spans="10:11" x14ac:dyDescent="0.25">
      <c r="J1356" s="903">
        <f t="shared" si="25"/>
        <v>1352</v>
      </c>
      <c r="K1356" s="566">
        <v>15</v>
      </c>
    </row>
    <row r="1357" spans="10:11" x14ac:dyDescent="0.25">
      <c r="J1357" s="903">
        <f t="shared" si="25"/>
        <v>1353</v>
      </c>
      <c r="K1357" s="566">
        <v>15</v>
      </c>
    </row>
    <row r="1358" spans="10:11" x14ac:dyDescent="0.25">
      <c r="J1358" s="903">
        <f t="shared" si="25"/>
        <v>1354</v>
      </c>
      <c r="K1358" s="566">
        <v>15</v>
      </c>
    </row>
    <row r="1359" spans="10:11" x14ac:dyDescent="0.25">
      <c r="J1359" s="903">
        <f t="shared" si="25"/>
        <v>1355</v>
      </c>
      <c r="K1359" s="566">
        <v>16</v>
      </c>
    </row>
    <row r="1360" spans="10:11" x14ac:dyDescent="0.25">
      <c r="J1360" s="903">
        <f t="shared" si="25"/>
        <v>1356</v>
      </c>
      <c r="K1360" s="566">
        <v>16</v>
      </c>
    </row>
    <row r="1361" spans="10:11" x14ac:dyDescent="0.25">
      <c r="J1361" s="903">
        <f t="shared" si="25"/>
        <v>1357</v>
      </c>
      <c r="K1361" s="566">
        <v>16</v>
      </c>
    </row>
    <row r="1362" spans="10:11" x14ac:dyDescent="0.25">
      <c r="J1362" s="903">
        <f t="shared" si="25"/>
        <v>1358</v>
      </c>
      <c r="K1362" s="566">
        <v>16</v>
      </c>
    </row>
    <row r="1363" spans="10:11" x14ac:dyDescent="0.25">
      <c r="J1363" s="903">
        <f t="shared" si="25"/>
        <v>1359</v>
      </c>
      <c r="K1363" s="566">
        <v>16</v>
      </c>
    </row>
    <row r="1364" spans="10:11" x14ac:dyDescent="0.25">
      <c r="J1364" s="903">
        <f t="shared" si="25"/>
        <v>1360</v>
      </c>
      <c r="K1364" s="566">
        <v>16</v>
      </c>
    </row>
    <row r="1365" spans="10:11" x14ac:dyDescent="0.25">
      <c r="J1365" s="903">
        <f t="shared" ref="J1365:J1428" si="26">J1364+1</f>
        <v>1361</v>
      </c>
      <c r="K1365" s="566">
        <v>16</v>
      </c>
    </row>
    <row r="1366" spans="10:11" x14ac:dyDescent="0.25">
      <c r="J1366" s="903">
        <f t="shared" si="26"/>
        <v>1362</v>
      </c>
      <c r="K1366" s="566">
        <v>16</v>
      </c>
    </row>
    <row r="1367" spans="10:11" x14ac:dyDescent="0.25">
      <c r="J1367" s="903">
        <f t="shared" si="26"/>
        <v>1363</v>
      </c>
      <c r="K1367" s="566">
        <v>16</v>
      </c>
    </row>
    <row r="1368" spans="10:11" x14ac:dyDescent="0.25">
      <c r="J1368" s="903">
        <f t="shared" si="26"/>
        <v>1364</v>
      </c>
      <c r="K1368" s="566">
        <v>16</v>
      </c>
    </row>
    <row r="1369" spans="10:11" x14ac:dyDescent="0.25">
      <c r="J1369" s="903">
        <f t="shared" si="26"/>
        <v>1365</v>
      </c>
      <c r="K1369" s="566">
        <v>16</v>
      </c>
    </row>
    <row r="1370" spans="10:11" x14ac:dyDescent="0.25">
      <c r="J1370" s="903">
        <f t="shared" si="26"/>
        <v>1366</v>
      </c>
      <c r="K1370" s="566">
        <v>16</v>
      </c>
    </row>
    <row r="1371" spans="10:11" x14ac:dyDescent="0.25">
      <c r="J1371" s="903">
        <f t="shared" si="26"/>
        <v>1367</v>
      </c>
      <c r="K1371" s="566">
        <v>16</v>
      </c>
    </row>
    <row r="1372" spans="10:11" x14ac:dyDescent="0.25">
      <c r="J1372" s="903">
        <f t="shared" si="26"/>
        <v>1368</v>
      </c>
      <c r="K1372" s="566">
        <v>16</v>
      </c>
    </row>
    <row r="1373" spans="10:11" x14ac:dyDescent="0.25">
      <c r="J1373" s="903">
        <f t="shared" si="26"/>
        <v>1369</v>
      </c>
      <c r="K1373" s="566">
        <v>16</v>
      </c>
    </row>
    <row r="1374" spans="10:11" x14ac:dyDescent="0.25">
      <c r="J1374" s="903">
        <f t="shared" si="26"/>
        <v>1370</v>
      </c>
      <c r="K1374" s="566">
        <v>16</v>
      </c>
    </row>
    <row r="1375" spans="10:11" x14ac:dyDescent="0.25">
      <c r="J1375" s="903">
        <f t="shared" si="26"/>
        <v>1371</v>
      </c>
      <c r="K1375" s="566">
        <v>16</v>
      </c>
    </row>
    <row r="1376" spans="10:11" x14ac:dyDescent="0.25">
      <c r="J1376" s="903">
        <f t="shared" si="26"/>
        <v>1372</v>
      </c>
      <c r="K1376" s="566">
        <v>16</v>
      </c>
    </row>
    <row r="1377" spans="10:11" x14ac:dyDescent="0.25">
      <c r="J1377" s="903">
        <f t="shared" si="26"/>
        <v>1373</v>
      </c>
      <c r="K1377" s="566">
        <v>16</v>
      </c>
    </row>
    <row r="1378" spans="10:11" x14ac:dyDescent="0.25">
      <c r="J1378" s="903">
        <f t="shared" si="26"/>
        <v>1374</v>
      </c>
      <c r="K1378" s="566">
        <v>16</v>
      </c>
    </row>
    <row r="1379" spans="10:11" x14ac:dyDescent="0.25">
      <c r="J1379" s="903">
        <f t="shared" si="26"/>
        <v>1375</v>
      </c>
      <c r="K1379" s="566">
        <v>16</v>
      </c>
    </row>
    <row r="1380" spans="10:11" x14ac:dyDescent="0.25">
      <c r="J1380" s="903">
        <f t="shared" si="26"/>
        <v>1376</v>
      </c>
      <c r="K1380" s="566">
        <v>16</v>
      </c>
    </row>
    <row r="1381" spans="10:11" x14ac:dyDescent="0.25">
      <c r="J1381" s="903">
        <f t="shared" si="26"/>
        <v>1377</v>
      </c>
      <c r="K1381" s="566">
        <v>16</v>
      </c>
    </row>
    <row r="1382" spans="10:11" x14ac:dyDescent="0.25">
      <c r="J1382" s="903">
        <f t="shared" si="26"/>
        <v>1378</v>
      </c>
      <c r="K1382" s="566">
        <v>16</v>
      </c>
    </row>
    <row r="1383" spans="10:11" x14ac:dyDescent="0.25">
      <c r="J1383" s="903">
        <f t="shared" si="26"/>
        <v>1379</v>
      </c>
      <c r="K1383" s="566">
        <v>16</v>
      </c>
    </row>
    <row r="1384" spans="10:11" x14ac:dyDescent="0.25">
      <c r="J1384" s="903">
        <f t="shared" si="26"/>
        <v>1380</v>
      </c>
      <c r="K1384" s="566">
        <v>16</v>
      </c>
    </row>
    <row r="1385" spans="10:11" x14ac:dyDescent="0.25">
      <c r="J1385" s="903">
        <f t="shared" si="26"/>
        <v>1381</v>
      </c>
      <c r="K1385" s="566">
        <v>16</v>
      </c>
    </row>
    <row r="1386" spans="10:11" x14ac:dyDescent="0.25">
      <c r="J1386" s="903">
        <f t="shared" si="26"/>
        <v>1382</v>
      </c>
      <c r="K1386" s="566">
        <v>16</v>
      </c>
    </row>
    <row r="1387" spans="10:11" x14ac:dyDescent="0.25">
      <c r="J1387" s="903">
        <f t="shared" si="26"/>
        <v>1383</v>
      </c>
      <c r="K1387" s="566">
        <v>16</v>
      </c>
    </row>
    <row r="1388" spans="10:11" x14ac:dyDescent="0.25">
      <c r="J1388" s="903">
        <f t="shared" si="26"/>
        <v>1384</v>
      </c>
      <c r="K1388" s="566">
        <v>16</v>
      </c>
    </row>
    <row r="1389" spans="10:11" x14ac:dyDescent="0.25">
      <c r="J1389" s="903">
        <f t="shared" si="26"/>
        <v>1385</v>
      </c>
      <c r="K1389" s="566">
        <v>16</v>
      </c>
    </row>
    <row r="1390" spans="10:11" x14ac:dyDescent="0.25">
      <c r="J1390" s="903">
        <f t="shared" si="26"/>
        <v>1386</v>
      </c>
      <c r="K1390" s="566">
        <v>16</v>
      </c>
    </row>
    <row r="1391" spans="10:11" x14ac:dyDescent="0.25">
      <c r="J1391" s="903">
        <f t="shared" si="26"/>
        <v>1387</v>
      </c>
      <c r="K1391" s="566">
        <v>16</v>
      </c>
    </row>
    <row r="1392" spans="10:11" x14ac:dyDescent="0.25">
      <c r="J1392" s="903">
        <f t="shared" si="26"/>
        <v>1388</v>
      </c>
      <c r="K1392" s="566">
        <v>16</v>
      </c>
    </row>
    <row r="1393" spans="10:11" x14ac:dyDescent="0.25">
      <c r="J1393" s="903">
        <f t="shared" si="26"/>
        <v>1389</v>
      </c>
      <c r="K1393" s="566">
        <v>16</v>
      </c>
    </row>
    <row r="1394" spans="10:11" x14ac:dyDescent="0.25">
      <c r="J1394" s="903">
        <f t="shared" si="26"/>
        <v>1390</v>
      </c>
      <c r="K1394" s="566">
        <v>16</v>
      </c>
    </row>
    <row r="1395" spans="10:11" x14ac:dyDescent="0.25">
      <c r="J1395" s="903">
        <f t="shared" si="26"/>
        <v>1391</v>
      </c>
      <c r="K1395" s="566">
        <v>16</v>
      </c>
    </row>
    <row r="1396" spans="10:11" x14ac:dyDescent="0.25">
      <c r="J1396" s="903">
        <f t="shared" si="26"/>
        <v>1392</v>
      </c>
      <c r="K1396" s="566">
        <v>16</v>
      </c>
    </row>
    <row r="1397" spans="10:11" x14ac:dyDescent="0.25">
      <c r="J1397" s="903">
        <f t="shared" si="26"/>
        <v>1393</v>
      </c>
      <c r="K1397" s="566">
        <v>16</v>
      </c>
    </row>
    <row r="1398" spans="10:11" x14ac:dyDescent="0.25">
      <c r="J1398" s="903">
        <f t="shared" si="26"/>
        <v>1394</v>
      </c>
      <c r="K1398" s="566">
        <v>16</v>
      </c>
    </row>
    <row r="1399" spans="10:11" x14ac:dyDescent="0.25">
      <c r="J1399" s="903">
        <f t="shared" si="26"/>
        <v>1395</v>
      </c>
      <c r="K1399" s="566">
        <v>16</v>
      </c>
    </row>
    <row r="1400" spans="10:11" x14ac:dyDescent="0.25">
      <c r="J1400" s="903">
        <f t="shared" si="26"/>
        <v>1396</v>
      </c>
      <c r="K1400" s="566">
        <v>16</v>
      </c>
    </row>
    <row r="1401" spans="10:11" x14ac:dyDescent="0.25">
      <c r="J1401" s="903">
        <f t="shared" si="26"/>
        <v>1397</v>
      </c>
      <c r="K1401" s="566">
        <v>16</v>
      </c>
    </row>
    <row r="1402" spans="10:11" x14ac:dyDescent="0.25">
      <c r="J1402" s="903">
        <f t="shared" si="26"/>
        <v>1398</v>
      </c>
      <c r="K1402" s="566">
        <v>16</v>
      </c>
    </row>
    <row r="1403" spans="10:11" x14ac:dyDescent="0.25">
      <c r="J1403" s="903">
        <f t="shared" si="26"/>
        <v>1399</v>
      </c>
      <c r="K1403" s="566">
        <v>16</v>
      </c>
    </row>
    <row r="1404" spans="10:11" x14ac:dyDescent="0.25">
      <c r="J1404" s="903">
        <f t="shared" si="26"/>
        <v>1400</v>
      </c>
      <c r="K1404" s="566">
        <v>16</v>
      </c>
    </row>
    <row r="1405" spans="10:11" x14ac:dyDescent="0.25">
      <c r="J1405" s="903">
        <f t="shared" si="26"/>
        <v>1401</v>
      </c>
      <c r="K1405" s="566">
        <v>16</v>
      </c>
    </row>
    <row r="1406" spans="10:11" x14ac:dyDescent="0.25">
      <c r="J1406" s="903">
        <f t="shared" si="26"/>
        <v>1402</v>
      </c>
      <c r="K1406" s="566">
        <v>16</v>
      </c>
    </row>
    <row r="1407" spans="10:11" x14ac:dyDescent="0.25">
      <c r="J1407" s="903">
        <f t="shared" si="26"/>
        <v>1403</v>
      </c>
      <c r="K1407" s="566">
        <v>16</v>
      </c>
    </row>
    <row r="1408" spans="10:11" x14ac:dyDescent="0.25">
      <c r="J1408" s="903">
        <f t="shared" si="26"/>
        <v>1404</v>
      </c>
      <c r="K1408" s="566">
        <v>16</v>
      </c>
    </row>
    <row r="1409" spans="10:11" x14ac:dyDescent="0.25">
      <c r="J1409" s="903">
        <f t="shared" si="26"/>
        <v>1405</v>
      </c>
      <c r="K1409" s="566">
        <v>16</v>
      </c>
    </row>
    <row r="1410" spans="10:11" x14ac:dyDescent="0.25">
      <c r="J1410" s="903">
        <f t="shared" si="26"/>
        <v>1406</v>
      </c>
      <c r="K1410" s="566">
        <v>16</v>
      </c>
    </row>
    <row r="1411" spans="10:11" x14ac:dyDescent="0.25">
      <c r="J1411" s="903">
        <f t="shared" si="26"/>
        <v>1407</v>
      </c>
      <c r="K1411" s="566">
        <v>16</v>
      </c>
    </row>
    <row r="1412" spans="10:11" x14ac:dyDescent="0.25">
      <c r="J1412" s="903">
        <f t="shared" si="26"/>
        <v>1408</v>
      </c>
      <c r="K1412" s="566">
        <v>16</v>
      </c>
    </row>
    <row r="1413" spans="10:11" x14ac:dyDescent="0.25">
      <c r="J1413" s="903">
        <f t="shared" si="26"/>
        <v>1409</v>
      </c>
      <c r="K1413" s="566">
        <v>16</v>
      </c>
    </row>
    <row r="1414" spans="10:11" x14ac:dyDescent="0.25">
      <c r="J1414" s="903">
        <f t="shared" si="26"/>
        <v>1410</v>
      </c>
      <c r="K1414" s="566">
        <v>16</v>
      </c>
    </row>
    <row r="1415" spans="10:11" x14ac:dyDescent="0.25">
      <c r="J1415" s="903">
        <f t="shared" si="26"/>
        <v>1411</v>
      </c>
      <c r="K1415" s="566">
        <v>16</v>
      </c>
    </row>
    <row r="1416" spans="10:11" x14ac:dyDescent="0.25">
      <c r="J1416" s="903">
        <f t="shared" si="26"/>
        <v>1412</v>
      </c>
      <c r="K1416" s="566">
        <v>16</v>
      </c>
    </row>
    <row r="1417" spans="10:11" x14ac:dyDescent="0.25">
      <c r="J1417" s="903">
        <f t="shared" si="26"/>
        <v>1413</v>
      </c>
      <c r="K1417" s="566">
        <v>16</v>
      </c>
    </row>
    <row r="1418" spans="10:11" x14ac:dyDescent="0.25">
      <c r="J1418" s="903">
        <f t="shared" si="26"/>
        <v>1414</v>
      </c>
      <c r="K1418" s="566">
        <v>16</v>
      </c>
    </row>
    <row r="1419" spans="10:11" x14ac:dyDescent="0.25">
      <c r="J1419" s="903">
        <f t="shared" si="26"/>
        <v>1415</v>
      </c>
      <c r="K1419" s="566">
        <v>16</v>
      </c>
    </row>
    <row r="1420" spans="10:11" x14ac:dyDescent="0.25">
      <c r="J1420" s="903">
        <f t="shared" si="26"/>
        <v>1416</v>
      </c>
      <c r="K1420" s="566">
        <v>16</v>
      </c>
    </row>
    <row r="1421" spans="10:11" x14ac:dyDescent="0.25">
      <c r="J1421" s="903">
        <f t="shared" si="26"/>
        <v>1417</v>
      </c>
      <c r="K1421" s="566">
        <v>16</v>
      </c>
    </row>
    <row r="1422" spans="10:11" x14ac:dyDescent="0.25">
      <c r="J1422" s="903">
        <f t="shared" si="26"/>
        <v>1418</v>
      </c>
      <c r="K1422" s="566">
        <v>16</v>
      </c>
    </row>
    <row r="1423" spans="10:11" x14ac:dyDescent="0.25">
      <c r="J1423" s="903">
        <f t="shared" si="26"/>
        <v>1419</v>
      </c>
      <c r="K1423" s="566">
        <v>16</v>
      </c>
    </row>
    <row r="1424" spans="10:11" x14ac:dyDescent="0.25">
      <c r="J1424" s="903">
        <f t="shared" si="26"/>
        <v>1420</v>
      </c>
      <c r="K1424" s="566">
        <v>16</v>
      </c>
    </row>
    <row r="1425" spans="10:11" x14ac:dyDescent="0.25">
      <c r="J1425" s="903">
        <f t="shared" si="26"/>
        <v>1421</v>
      </c>
      <c r="K1425" s="566">
        <v>16</v>
      </c>
    </row>
    <row r="1426" spans="10:11" x14ac:dyDescent="0.25">
      <c r="J1426" s="903">
        <f t="shared" si="26"/>
        <v>1422</v>
      </c>
      <c r="K1426" s="566">
        <v>16</v>
      </c>
    </row>
    <row r="1427" spans="10:11" x14ac:dyDescent="0.25">
      <c r="J1427" s="903">
        <f t="shared" si="26"/>
        <v>1423</v>
      </c>
      <c r="K1427" s="566">
        <v>16</v>
      </c>
    </row>
    <row r="1428" spans="10:11" x14ac:dyDescent="0.25">
      <c r="J1428" s="903">
        <f t="shared" si="26"/>
        <v>1424</v>
      </c>
      <c r="K1428" s="566">
        <v>16</v>
      </c>
    </row>
    <row r="1429" spans="10:11" x14ac:dyDescent="0.25">
      <c r="J1429" s="903">
        <f t="shared" ref="J1429:J1492" si="27">J1428+1</f>
        <v>1425</v>
      </c>
      <c r="K1429" s="566">
        <v>16</v>
      </c>
    </row>
    <row r="1430" spans="10:11" x14ac:dyDescent="0.25">
      <c r="J1430" s="903">
        <f t="shared" si="27"/>
        <v>1426</v>
      </c>
      <c r="K1430" s="566">
        <v>16</v>
      </c>
    </row>
    <row r="1431" spans="10:11" x14ac:dyDescent="0.25">
      <c r="J1431" s="903">
        <f t="shared" si="27"/>
        <v>1427</v>
      </c>
      <c r="K1431" s="566">
        <v>16</v>
      </c>
    </row>
    <row r="1432" spans="10:11" x14ac:dyDescent="0.25">
      <c r="J1432" s="903">
        <f t="shared" si="27"/>
        <v>1428</v>
      </c>
      <c r="K1432" s="566">
        <v>16</v>
      </c>
    </row>
    <row r="1433" spans="10:11" x14ac:dyDescent="0.25">
      <c r="J1433" s="903">
        <f t="shared" si="27"/>
        <v>1429</v>
      </c>
      <c r="K1433" s="566">
        <v>16</v>
      </c>
    </row>
    <row r="1434" spans="10:11" x14ac:dyDescent="0.25">
      <c r="J1434" s="903">
        <f t="shared" si="27"/>
        <v>1430</v>
      </c>
      <c r="K1434" s="566">
        <v>16</v>
      </c>
    </row>
    <row r="1435" spans="10:11" x14ac:dyDescent="0.25">
      <c r="J1435" s="903">
        <f t="shared" si="27"/>
        <v>1431</v>
      </c>
      <c r="K1435" s="566">
        <v>16</v>
      </c>
    </row>
    <row r="1436" spans="10:11" x14ac:dyDescent="0.25">
      <c r="J1436" s="903">
        <f t="shared" si="27"/>
        <v>1432</v>
      </c>
      <c r="K1436" s="566">
        <v>16</v>
      </c>
    </row>
    <row r="1437" spans="10:11" x14ac:dyDescent="0.25">
      <c r="J1437" s="903">
        <f t="shared" si="27"/>
        <v>1433</v>
      </c>
      <c r="K1437" s="566">
        <v>16</v>
      </c>
    </row>
    <row r="1438" spans="10:11" x14ac:dyDescent="0.25">
      <c r="J1438" s="903">
        <f t="shared" si="27"/>
        <v>1434</v>
      </c>
      <c r="K1438" s="566">
        <v>16</v>
      </c>
    </row>
    <row r="1439" spans="10:11" x14ac:dyDescent="0.25">
      <c r="J1439" s="903">
        <f t="shared" si="27"/>
        <v>1435</v>
      </c>
      <c r="K1439" s="566">
        <v>16</v>
      </c>
    </row>
    <row r="1440" spans="10:11" x14ac:dyDescent="0.25">
      <c r="J1440" s="903">
        <f t="shared" si="27"/>
        <v>1436</v>
      </c>
      <c r="K1440" s="566">
        <v>16</v>
      </c>
    </row>
    <row r="1441" spans="10:11" x14ac:dyDescent="0.25">
      <c r="J1441" s="903">
        <f t="shared" si="27"/>
        <v>1437</v>
      </c>
      <c r="K1441" s="566">
        <v>16</v>
      </c>
    </row>
    <row r="1442" spans="10:11" x14ac:dyDescent="0.25">
      <c r="J1442" s="903">
        <f t="shared" si="27"/>
        <v>1438</v>
      </c>
      <c r="K1442" s="566">
        <v>16</v>
      </c>
    </row>
    <row r="1443" spans="10:11" x14ac:dyDescent="0.25">
      <c r="J1443" s="903">
        <f t="shared" si="27"/>
        <v>1439</v>
      </c>
      <c r="K1443" s="566">
        <v>16</v>
      </c>
    </row>
    <row r="1444" spans="10:11" x14ac:dyDescent="0.25">
      <c r="J1444" s="903">
        <f t="shared" si="27"/>
        <v>1440</v>
      </c>
      <c r="K1444" s="566">
        <v>16</v>
      </c>
    </row>
    <row r="1445" spans="10:11" x14ac:dyDescent="0.25">
      <c r="J1445" s="903">
        <f t="shared" si="27"/>
        <v>1441</v>
      </c>
      <c r="K1445" s="566">
        <v>16</v>
      </c>
    </row>
    <row r="1446" spans="10:11" x14ac:dyDescent="0.25">
      <c r="J1446" s="903">
        <f t="shared" si="27"/>
        <v>1442</v>
      </c>
      <c r="K1446" s="566">
        <v>16</v>
      </c>
    </row>
    <row r="1447" spans="10:11" x14ac:dyDescent="0.25">
      <c r="J1447" s="903">
        <f t="shared" si="27"/>
        <v>1443</v>
      </c>
      <c r="K1447" s="566">
        <v>16</v>
      </c>
    </row>
    <row r="1448" spans="10:11" x14ac:dyDescent="0.25">
      <c r="J1448" s="903">
        <f t="shared" si="27"/>
        <v>1444</v>
      </c>
      <c r="K1448" s="566">
        <v>16</v>
      </c>
    </row>
    <row r="1449" spans="10:11" x14ac:dyDescent="0.25">
      <c r="J1449" s="903">
        <f t="shared" si="27"/>
        <v>1445</v>
      </c>
      <c r="K1449" s="566">
        <v>16</v>
      </c>
    </row>
    <row r="1450" spans="10:11" x14ac:dyDescent="0.25">
      <c r="J1450" s="903">
        <f t="shared" si="27"/>
        <v>1446</v>
      </c>
      <c r="K1450" s="566">
        <v>16</v>
      </c>
    </row>
    <row r="1451" spans="10:11" x14ac:dyDescent="0.25">
      <c r="J1451" s="903">
        <f t="shared" si="27"/>
        <v>1447</v>
      </c>
      <c r="K1451" s="566">
        <v>16</v>
      </c>
    </row>
    <row r="1452" spans="10:11" x14ac:dyDescent="0.25">
      <c r="J1452" s="903">
        <f t="shared" si="27"/>
        <v>1448</v>
      </c>
      <c r="K1452" s="566">
        <v>16</v>
      </c>
    </row>
    <row r="1453" spans="10:11" x14ac:dyDescent="0.25">
      <c r="J1453" s="903">
        <f t="shared" si="27"/>
        <v>1449</v>
      </c>
      <c r="K1453" s="566">
        <v>16</v>
      </c>
    </row>
    <row r="1454" spans="10:11" x14ac:dyDescent="0.25">
      <c r="J1454" s="903">
        <f t="shared" si="27"/>
        <v>1450</v>
      </c>
      <c r="K1454" s="566">
        <v>16</v>
      </c>
    </row>
    <row r="1455" spans="10:11" x14ac:dyDescent="0.25">
      <c r="J1455" s="903">
        <f t="shared" si="27"/>
        <v>1451</v>
      </c>
      <c r="K1455" s="566">
        <v>16</v>
      </c>
    </row>
    <row r="1456" spans="10:11" x14ac:dyDescent="0.25">
      <c r="J1456" s="903">
        <f t="shared" si="27"/>
        <v>1452</v>
      </c>
      <c r="K1456" s="566">
        <v>16</v>
      </c>
    </row>
    <row r="1457" spans="10:11" x14ac:dyDescent="0.25">
      <c r="J1457" s="903">
        <f t="shared" si="27"/>
        <v>1453</v>
      </c>
      <c r="K1457" s="566">
        <v>16</v>
      </c>
    </row>
    <row r="1458" spans="10:11" x14ac:dyDescent="0.25">
      <c r="J1458" s="903">
        <f t="shared" si="27"/>
        <v>1454</v>
      </c>
      <c r="K1458" s="566">
        <v>16</v>
      </c>
    </row>
    <row r="1459" spans="10:11" x14ac:dyDescent="0.25">
      <c r="J1459" s="903">
        <f t="shared" si="27"/>
        <v>1455</v>
      </c>
      <c r="K1459" s="566">
        <v>16</v>
      </c>
    </row>
    <row r="1460" spans="10:11" x14ac:dyDescent="0.25">
      <c r="J1460" s="903">
        <f t="shared" si="27"/>
        <v>1456</v>
      </c>
      <c r="K1460" s="566">
        <v>16</v>
      </c>
    </row>
    <row r="1461" spans="10:11" x14ac:dyDescent="0.25">
      <c r="J1461" s="903">
        <f t="shared" si="27"/>
        <v>1457</v>
      </c>
      <c r="K1461" s="566">
        <v>16</v>
      </c>
    </row>
    <row r="1462" spans="10:11" x14ac:dyDescent="0.25">
      <c r="J1462" s="903">
        <f t="shared" si="27"/>
        <v>1458</v>
      </c>
      <c r="K1462" s="566">
        <v>16</v>
      </c>
    </row>
    <row r="1463" spans="10:11" x14ac:dyDescent="0.25">
      <c r="J1463" s="903">
        <f t="shared" si="27"/>
        <v>1459</v>
      </c>
      <c r="K1463" s="566">
        <v>16</v>
      </c>
    </row>
    <row r="1464" spans="10:11" x14ac:dyDescent="0.25">
      <c r="J1464" s="903">
        <f t="shared" si="27"/>
        <v>1460</v>
      </c>
      <c r="K1464" s="566">
        <v>16</v>
      </c>
    </row>
    <row r="1465" spans="10:11" x14ac:dyDescent="0.25">
      <c r="J1465" s="903">
        <f t="shared" si="27"/>
        <v>1461</v>
      </c>
      <c r="K1465" s="566">
        <v>16</v>
      </c>
    </row>
    <row r="1466" spans="10:11" x14ac:dyDescent="0.25">
      <c r="J1466" s="903">
        <f t="shared" si="27"/>
        <v>1462</v>
      </c>
      <c r="K1466" s="566">
        <v>16</v>
      </c>
    </row>
    <row r="1467" spans="10:11" x14ac:dyDescent="0.25">
      <c r="J1467" s="903">
        <f t="shared" si="27"/>
        <v>1463</v>
      </c>
      <c r="K1467" s="566">
        <v>16</v>
      </c>
    </row>
    <row r="1468" spans="10:11" x14ac:dyDescent="0.25">
      <c r="J1468" s="903">
        <f t="shared" si="27"/>
        <v>1464</v>
      </c>
      <c r="K1468" s="566">
        <v>16</v>
      </c>
    </row>
    <row r="1469" spans="10:11" x14ac:dyDescent="0.25">
      <c r="J1469" s="903">
        <f t="shared" si="27"/>
        <v>1465</v>
      </c>
      <c r="K1469" s="566">
        <v>16</v>
      </c>
    </row>
    <row r="1470" spans="10:11" x14ac:dyDescent="0.25">
      <c r="J1470" s="903">
        <f t="shared" si="27"/>
        <v>1466</v>
      </c>
      <c r="K1470" s="566">
        <v>16</v>
      </c>
    </row>
    <row r="1471" spans="10:11" x14ac:dyDescent="0.25">
      <c r="J1471" s="903">
        <f t="shared" si="27"/>
        <v>1467</v>
      </c>
      <c r="K1471" s="566">
        <v>16</v>
      </c>
    </row>
    <row r="1472" spans="10:11" x14ac:dyDescent="0.25">
      <c r="J1472" s="903">
        <f t="shared" si="27"/>
        <v>1468</v>
      </c>
      <c r="K1472" s="566">
        <v>16</v>
      </c>
    </row>
    <row r="1473" spans="10:11" x14ac:dyDescent="0.25">
      <c r="J1473" s="903">
        <f t="shared" si="27"/>
        <v>1469</v>
      </c>
      <c r="K1473" s="566">
        <v>16</v>
      </c>
    </row>
    <row r="1474" spans="10:11" x14ac:dyDescent="0.25">
      <c r="J1474" s="903">
        <f t="shared" si="27"/>
        <v>1470</v>
      </c>
      <c r="K1474" s="566">
        <v>16</v>
      </c>
    </row>
    <row r="1475" spans="10:11" x14ac:dyDescent="0.25">
      <c r="J1475" s="903">
        <f t="shared" si="27"/>
        <v>1471</v>
      </c>
      <c r="K1475" s="566">
        <v>16</v>
      </c>
    </row>
    <row r="1476" spans="10:11" x14ac:dyDescent="0.25">
      <c r="J1476" s="903">
        <f t="shared" si="27"/>
        <v>1472</v>
      </c>
      <c r="K1476" s="566">
        <v>16</v>
      </c>
    </row>
    <row r="1477" spans="10:11" x14ac:dyDescent="0.25">
      <c r="J1477" s="903">
        <f t="shared" si="27"/>
        <v>1473</v>
      </c>
      <c r="K1477" s="566">
        <v>16</v>
      </c>
    </row>
    <row r="1478" spans="10:11" x14ac:dyDescent="0.25">
      <c r="J1478" s="903">
        <f t="shared" si="27"/>
        <v>1474</v>
      </c>
      <c r="K1478" s="566">
        <v>16</v>
      </c>
    </row>
    <row r="1479" spans="10:11" x14ac:dyDescent="0.25">
      <c r="J1479" s="903">
        <f t="shared" si="27"/>
        <v>1475</v>
      </c>
      <c r="K1479" s="566">
        <v>16</v>
      </c>
    </row>
    <row r="1480" spans="10:11" x14ac:dyDescent="0.25">
      <c r="J1480" s="903">
        <f t="shared" si="27"/>
        <v>1476</v>
      </c>
      <c r="K1480" s="566">
        <v>16</v>
      </c>
    </row>
    <row r="1481" spans="10:11" x14ac:dyDescent="0.25">
      <c r="J1481" s="903">
        <f t="shared" si="27"/>
        <v>1477</v>
      </c>
      <c r="K1481" s="566">
        <v>16</v>
      </c>
    </row>
    <row r="1482" spans="10:11" x14ac:dyDescent="0.25">
      <c r="J1482" s="903">
        <f t="shared" si="27"/>
        <v>1478</v>
      </c>
      <c r="K1482" s="566">
        <v>16</v>
      </c>
    </row>
    <row r="1483" spans="10:11" x14ac:dyDescent="0.25">
      <c r="J1483" s="903">
        <f t="shared" si="27"/>
        <v>1479</v>
      </c>
      <c r="K1483" s="566">
        <v>16</v>
      </c>
    </row>
    <row r="1484" spans="10:11" x14ac:dyDescent="0.25">
      <c r="J1484" s="903">
        <f t="shared" si="27"/>
        <v>1480</v>
      </c>
      <c r="K1484" s="566">
        <v>16</v>
      </c>
    </row>
    <row r="1485" spans="10:11" x14ac:dyDescent="0.25">
      <c r="J1485" s="903">
        <f t="shared" si="27"/>
        <v>1481</v>
      </c>
      <c r="K1485" s="566">
        <v>16</v>
      </c>
    </row>
    <row r="1486" spans="10:11" x14ac:dyDescent="0.25">
      <c r="J1486" s="903">
        <f t="shared" si="27"/>
        <v>1482</v>
      </c>
      <c r="K1486" s="566">
        <v>16</v>
      </c>
    </row>
    <row r="1487" spans="10:11" x14ac:dyDescent="0.25">
      <c r="J1487" s="903">
        <f t="shared" si="27"/>
        <v>1483</v>
      </c>
      <c r="K1487" s="566">
        <v>16</v>
      </c>
    </row>
    <row r="1488" spans="10:11" x14ac:dyDescent="0.25">
      <c r="J1488" s="903">
        <f t="shared" si="27"/>
        <v>1484</v>
      </c>
      <c r="K1488" s="566">
        <v>16</v>
      </c>
    </row>
    <row r="1489" spans="10:11" x14ac:dyDescent="0.25">
      <c r="J1489" s="903">
        <f t="shared" si="27"/>
        <v>1485</v>
      </c>
      <c r="K1489" s="566">
        <v>16</v>
      </c>
    </row>
    <row r="1490" spans="10:11" x14ac:dyDescent="0.25">
      <c r="J1490" s="903">
        <f t="shared" si="27"/>
        <v>1486</v>
      </c>
      <c r="K1490" s="566">
        <v>16</v>
      </c>
    </row>
    <row r="1491" spans="10:11" x14ac:dyDescent="0.25">
      <c r="J1491" s="903">
        <f t="shared" si="27"/>
        <v>1487</v>
      </c>
      <c r="K1491" s="566">
        <v>16</v>
      </c>
    </row>
    <row r="1492" spans="10:11" x14ac:dyDescent="0.25">
      <c r="J1492" s="903">
        <f t="shared" si="27"/>
        <v>1488</v>
      </c>
      <c r="K1492" s="566">
        <v>16</v>
      </c>
    </row>
    <row r="1493" spans="10:11" x14ac:dyDescent="0.25">
      <c r="J1493" s="903">
        <f t="shared" ref="J1493:J1556" si="28">J1492+1</f>
        <v>1489</v>
      </c>
      <c r="K1493" s="566">
        <v>16</v>
      </c>
    </row>
    <row r="1494" spans="10:11" x14ac:dyDescent="0.25">
      <c r="J1494" s="903">
        <f t="shared" si="28"/>
        <v>1490</v>
      </c>
      <c r="K1494" s="566">
        <v>16</v>
      </c>
    </row>
    <row r="1495" spans="10:11" x14ac:dyDescent="0.25">
      <c r="J1495" s="903">
        <f t="shared" si="28"/>
        <v>1491</v>
      </c>
      <c r="K1495" s="566">
        <v>16</v>
      </c>
    </row>
    <row r="1496" spans="10:11" x14ac:dyDescent="0.25">
      <c r="J1496" s="903">
        <f t="shared" si="28"/>
        <v>1492</v>
      </c>
      <c r="K1496" s="566">
        <v>16</v>
      </c>
    </row>
    <row r="1497" spans="10:11" x14ac:dyDescent="0.25">
      <c r="J1497" s="903">
        <f t="shared" si="28"/>
        <v>1493</v>
      </c>
      <c r="K1497" s="566">
        <v>16</v>
      </c>
    </row>
    <row r="1498" spans="10:11" x14ac:dyDescent="0.25">
      <c r="J1498" s="903">
        <f t="shared" si="28"/>
        <v>1494</v>
      </c>
      <c r="K1498" s="566">
        <v>16</v>
      </c>
    </row>
    <row r="1499" spans="10:11" x14ac:dyDescent="0.25">
      <c r="J1499" s="903">
        <f t="shared" si="28"/>
        <v>1495</v>
      </c>
      <c r="K1499" s="566">
        <v>16</v>
      </c>
    </row>
    <row r="1500" spans="10:11" x14ac:dyDescent="0.25">
      <c r="J1500" s="903">
        <f t="shared" si="28"/>
        <v>1496</v>
      </c>
      <c r="K1500" s="566">
        <v>16</v>
      </c>
    </row>
    <row r="1501" spans="10:11" x14ac:dyDescent="0.25">
      <c r="J1501" s="903">
        <f t="shared" si="28"/>
        <v>1497</v>
      </c>
      <c r="K1501" s="566">
        <v>16</v>
      </c>
    </row>
    <row r="1502" spans="10:11" x14ac:dyDescent="0.25">
      <c r="J1502" s="903">
        <f t="shared" si="28"/>
        <v>1498</v>
      </c>
      <c r="K1502" s="566">
        <v>16</v>
      </c>
    </row>
    <row r="1503" spans="10:11" x14ac:dyDescent="0.25">
      <c r="J1503" s="903">
        <f t="shared" si="28"/>
        <v>1499</v>
      </c>
      <c r="K1503" s="566">
        <v>16</v>
      </c>
    </row>
    <row r="1504" spans="10:11" x14ac:dyDescent="0.25">
      <c r="J1504" s="903">
        <f t="shared" si="28"/>
        <v>1500</v>
      </c>
      <c r="K1504" s="566">
        <v>16</v>
      </c>
    </row>
    <row r="1505" spans="10:11" x14ac:dyDescent="0.25">
      <c r="J1505" s="903">
        <f t="shared" si="28"/>
        <v>1501</v>
      </c>
      <c r="K1505" s="566">
        <v>16</v>
      </c>
    </row>
    <row r="1506" spans="10:11" x14ac:dyDescent="0.25">
      <c r="J1506" s="903">
        <f t="shared" si="28"/>
        <v>1502</v>
      </c>
      <c r="K1506" s="566">
        <v>16</v>
      </c>
    </row>
    <row r="1507" spans="10:11" x14ac:dyDescent="0.25">
      <c r="J1507" s="903">
        <f t="shared" si="28"/>
        <v>1503</v>
      </c>
      <c r="K1507" s="566">
        <v>16</v>
      </c>
    </row>
    <row r="1508" spans="10:11" x14ac:dyDescent="0.25">
      <c r="J1508" s="903">
        <f t="shared" si="28"/>
        <v>1504</v>
      </c>
      <c r="K1508" s="566">
        <v>16</v>
      </c>
    </row>
    <row r="1509" spans="10:11" x14ac:dyDescent="0.25">
      <c r="J1509" s="903">
        <f t="shared" si="28"/>
        <v>1505</v>
      </c>
      <c r="K1509" s="566">
        <v>16</v>
      </c>
    </row>
    <row r="1510" spans="10:11" x14ac:dyDescent="0.25">
      <c r="J1510" s="903">
        <f t="shared" si="28"/>
        <v>1506</v>
      </c>
      <c r="K1510" s="566">
        <v>16</v>
      </c>
    </row>
    <row r="1511" spans="10:11" x14ac:dyDescent="0.25">
      <c r="J1511" s="903">
        <f t="shared" si="28"/>
        <v>1507</v>
      </c>
      <c r="K1511" s="566">
        <v>16</v>
      </c>
    </row>
    <row r="1512" spans="10:11" x14ac:dyDescent="0.25">
      <c r="J1512" s="903">
        <f t="shared" si="28"/>
        <v>1508</v>
      </c>
      <c r="K1512" s="566">
        <v>16</v>
      </c>
    </row>
    <row r="1513" spans="10:11" x14ac:dyDescent="0.25">
      <c r="J1513" s="903">
        <f t="shared" si="28"/>
        <v>1509</v>
      </c>
      <c r="K1513" s="566">
        <v>16</v>
      </c>
    </row>
    <row r="1514" spans="10:11" x14ac:dyDescent="0.25">
      <c r="J1514" s="903">
        <f t="shared" si="28"/>
        <v>1510</v>
      </c>
      <c r="K1514" s="566">
        <v>16</v>
      </c>
    </row>
    <row r="1515" spans="10:11" x14ac:dyDescent="0.25">
      <c r="J1515" s="903">
        <f t="shared" si="28"/>
        <v>1511</v>
      </c>
      <c r="K1515" s="566">
        <v>16</v>
      </c>
    </row>
    <row r="1516" spans="10:11" x14ac:dyDescent="0.25">
      <c r="J1516" s="903">
        <f t="shared" si="28"/>
        <v>1512</v>
      </c>
      <c r="K1516" s="566">
        <v>16</v>
      </c>
    </row>
    <row r="1517" spans="10:11" x14ac:dyDescent="0.25">
      <c r="J1517" s="903">
        <f t="shared" si="28"/>
        <v>1513</v>
      </c>
      <c r="K1517" s="566">
        <v>16</v>
      </c>
    </row>
    <row r="1518" spans="10:11" x14ac:dyDescent="0.25">
      <c r="J1518" s="903">
        <f t="shared" si="28"/>
        <v>1514</v>
      </c>
      <c r="K1518" s="566">
        <v>16</v>
      </c>
    </row>
    <row r="1519" spans="10:11" x14ac:dyDescent="0.25">
      <c r="J1519" s="903">
        <f t="shared" si="28"/>
        <v>1515</v>
      </c>
      <c r="K1519" s="566">
        <v>16</v>
      </c>
    </row>
    <row r="1520" spans="10:11" x14ac:dyDescent="0.25">
      <c r="J1520" s="903">
        <f t="shared" si="28"/>
        <v>1516</v>
      </c>
      <c r="K1520" s="566">
        <v>16</v>
      </c>
    </row>
    <row r="1521" spans="10:11" x14ac:dyDescent="0.25">
      <c r="J1521" s="903">
        <f t="shared" si="28"/>
        <v>1517</v>
      </c>
      <c r="K1521" s="566">
        <v>16</v>
      </c>
    </row>
    <row r="1522" spans="10:11" x14ac:dyDescent="0.25">
      <c r="J1522" s="903">
        <f t="shared" si="28"/>
        <v>1518</v>
      </c>
      <c r="K1522" s="566">
        <v>16</v>
      </c>
    </row>
    <row r="1523" spans="10:11" x14ac:dyDescent="0.25">
      <c r="J1523" s="903">
        <f t="shared" si="28"/>
        <v>1519</v>
      </c>
      <c r="K1523" s="566">
        <v>16</v>
      </c>
    </row>
    <row r="1524" spans="10:11" x14ac:dyDescent="0.25">
      <c r="J1524" s="903">
        <f t="shared" si="28"/>
        <v>1520</v>
      </c>
      <c r="K1524" s="566">
        <v>16</v>
      </c>
    </row>
    <row r="1525" spans="10:11" x14ac:dyDescent="0.25">
      <c r="J1525" s="903">
        <f t="shared" si="28"/>
        <v>1521</v>
      </c>
      <c r="K1525" s="566">
        <v>16</v>
      </c>
    </row>
    <row r="1526" spans="10:11" x14ac:dyDescent="0.25">
      <c r="J1526" s="903">
        <f t="shared" si="28"/>
        <v>1522</v>
      </c>
      <c r="K1526" s="566">
        <v>16</v>
      </c>
    </row>
    <row r="1527" spans="10:11" x14ac:dyDescent="0.25">
      <c r="J1527" s="903">
        <f t="shared" si="28"/>
        <v>1523</v>
      </c>
      <c r="K1527" s="566">
        <v>16</v>
      </c>
    </row>
    <row r="1528" spans="10:11" x14ac:dyDescent="0.25">
      <c r="J1528" s="903">
        <f t="shared" si="28"/>
        <v>1524</v>
      </c>
      <c r="K1528" s="566">
        <v>16</v>
      </c>
    </row>
    <row r="1529" spans="10:11" x14ac:dyDescent="0.25">
      <c r="J1529" s="903">
        <f t="shared" si="28"/>
        <v>1525</v>
      </c>
      <c r="K1529" s="566">
        <v>16</v>
      </c>
    </row>
    <row r="1530" spans="10:11" x14ac:dyDescent="0.25">
      <c r="J1530" s="903">
        <f t="shared" si="28"/>
        <v>1526</v>
      </c>
      <c r="K1530" s="566">
        <v>16</v>
      </c>
    </row>
    <row r="1531" spans="10:11" x14ac:dyDescent="0.25">
      <c r="J1531" s="903">
        <f t="shared" si="28"/>
        <v>1527</v>
      </c>
      <c r="K1531" s="566">
        <v>16</v>
      </c>
    </row>
    <row r="1532" spans="10:11" x14ac:dyDescent="0.25">
      <c r="J1532" s="903">
        <f t="shared" si="28"/>
        <v>1528</v>
      </c>
      <c r="K1532" s="566">
        <v>16</v>
      </c>
    </row>
    <row r="1533" spans="10:11" x14ac:dyDescent="0.25">
      <c r="J1533" s="903">
        <f t="shared" si="28"/>
        <v>1529</v>
      </c>
      <c r="K1533" s="566">
        <v>16</v>
      </c>
    </row>
    <row r="1534" spans="10:11" x14ac:dyDescent="0.25">
      <c r="J1534" s="903">
        <f t="shared" si="28"/>
        <v>1530</v>
      </c>
      <c r="K1534" s="566">
        <v>16</v>
      </c>
    </row>
    <row r="1535" spans="10:11" x14ac:dyDescent="0.25">
      <c r="J1535" s="903">
        <f t="shared" si="28"/>
        <v>1531</v>
      </c>
      <c r="K1535" s="566">
        <v>16</v>
      </c>
    </row>
    <row r="1536" spans="10:11" x14ac:dyDescent="0.25">
      <c r="J1536" s="903">
        <f t="shared" si="28"/>
        <v>1532</v>
      </c>
      <c r="K1536" s="566">
        <v>16</v>
      </c>
    </row>
    <row r="1537" spans="10:11" x14ac:dyDescent="0.25">
      <c r="J1537" s="903">
        <f t="shared" si="28"/>
        <v>1533</v>
      </c>
      <c r="K1537" s="566">
        <v>16</v>
      </c>
    </row>
    <row r="1538" spans="10:11" x14ac:dyDescent="0.25">
      <c r="J1538" s="903">
        <f t="shared" si="28"/>
        <v>1534</v>
      </c>
      <c r="K1538" s="566">
        <v>16</v>
      </c>
    </row>
    <row r="1539" spans="10:11" x14ac:dyDescent="0.25">
      <c r="J1539" s="903">
        <f t="shared" si="28"/>
        <v>1535</v>
      </c>
      <c r="K1539" s="566">
        <v>16</v>
      </c>
    </row>
    <row r="1540" spans="10:11" x14ac:dyDescent="0.25">
      <c r="J1540" s="903">
        <f t="shared" si="28"/>
        <v>1536</v>
      </c>
      <c r="K1540" s="566">
        <v>16</v>
      </c>
    </row>
    <row r="1541" spans="10:11" x14ac:dyDescent="0.25">
      <c r="J1541" s="903">
        <f t="shared" si="28"/>
        <v>1537</v>
      </c>
      <c r="K1541" s="566">
        <v>16</v>
      </c>
    </row>
    <row r="1542" spans="10:11" x14ac:dyDescent="0.25">
      <c r="J1542" s="903">
        <f t="shared" si="28"/>
        <v>1538</v>
      </c>
      <c r="K1542" s="566">
        <v>16</v>
      </c>
    </row>
    <row r="1543" spans="10:11" x14ac:dyDescent="0.25">
      <c r="J1543" s="903">
        <f t="shared" si="28"/>
        <v>1539</v>
      </c>
      <c r="K1543" s="566">
        <v>16</v>
      </c>
    </row>
    <row r="1544" spans="10:11" x14ac:dyDescent="0.25">
      <c r="J1544" s="903">
        <f t="shared" si="28"/>
        <v>1540</v>
      </c>
      <c r="K1544" s="566">
        <v>16</v>
      </c>
    </row>
    <row r="1545" spans="10:11" x14ac:dyDescent="0.25">
      <c r="J1545" s="903">
        <f t="shared" si="28"/>
        <v>1541</v>
      </c>
      <c r="K1545" s="566">
        <v>16</v>
      </c>
    </row>
    <row r="1546" spans="10:11" x14ac:dyDescent="0.25">
      <c r="J1546" s="903">
        <f t="shared" si="28"/>
        <v>1542</v>
      </c>
      <c r="K1546" s="566">
        <v>16</v>
      </c>
    </row>
    <row r="1547" spans="10:11" x14ac:dyDescent="0.25">
      <c r="J1547" s="903">
        <f t="shared" si="28"/>
        <v>1543</v>
      </c>
      <c r="K1547" s="566">
        <v>16</v>
      </c>
    </row>
    <row r="1548" spans="10:11" x14ac:dyDescent="0.25">
      <c r="J1548" s="903">
        <f t="shared" si="28"/>
        <v>1544</v>
      </c>
      <c r="K1548" s="566">
        <v>16</v>
      </c>
    </row>
    <row r="1549" spans="10:11" x14ac:dyDescent="0.25">
      <c r="J1549" s="903">
        <f t="shared" si="28"/>
        <v>1545</v>
      </c>
      <c r="K1549" s="566">
        <v>16</v>
      </c>
    </row>
    <row r="1550" spans="10:11" x14ac:dyDescent="0.25">
      <c r="J1550" s="903">
        <f t="shared" si="28"/>
        <v>1546</v>
      </c>
      <c r="K1550" s="566">
        <v>16</v>
      </c>
    </row>
    <row r="1551" spans="10:11" x14ac:dyDescent="0.25">
      <c r="J1551" s="903">
        <f t="shared" si="28"/>
        <v>1547</v>
      </c>
      <c r="K1551" s="566">
        <v>16</v>
      </c>
    </row>
    <row r="1552" spans="10:11" x14ac:dyDescent="0.25">
      <c r="J1552" s="903">
        <f t="shared" si="28"/>
        <v>1548</v>
      </c>
      <c r="K1552" s="566">
        <v>16</v>
      </c>
    </row>
    <row r="1553" spans="10:11" x14ac:dyDescent="0.25">
      <c r="J1553" s="903">
        <f t="shared" si="28"/>
        <v>1549</v>
      </c>
      <c r="K1553" s="566">
        <v>16</v>
      </c>
    </row>
    <row r="1554" spans="10:11" x14ac:dyDescent="0.25">
      <c r="J1554" s="903">
        <f t="shared" si="28"/>
        <v>1550</v>
      </c>
      <c r="K1554" s="566">
        <v>16</v>
      </c>
    </row>
    <row r="1555" spans="10:11" x14ac:dyDescent="0.25">
      <c r="J1555" s="903">
        <f t="shared" si="28"/>
        <v>1551</v>
      </c>
      <c r="K1555" s="566">
        <v>16</v>
      </c>
    </row>
    <row r="1556" spans="10:11" x14ac:dyDescent="0.25">
      <c r="J1556" s="903">
        <f t="shared" si="28"/>
        <v>1552</v>
      </c>
      <c r="K1556" s="566">
        <v>16</v>
      </c>
    </row>
    <row r="1557" spans="10:11" x14ac:dyDescent="0.25">
      <c r="J1557" s="903">
        <f t="shared" ref="J1557:J1620" si="29">J1556+1</f>
        <v>1553</v>
      </c>
      <c r="K1557" s="566">
        <v>16</v>
      </c>
    </row>
    <row r="1558" spans="10:11" x14ac:dyDescent="0.25">
      <c r="J1558" s="903">
        <f t="shared" si="29"/>
        <v>1554</v>
      </c>
      <c r="K1558" s="566">
        <v>16</v>
      </c>
    </row>
    <row r="1559" spans="10:11" x14ac:dyDescent="0.25">
      <c r="J1559" s="903">
        <f t="shared" si="29"/>
        <v>1555</v>
      </c>
      <c r="K1559" s="566">
        <v>16</v>
      </c>
    </row>
    <row r="1560" spans="10:11" x14ac:dyDescent="0.25">
      <c r="J1560" s="903">
        <f t="shared" si="29"/>
        <v>1556</v>
      </c>
      <c r="K1560" s="566">
        <v>16</v>
      </c>
    </row>
    <row r="1561" spans="10:11" x14ac:dyDescent="0.25">
      <c r="J1561" s="903">
        <f t="shared" si="29"/>
        <v>1557</v>
      </c>
      <c r="K1561" s="566">
        <v>16</v>
      </c>
    </row>
    <row r="1562" spans="10:11" x14ac:dyDescent="0.25">
      <c r="J1562" s="903">
        <f t="shared" si="29"/>
        <v>1558</v>
      </c>
      <c r="K1562" s="566">
        <v>16</v>
      </c>
    </row>
    <row r="1563" spans="10:11" x14ac:dyDescent="0.25">
      <c r="J1563" s="903">
        <f t="shared" si="29"/>
        <v>1559</v>
      </c>
      <c r="K1563" s="566">
        <v>16</v>
      </c>
    </row>
    <row r="1564" spans="10:11" x14ac:dyDescent="0.25">
      <c r="J1564" s="903">
        <f t="shared" si="29"/>
        <v>1560</v>
      </c>
      <c r="K1564" s="566">
        <v>16</v>
      </c>
    </row>
    <row r="1565" spans="10:11" x14ac:dyDescent="0.25">
      <c r="J1565" s="903">
        <f t="shared" si="29"/>
        <v>1561</v>
      </c>
      <c r="K1565" s="566">
        <v>16</v>
      </c>
    </row>
    <row r="1566" spans="10:11" x14ac:dyDescent="0.25">
      <c r="J1566" s="903">
        <f t="shared" si="29"/>
        <v>1562</v>
      </c>
      <c r="K1566" s="566">
        <v>16</v>
      </c>
    </row>
    <row r="1567" spans="10:11" x14ac:dyDescent="0.25">
      <c r="J1567" s="903">
        <f t="shared" si="29"/>
        <v>1563</v>
      </c>
      <c r="K1567" s="566">
        <v>16</v>
      </c>
    </row>
    <row r="1568" spans="10:11" x14ac:dyDescent="0.25">
      <c r="J1568" s="903">
        <f t="shared" si="29"/>
        <v>1564</v>
      </c>
      <c r="K1568" s="566">
        <v>16</v>
      </c>
    </row>
    <row r="1569" spans="10:11" x14ac:dyDescent="0.25">
      <c r="J1569" s="903">
        <f t="shared" si="29"/>
        <v>1565</v>
      </c>
      <c r="K1569" s="566">
        <v>16</v>
      </c>
    </row>
    <row r="1570" spans="10:11" x14ac:dyDescent="0.25">
      <c r="J1570" s="903">
        <f t="shared" si="29"/>
        <v>1566</v>
      </c>
      <c r="K1570" s="566">
        <v>16</v>
      </c>
    </row>
    <row r="1571" spans="10:11" x14ac:dyDescent="0.25">
      <c r="J1571" s="903">
        <f t="shared" si="29"/>
        <v>1567</v>
      </c>
      <c r="K1571" s="566">
        <v>16</v>
      </c>
    </row>
    <row r="1572" spans="10:11" x14ac:dyDescent="0.25">
      <c r="J1572" s="903">
        <f t="shared" si="29"/>
        <v>1568</v>
      </c>
      <c r="K1572" s="566">
        <v>16</v>
      </c>
    </row>
    <row r="1573" spans="10:11" x14ac:dyDescent="0.25">
      <c r="J1573" s="903">
        <f t="shared" si="29"/>
        <v>1569</v>
      </c>
      <c r="K1573" s="566">
        <v>16</v>
      </c>
    </row>
    <row r="1574" spans="10:11" x14ac:dyDescent="0.25">
      <c r="J1574" s="903">
        <f t="shared" si="29"/>
        <v>1570</v>
      </c>
      <c r="K1574" s="566">
        <v>16</v>
      </c>
    </row>
    <row r="1575" spans="10:11" x14ac:dyDescent="0.25">
      <c r="J1575" s="903">
        <f t="shared" si="29"/>
        <v>1571</v>
      </c>
      <c r="K1575" s="566">
        <v>16</v>
      </c>
    </row>
    <row r="1576" spans="10:11" x14ac:dyDescent="0.25">
      <c r="J1576" s="903">
        <f t="shared" si="29"/>
        <v>1572</v>
      </c>
      <c r="K1576" s="566">
        <v>16</v>
      </c>
    </row>
    <row r="1577" spans="10:11" x14ac:dyDescent="0.25">
      <c r="J1577" s="903">
        <f t="shared" si="29"/>
        <v>1573</v>
      </c>
      <c r="K1577" s="566">
        <v>16</v>
      </c>
    </row>
    <row r="1578" spans="10:11" x14ac:dyDescent="0.25">
      <c r="J1578" s="903">
        <f t="shared" si="29"/>
        <v>1574</v>
      </c>
      <c r="K1578" s="566">
        <v>16</v>
      </c>
    </row>
    <row r="1579" spans="10:11" x14ac:dyDescent="0.25">
      <c r="J1579" s="903">
        <f t="shared" si="29"/>
        <v>1575</v>
      </c>
      <c r="K1579" s="566">
        <v>16</v>
      </c>
    </row>
    <row r="1580" spans="10:11" x14ac:dyDescent="0.25">
      <c r="J1580" s="903">
        <f t="shared" si="29"/>
        <v>1576</v>
      </c>
      <c r="K1580" s="566">
        <v>16</v>
      </c>
    </row>
    <row r="1581" spans="10:11" x14ac:dyDescent="0.25">
      <c r="J1581" s="903">
        <f t="shared" si="29"/>
        <v>1577</v>
      </c>
      <c r="K1581" s="566">
        <v>16</v>
      </c>
    </row>
    <row r="1582" spans="10:11" x14ac:dyDescent="0.25">
      <c r="J1582" s="903">
        <f t="shared" si="29"/>
        <v>1578</v>
      </c>
      <c r="K1582" s="566">
        <v>16</v>
      </c>
    </row>
    <row r="1583" spans="10:11" x14ac:dyDescent="0.25">
      <c r="J1583" s="903">
        <f t="shared" si="29"/>
        <v>1579</v>
      </c>
      <c r="K1583" s="566">
        <v>16</v>
      </c>
    </row>
    <row r="1584" spans="10:11" x14ac:dyDescent="0.25">
      <c r="J1584" s="903">
        <f t="shared" si="29"/>
        <v>1580</v>
      </c>
      <c r="K1584" s="566">
        <v>16</v>
      </c>
    </row>
    <row r="1585" spans="10:11" x14ac:dyDescent="0.25">
      <c r="J1585" s="903">
        <f t="shared" si="29"/>
        <v>1581</v>
      </c>
      <c r="K1585" s="566">
        <v>16</v>
      </c>
    </row>
    <row r="1586" spans="10:11" x14ac:dyDescent="0.25">
      <c r="J1586" s="903">
        <f t="shared" si="29"/>
        <v>1582</v>
      </c>
      <c r="K1586" s="566">
        <v>16</v>
      </c>
    </row>
    <row r="1587" spans="10:11" x14ac:dyDescent="0.25">
      <c r="J1587" s="903">
        <f t="shared" si="29"/>
        <v>1583</v>
      </c>
      <c r="K1587" s="566">
        <v>16</v>
      </c>
    </row>
    <row r="1588" spans="10:11" x14ac:dyDescent="0.25">
      <c r="J1588" s="903">
        <f t="shared" si="29"/>
        <v>1584</v>
      </c>
      <c r="K1588" s="566">
        <v>16</v>
      </c>
    </row>
    <row r="1589" spans="10:11" x14ac:dyDescent="0.25">
      <c r="J1589" s="903">
        <f t="shared" si="29"/>
        <v>1585</v>
      </c>
      <c r="K1589" s="566">
        <v>16</v>
      </c>
    </row>
    <row r="1590" spans="10:11" x14ac:dyDescent="0.25">
      <c r="J1590" s="903">
        <f t="shared" si="29"/>
        <v>1586</v>
      </c>
      <c r="K1590" s="566">
        <v>16</v>
      </c>
    </row>
    <row r="1591" spans="10:11" x14ac:dyDescent="0.25">
      <c r="J1591" s="903">
        <f t="shared" si="29"/>
        <v>1587</v>
      </c>
      <c r="K1591" s="566">
        <v>16</v>
      </c>
    </row>
    <row r="1592" spans="10:11" x14ac:dyDescent="0.25">
      <c r="J1592" s="903">
        <f t="shared" si="29"/>
        <v>1588</v>
      </c>
      <c r="K1592" s="566">
        <v>16</v>
      </c>
    </row>
    <row r="1593" spans="10:11" x14ac:dyDescent="0.25">
      <c r="J1593" s="903">
        <f t="shared" si="29"/>
        <v>1589</v>
      </c>
      <c r="K1593" s="566">
        <v>16</v>
      </c>
    </row>
    <row r="1594" spans="10:11" x14ac:dyDescent="0.25">
      <c r="J1594" s="903">
        <f t="shared" si="29"/>
        <v>1590</v>
      </c>
      <c r="K1594" s="566">
        <v>16</v>
      </c>
    </row>
    <row r="1595" spans="10:11" x14ac:dyDescent="0.25">
      <c r="J1595" s="903">
        <f t="shared" si="29"/>
        <v>1591</v>
      </c>
      <c r="K1595" s="566">
        <v>16</v>
      </c>
    </row>
    <row r="1596" spans="10:11" x14ac:dyDescent="0.25">
      <c r="J1596" s="903">
        <f t="shared" si="29"/>
        <v>1592</v>
      </c>
      <c r="K1596" s="566">
        <v>16</v>
      </c>
    </row>
    <row r="1597" spans="10:11" x14ac:dyDescent="0.25">
      <c r="J1597" s="903">
        <f t="shared" si="29"/>
        <v>1593</v>
      </c>
      <c r="K1597" s="566">
        <v>16</v>
      </c>
    </row>
    <row r="1598" spans="10:11" x14ac:dyDescent="0.25">
      <c r="J1598" s="903">
        <f t="shared" si="29"/>
        <v>1594</v>
      </c>
      <c r="K1598" s="566">
        <v>16</v>
      </c>
    </row>
    <row r="1599" spans="10:11" x14ac:dyDescent="0.25">
      <c r="J1599" s="903">
        <f t="shared" si="29"/>
        <v>1595</v>
      </c>
      <c r="K1599" s="566">
        <v>16</v>
      </c>
    </row>
    <row r="1600" spans="10:11" x14ac:dyDescent="0.25">
      <c r="J1600" s="903">
        <f t="shared" si="29"/>
        <v>1596</v>
      </c>
      <c r="K1600" s="566">
        <v>16</v>
      </c>
    </row>
    <row r="1601" spans="10:11" x14ac:dyDescent="0.25">
      <c r="J1601" s="903">
        <f t="shared" si="29"/>
        <v>1597</v>
      </c>
      <c r="K1601" s="566">
        <v>16</v>
      </c>
    </row>
    <row r="1602" spans="10:11" x14ac:dyDescent="0.25">
      <c r="J1602" s="903">
        <f t="shared" si="29"/>
        <v>1598</v>
      </c>
      <c r="K1602" s="566">
        <v>16</v>
      </c>
    </row>
    <row r="1603" spans="10:11" x14ac:dyDescent="0.25">
      <c r="J1603" s="903">
        <f t="shared" si="29"/>
        <v>1599</v>
      </c>
      <c r="K1603" s="566">
        <v>16</v>
      </c>
    </row>
    <row r="1604" spans="10:11" x14ac:dyDescent="0.25">
      <c r="J1604" s="903">
        <f t="shared" si="29"/>
        <v>1600</v>
      </c>
      <c r="K1604" s="566">
        <v>16</v>
      </c>
    </row>
    <row r="1605" spans="10:11" x14ac:dyDescent="0.25">
      <c r="J1605" s="903">
        <f t="shared" si="29"/>
        <v>1601</v>
      </c>
      <c r="K1605" s="566">
        <v>16</v>
      </c>
    </row>
    <row r="1606" spans="10:11" x14ac:dyDescent="0.25">
      <c r="J1606" s="903">
        <f t="shared" si="29"/>
        <v>1602</v>
      </c>
      <c r="K1606" s="566">
        <v>16</v>
      </c>
    </row>
    <row r="1607" spans="10:11" x14ac:dyDescent="0.25">
      <c r="J1607" s="903">
        <f t="shared" si="29"/>
        <v>1603</v>
      </c>
      <c r="K1607" s="566">
        <v>16</v>
      </c>
    </row>
    <row r="1608" spans="10:11" x14ac:dyDescent="0.25">
      <c r="J1608" s="903">
        <f t="shared" si="29"/>
        <v>1604</v>
      </c>
      <c r="K1608" s="566">
        <v>16</v>
      </c>
    </row>
    <row r="1609" spans="10:11" x14ac:dyDescent="0.25">
      <c r="J1609" s="903">
        <f t="shared" si="29"/>
        <v>1605</v>
      </c>
      <c r="K1609" s="566">
        <v>16</v>
      </c>
    </row>
    <row r="1610" spans="10:11" x14ac:dyDescent="0.25">
      <c r="J1610" s="903">
        <f t="shared" si="29"/>
        <v>1606</v>
      </c>
      <c r="K1610" s="566">
        <v>16</v>
      </c>
    </row>
    <row r="1611" spans="10:11" x14ac:dyDescent="0.25">
      <c r="J1611" s="903">
        <f t="shared" si="29"/>
        <v>1607</v>
      </c>
      <c r="K1611" s="566">
        <v>16</v>
      </c>
    </row>
    <row r="1612" spans="10:11" x14ac:dyDescent="0.25">
      <c r="J1612" s="903">
        <f t="shared" si="29"/>
        <v>1608</v>
      </c>
      <c r="K1612" s="566">
        <v>16</v>
      </c>
    </row>
    <row r="1613" spans="10:11" x14ac:dyDescent="0.25">
      <c r="J1613" s="903">
        <f t="shared" si="29"/>
        <v>1609</v>
      </c>
      <c r="K1613" s="566">
        <v>16</v>
      </c>
    </row>
    <row r="1614" spans="10:11" x14ac:dyDescent="0.25">
      <c r="J1614" s="903">
        <f t="shared" si="29"/>
        <v>1610</v>
      </c>
      <c r="K1614" s="566">
        <v>16</v>
      </c>
    </row>
    <row r="1615" spans="10:11" x14ac:dyDescent="0.25">
      <c r="J1615" s="903">
        <f t="shared" si="29"/>
        <v>1611</v>
      </c>
      <c r="K1615" s="566">
        <v>16</v>
      </c>
    </row>
    <row r="1616" spans="10:11" x14ac:dyDescent="0.25">
      <c r="J1616" s="903">
        <f t="shared" si="29"/>
        <v>1612</v>
      </c>
      <c r="K1616" s="566">
        <v>16</v>
      </c>
    </row>
    <row r="1617" spans="10:11" x14ac:dyDescent="0.25">
      <c r="J1617" s="903">
        <f t="shared" si="29"/>
        <v>1613</v>
      </c>
      <c r="K1617" s="566">
        <v>16</v>
      </c>
    </row>
    <row r="1618" spans="10:11" x14ac:dyDescent="0.25">
      <c r="J1618" s="903">
        <f t="shared" si="29"/>
        <v>1614</v>
      </c>
      <c r="K1618" s="566">
        <v>16</v>
      </c>
    </row>
    <row r="1619" spans="10:11" x14ac:dyDescent="0.25">
      <c r="J1619" s="903">
        <f t="shared" si="29"/>
        <v>1615</v>
      </c>
      <c r="K1619" s="566">
        <v>16</v>
      </c>
    </row>
    <row r="1620" spans="10:11" x14ac:dyDescent="0.25">
      <c r="J1620" s="903">
        <f t="shared" si="29"/>
        <v>1616</v>
      </c>
      <c r="K1620" s="566">
        <v>16</v>
      </c>
    </row>
    <row r="1621" spans="10:11" x14ac:dyDescent="0.25">
      <c r="J1621" s="903">
        <f t="shared" ref="J1621:J1684" si="30">J1620+1</f>
        <v>1617</v>
      </c>
      <c r="K1621" s="566">
        <v>16</v>
      </c>
    </row>
    <row r="1622" spans="10:11" x14ac:dyDescent="0.25">
      <c r="J1622" s="903">
        <f t="shared" si="30"/>
        <v>1618</v>
      </c>
      <c r="K1622" s="566">
        <v>16</v>
      </c>
    </row>
    <row r="1623" spans="10:11" x14ac:dyDescent="0.25">
      <c r="J1623" s="903">
        <f t="shared" si="30"/>
        <v>1619</v>
      </c>
      <c r="K1623" s="566">
        <v>16</v>
      </c>
    </row>
    <row r="1624" spans="10:11" x14ac:dyDescent="0.25">
      <c r="J1624" s="903">
        <f t="shared" si="30"/>
        <v>1620</v>
      </c>
      <c r="K1624" s="566">
        <v>17</v>
      </c>
    </row>
    <row r="1625" spans="10:11" x14ac:dyDescent="0.25">
      <c r="J1625" s="903">
        <f t="shared" si="30"/>
        <v>1621</v>
      </c>
      <c r="K1625" s="566">
        <v>17</v>
      </c>
    </row>
    <row r="1626" spans="10:11" x14ac:dyDescent="0.25">
      <c r="J1626" s="903">
        <f t="shared" si="30"/>
        <v>1622</v>
      </c>
      <c r="K1626" s="566">
        <v>17</v>
      </c>
    </row>
    <row r="1627" spans="10:11" x14ac:dyDescent="0.25">
      <c r="J1627" s="903">
        <f t="shared" si="30"/>
        <v>1623</v>
      </c>
      <c r="K1627" s="566">
        <v>17</v>
      </c>
    </row>
    <row r="1628" spans="10:11" x14ac:dyDescent="0.25">
      <c r="J1628" s="903">
        <f t="shared" si="30"/>
        <v>1624</v>
      </c>
      <c r="K1628" s="566">
        <v>17</v>
      </c>
    </row>
    <row r="1629" spans="10:11" x14ac:dyDescent="0.25">
      <c r="J1629" s="903">
        <f t="shared" si="30"/>
        <v>1625</v>
      </c>
      <c r="K1629" s="566">
        <v>17</v>
      </c>
    </row>
    <row r="1630" spans="10:11" x14ac:dyDescent="0.25">
      <c r="J1630" s="903">
        <f t="shared" si="30"/>
        <v>1626</v>
      </c>
      <c r="K1630" s="566">
        <v>17</v>
      </c>
    </row>
    <row r="1631" spans="10:11" x14ac:dyDescent="0.25">
      <c r="J1631" s="903">
        <f t="shared" si="30"/>
        <v>1627</v>
      </c>
      <c r="K1631" s="566">
        <v>17</v>
      </c>
    </row>
    <row r="1632" spans="10:11" x14ac:dyDescent="0.25">
      <c r="J1632" s="903">
        <f t="shared" si="30"/>
        <v>1628</v>
      </c>
      <c r="K1632" s="566">
        <v>17</v>
      </c>
    </row>
    <row r="1633" spans="10:11" x14ac:dyDescent="0.25">
      <c r="J1633" s="903">
        <f t="shared" si="30"/>
        <v>1629</v>
      </c>
      <c r="K1633" s="566">
        <v>17</v>
      </c>
    </row>
    <row r="1634" spans="10:11" x14ac:dyDescent="0.25">
      <c r="J1634" s="903">
        <f t="shared" si="30"/>
        <v>1630</v>
      </c>
      <c r="K1634" s="566">
        <v>17</v>
      </c>
    </row>
    <row r="1635" spans="10:11" x14ac:dyDescent="0.25">
      <c r="J1635" s="903">
        <f t="shared" si="30"/>
        <v>1631</v>
      </c>
      <c r="K1635" s="566">
        <v>17</v>
      </c>
    </row>
    <row r="1636" spans="10:11" x14ac:dyDescent="0.25">
      <c r="J1636" s="903">
        <f t="shared" si="30"/>
        <v>1632</v>
      </c>
      <c r="K1636" s="566">
        <v>17</v>
      </c>
    </row>
    <row r="1637" spans="10:11" x14ac:dyDescent="0.25">
      <c r="J1637" s="903">
        <f t="shared" si="30"/>
        <v>1633</v>
      </c>
      <c r="K1637" s="566">
        <v>17</v>
      </c>
    </row>
    <row r="1638" spans="10:11" x14ac:dyDescent="0.25">
      <c r="J1638" s="903">
        <f t="shared" si="30"/>
        <v>1634</v>
      </c>
      <c r="K1638" s="566">
        <v>17</v>
      </c>
    </row>
    <row r="1639" spans="10:11" x14ac:dyDescent="0.25">
      <c r="J1639" s="903">
        <f t="shared" si="30"/>
        <v>1635</v>
      </c>
      <c r="K1639" s="566">
        <v>17</v>
      </c>
    </row>
    <row r="1640" spans="10:11" x14ac:dyDescent="0.25">
      <c r="J1640" s="903">
        <f t="shared" si="30"/>
        <v>1636</v>
      </c>
      <c r="K1640" s="566">
        <v>17</v>
      </c>
    </row>
    <row r="1641" spans="10:11" x14ac:dyDescent="0.25">
      <c r="J1641" s="903">
        <f t="shared" si="30"/>
        <v>1637</v>
      </c>
      <c r="K1641" s="566">
        <v>17</v>
      </c>
    </row>
    <row r="1642" spans="10:11" x14ac:dyDescent="0.25">
      <c r="J1642" s="903">
        <f t="shared" si="30"/>
        <v>1638</v>
      </c>
      <c r="K1642" s="566">
        <v>17</v>
      </c>
    </row>
    <row r="1643" spans="10:11" x14ac:dyDescent="0.25">
      <c r="J1643" s="903">
        <f t="shared" si="30"/>
        <v>1639</v>
      </c>
      <c r="K1643" s="566">
        <v>17</v>
      </c>
    </row>
    <row r="1644" spans="10:11" x14ac:dyDescent="0.25">
      <c r="J1644" s="903">
        <f t="shared" si="30"/>
        <v>1640</v>
      </c>
      <c r="K1644" s="566">
        <v>17</v>
      </c>
    </row>
    <row r="1645" spans="10:11" x14ac:dyDescent="0.25">
      <c r="J1645" s="903">
        <f t="shared" si="30"/>
        <v>1641</v>
      </c>
      <c r="K1645" s="566">
        <v>17</v>
      </c>
    </row>
    <row r="1646" spans="10:11" x14ac:dyDescent="0.25">
      <c r="J1646" s="903">
        <f t="shared" si="30"/>
        <v>1642</v>
      </c>
      <c r="K1646" s="566">
        <v>17</v>
      </c>
    </row>
    <row r="1647" spans="10:11" x14ac:dyDescent="0.25">
      <c r="J1647" s="903">
        <f t="shared" si="30"/>
        <v>1643</v>
      </c>
      <c r="K1647" s="566">
        <v>17</v>
      </c>
    </row>
    <row r="1648" spans="10:11" x14ac:dyDescent="0.25">
      <c r="J1648" s="903">
        <f t="shared" si="30"/>
        <v>1644</v>
      </c>
      <c r="K1648" s="566">
        <v>17</v>
      </c>
    </row>
    <row r="1649" spans="10:11" x14ac:dyDescent="0.25">
      <c r="J1649" s="903">
        <f t="shared" si="30"/>
        <v>1645</v>
      </c>
      <c r="K1649" s="566">
        <v>17</v>
      </c>
    </row>
    <row r="1650" spans="10:11" x14ac:dyDescent="0.25">
      <c r="J1650" s="903">
        <f t="shared" si="30"/>
        <v>1646</v>
      </c>
      <c r="K1650" s="566">
        <v>17</v>
      </c>
    </row>
    <row r="1651" spans="10:11" x14ac:dyDescent="0.25">
      <c r="J1651" s="903">
        <f t="shared" si="30"/>
        <v>1647</v>
      </c>
      <c r="K1651" s="566">
        <v>17</v>
      </c>
    </row>
    <row r="1652" spans="10:11" x14ac:dyDescent="0.25">
      <c r="J1652" s="903">
        <f t="shared" si="30"/>
        <v>1648</v>
      </c>
      <c r="K1652" s="566">
        <v>17</v>
      </c>
    </row>
    <row r="1653" spans="10:11" x14ac:dyDescent="0.25">
      <c r="J1653" s="903">
        <f t="shared" si="30"/>
        <v>1649</v>
      </c>
      <c r="K1653" s="566">
        <v>17</v>
      </c>
    </row>
    <row r="1654" spans="10:11" x14ac:dyDescent="0.25">
      <c r="J1654" s="903">
        <f t="shared" si="30"/>
        <v>1650</v>
      </c>
      <c r="K1654" s="566">
        <v>17</v>
      </c>
    </row>
    <row r="1655" spans="10:11" x14ac:dyDescent="0.25">
      <c r="J1655" s="903">
        <f t="shared" si="30"/>
        <v>1651</v>
      </c>
      <c r="K1655" s="566">
        <v>17</v>
      </c>
    </row>
    <row r="1656" spans="10:11" x14ac:dyDescent="0.25">
      <c r="J1656" s="903">
        <f t="shared" si="30"/>
        <v>1652</v>
      </c>
      <c r="K1656" s="566">
        <v>17</v>
      </c>
    </row>
    <row r="1657" spans="10:11" x14ac:dyDescent="0.25">
      <c r="J1657" s="903">
        <f t="shared" si="30"/>
        <v>1653</v>
      </c>
      <c r="K1657" s="566">
        <v>17</v>
      </c>
    </row>
    <row r="1658" spans="10:11" x14ac:dyDescent="0.25">
      <c r="J1658" s="903">
        <f t="shared" si="30"/>
        <v>1654</v>
      </c>
      <c r="K1658" s="566">
        <v>17</v>
      </c>
    </row>
    <row r="1659" spans="10:11" x14ac:dyDescent="0.25">
      <c r="J1659" s="903">
        <f t="shared" si="30"/>
        <v>1655</v>
      </c>
      <c r="K1659" s="566">
        <v>17</v>
      </c>
    </row>
    <row r="1660" spans="10:11" x14ac:dyDescent="0.25">
      <c r="J1660" s="903">
        <f t="shared" si="30"/>
        <v>1656</v>
      </c>
      <c r="K1660" s="566">
        <v>17</v>
      </c>
    </row>
    <row r="1661" spans="10:11" x14ac:dyDescent="0.25">
      <c r="J1661" s="903">
        <f t="shared" si="30"/>
        <v>1657</v>
      </c>
      <c r="K1661" s="566">
        <v>17</v>
      </c>
    </row>
    <row r="1662" spans="10:11" x14ac:dyDescent="0.25">
      <c r="J1662" s="903">
        <f t="shared" si="30"/>
        <v>1658</v>
      </c>
      <c r="K1662" s="566">
        <v>17</v>
      </c>
    </row>
    <row r="1663" spans="10:11" x14ac:dyDescent="0.25">
      <c r="J1663" s="903">
        <f t="shared" si="30"/>
        <v>1659</v>
      </c>
      <c r="K1663" s="566">
        <v>17</v>
      </c>
    </row>
    <row r="1664" spans="10:11" x14ac:dyDescent="0.25">
      <c r="J1664" s="903">
        <f t="shared" si="30"/>
        <v>1660</v>
      </c>
      <c r="K1664" s="566">
        <v>17</v>
      </c>
    </row>
    <row r="1665" spans="10:11" x14ac:dyDescent="0.25">
      <c r="J1665" s="903">
        <f t="shared" si="30"/>
        <v>1661</v>
      </c>
      <c r="K1665" s="566">
        <v>17</v>
      </c>
    </row>
    <row r="1666" spans="10:11" x14ac:dyDescent="0.25">
      <c r="J1666" s="903">
        <f t="shared" si="30"/>
        <v>1662</v>
      </c>
      <c r="K1666" s="566">
        <v>17</v>
      </c>
    </row>
    <row r="1667" spans="10:11" x14ac:dyDescent="0.25">
      <c r="J1667" s="903">
        <f t="shared" si="30"/>
        <v>1663</v>
      </c>
      <c r="K1667" s="566">
        <v>17</v>
      </c>
    </row>
    <row r="1668" spans="10:11" x14ac:dyDescent="0.25">
      <c r="J1668" s="903">
        <f t="shared" si="30"/>
        <v>1664</v>
      </c>
      <c r="K1668" s="566">
        <v>17</v>
      </c>
    </row>
    <row r="1669" spans="10:11" x14ac:dyDescent="0.25">
      <c r="J1669" s="903">
        <f t="shared" si="30"/>
        <v>1665</v>
      </c>
      <c r="K1669" s="566">
        <v>17</v>
      </c>
    </row>
    <row r="1670" spans="10:11" x14ac:dyDescent="0.25">
      <c r="J1670" s="903">
        <f t="shared" si="30"/>
        <v>1666</v>
      </c>
      <c r="K1670" s="566">
        <v>17</v>
      </c>
    </row>
    <row r="1671" spans="10:11" x14ac:dyDescent="0.25">
      <c r="J1671" s="903">
        <f t="shared" si="30"/>
        <v>1667</v>
      </c>
      <c r="K1671" s="566">
        <v>17</v>
      </c>
    </row>
    <row r="1672" spans="10:11" x14ac:dyDescent="0.25">
      <c r="J1672" s="903">
        <f t="shared" si="30"/>
        <v>1668</v>
      </c>
      <c r="K1672" s="566">
        <v>17</v>
      </c>
    </row>
    <row r="1673" spans="10:11" x14ac:dyDescent="0.25">
      <c r="J1673" s="903">
        <f t="shared" si="30"/>
        <v>1669</v>
      </c>
      <c r="K1673" s="566">
        <v>17</v>
      </c>
    </row>
    <row r="1674" spans="10:11" x14ac:dyDescent="0.25">
      <c r="J1674" s="903">
        <f t="shared" si="30"/>
        <v>1670</v>
      </c>
      <c r="K1674" s="566">
        <v>17</v>
      </c>
    </row>
    <row r="1675" spans="10:11" x14ac:dyDescent="0.25">
      <c r="J1675" s="903">
        <f t="shared" si="30"/>
        <v>1671</v>
      </c>
      <c r="K1675" s="566">
        <v>17</v>
      </c>
    </row>
    <row r="1676" spans="10:11" x14ac:dyDescent="0.25">
      <c r="J1676" s="903">
        <f t="shared" si="30"/>
        <v>1672</v>
      </c>
      <c r="K1676" s="566">
        <v>17</v>
      </c>
    </row>
    <row r="1677" spans="10:11" x14ac:dyDescent="0.25">
      <c r="J1677" s="903">
        <f t="shared" si="30"/>
        <v>1673</v>
      </c>
      <c r="K1677" s="566">
        <v>17</v>
      </c>
    </row>
    <row r="1678" spans="10:11" x14ac:dyDescent="0.25">
      <c r="J1678" s="903">
        <f t="shared" si="30"/>
        <v>1674</v>
      </c>
      <c r="K1678" s="566">
        <v>17</v>
      </c>
    </row>
    <row r="1679" spans="10:11" x14ac:dyDescent="0.25">
      <c r="J1679" s="903">
        <f t="shared" si="30"/>
        <v>1675</v>
      </c>
      <c r="K1679" s="566">
        <v>17</v>
      </c>
    </row>
    <row r="1680" spans="10:11" x14ac:dyDescent="0.25">
      <c r="J1680" s="903">
        <f t="shared" si="30"/>
        <v>1676</v>
      </c>
      <c r="K1680" s="566">
        <v>17</v>
      </c>
    </row>
    <row r="1681" spans="10:11" x14ac:dyDescent="0.25">
      <c r="J1681" s="903">
        <f t="shared" si="30"/>
        <v>1677</v>
      </c>
      <c r="K1681" s="566">
        <v>17</v>
      </c>
    </row>
    <row r="1682" spans="10:11" x14ac:dyDescent="0.25">
      <c r="J1682" s="903">
        <f t="shared" si="30"/>
        <v>1678</v>
      </c>
      <c r="K1682" s="566">
        <v>17</v>
      </c>
    </row>
    <row r="1683" spans="10:11" x14ac:dyDescent="0.25">
      <c r="J1683" s="903">
        <f t="shared" si="30"/>
        <v>1679</v>
      </c>
      <c r="K1683" s="566">
        <v>17</v>
      </c>
    </row>
    <row r="1684" spans="10:11" x14ac:dyDescent="0.25">
      <c r="J1684" s="903">
        <f t="shared" si="30"/>
        <v>1680</v>
      </c>
      <c r="K1684" s="566">
        <v>17</v>
      </c>
    </row>
    <row r="1685" spans="10:11" x14ac:dyDescent="0.25">
      <c r="J1685" s="903">
        <f t="shared" ref="J1685:J1748" si="31">J1684+1</f>
        <v>1681</v>
      </c>
      <c r="K1685" s="566">
        <v>17</v>
      </c>
    </row>
    <row r="1686" spans="10:11" x14ac:dyDescent="0.25">
      <c r="J1686" s="903">
        <f t="shared" si="31"/>
        <v>1682</v>
      </c>
      <c r="K1686" s="566">
        <v>17</v>
      </c>
    </row>
    <row r="1687" spans="10:11" x14ac:dyDescent="0.25">
      <c r="J1687" s="903">
        <f t="shared" si="31"/>
        <v>1683</v>
      </c>
      <c r="K1687" s="566">
        <v>17</v>
      </c>
    </row>
    <row r="1688" spans="10:11" x14ac:dyDescent="0.25">
      <c r="J1688" s="903">
        <f t="shared" si="31"/>
        <v>1684</v>
      </c>
      <c r="K1688" s="566">
        <v>17</v>
      </c>
    </row>
    <row r="1689" spans="10:11" x14ac:dyDescent="0.25">
      <c r="J1689" s="903">
        <f t="shared" si="31"/>
        <v>1685</v>
      </c>
      <c r="K1689" s="566">
        <v>17</v>
      </c>
    </row>
    <row r="1690" spans="10:11" x14ac:dyDescent="0.25">
      <c r="J1690" s="903">
        <f t="shared" si="31"/>
        <v>1686</v>
      </c>
      <c r="K1690" s="566">
        <v>17</v>
      </c>
    </row>
    <row r="1691" spans="10:11" x14ac:dyDescent="0.25">
      <c r="J1691" s="903">
        <f t="shared" si="31"/>
        <v>1687</v>
      </c>
      <c r="K1691" s="566">
        <v>17</v>
      </c>
    </row>
    <row r="1692" spans="10:11" x14ac:dyDescent="0.25">
      <c r="J1692" s="903">
        <f t="shared" si="31"/>
        <v>1688</v>
      </c>
      <c r="K1692" s="566">
        <v>17</v>
      </c>
    </row>
    <row r="1693" spans="10:11" x14ac:dyDescent="0.25">
      <c r="J1693" s="903">
        <f t="shared" si="31"/>
        <v>1689</v>
      </c>
      <c r="K1693" s="566">
        <v>17</v>
      </c>
    </row>
    <row r="1694" spans="10:11" x14ac:dyDescent="0.25">
      <c r="J1694" s="903">
        <f t="shared" si="31"/>
        <v>1690</v>
      </c>
      <c r="K1694" s="566">
        <v>17</v>
      </c>
    </row>
    <row r="1695" spans="10:11" x14ac:dyDescent="0.25">
      <c r="J1695" s="903">
        <f t="shared" si="31"/>
        <v>1691</v>
      </c>
      <c r="K1695" s="566">
        <v>17</v>
      </c>
    </row>
    <row r="1696" spans="10:11" x14ac:dyDescent="0.25">
      <c r="J1696" s="903">
        <f t="shared" si="31"/>
        <v>1692</v>
      </c>
      <c r="K1696" s="566">
        <v>17</v>
      </c>
    </row>
    <row r="1697" spans="10:11" x14ac:dyDescent="0.25">
      <c r="J1697" s="903">
        <f t="shared" si="31"/>
        <v>1693</v>
      </c>
      <c r="K1697" s="566">
        <v>17</v>
      </c>
    </row>
    <row r="1698" spans="10:11" x14ac:dyDescent="0.25">
      <c r="J1698" s="903">
        <f t="shared" si="31"/>
        <v>1694</v>
      </c>
      <c r="K1698" s="566">
        <v>17</v>
      </c>
    </row>
    <row r="1699" spans="10:11" x14ac:dyDescent="0.25">
      <c r="J1699" s="903">
        <f t="shared" si="31"/>
        <v>1695</v>
      </c>
      <c r="K1699" s="566">
        <v>17</v>
      </c>
    </row>
    <row r="1700" spans="10:11" x14ac:dyDescent="0.25">
      <c r="J1700" s="903">
        <f t="shared" si="31"/>
        <v>1696</v>
      </c>
      <c r="K1700" s="566">
        <v>17</v>
      </c>
    </row>
    <row r="1701" spans="10:11" x14ac:dyDescent="0.25">
      <c r="J1701" s="903">
        <f t="shared" si="31"/>
        <v>1697</v>
      </c>
      <c r="K1701" s="566">
        <v>17</v>
      </c>
    </row>
    <row r="1702" spans="10:11" x14ac:dyDescent="0.25">
      <c r="J1702" s="903">
        <f t="shared" si="31"/>
        <v>1698</v>
      </c>
      <c r="K1702" s="566">
        <v>17</v>
      </c>
    </row>
    <row r="1703" spans="10:11" x14ac:dyDescent="0.25">
      <c r="J1703" s="903">
        <f t="shared" si="31"/>
        <v>1699</v>
      </c>
      <c r="K1703" s="566">
        <v>17</v>
      </c>
    </row>
    <row r="1704" spans="10:11" x14ac:dyDescent="0.25">
      <c r="J1704" s="903">
        <f t="shared" si="31"/>
        <v>1700</v>
      </c>
      <c r="K1704" s="566">
        <v>17</v>
      </c>
    </row>
    <row r="1705" spans="10:11" x14ac:dyDescent="0.25">
      <c r="J1705" s="903">
        <f t="shared" si="31"/>
        <v>1701</v>
      </c>
      <c r="K1705" s="566">
        <v>17</v>
      </c>
    </row>
    <row r="1706" spans="10:11" x14ac:dyDescent="0.25">
      <c r="J1706" s="903">
        <f t="shared" si="31"/>
        <v>1702</v>
      </c>
      <c r="K1706" s="566">
        <v>17</v>
      </c>
    </row>
    <row r="1707" spans="10:11" x14ac:dyDescent="0.25">
      <c r="J1707" s="903">
        <f t="shared" si="31"/>
        <v>1703</v>
      </c>
      <c r="K1707" s="566">
        <v>17</v>
      </c>
    </row>
    <row r="1708" spans="10:11" x14ac:dyDescent="0.25">
      <c r="J1708" s="903">
        <f t="shared" si="31"/>
        <v>1704</v>
      </c>
      <c r="K1708" s="566">
        <v>17</v>
      </c>
    </row>
    <row r="1709" spans="10:11" x14ac:dyDescent="0.25">
      <c r="J1709" s="903">
        <f t="shared" si="31"/>
        <v>1705</v>
      </c>
      <c r="K1709" s="566">
        <v>17</v>
      </c>
    </row>
    <row r="1710" spans="10:11" x14ac:dyDescent="0.25">
      <c r="J1710" s="903">
        <f t="shared" si="31"/>
        <v>1706</v>
      </c>
      <c r="K1710" s="566">
        <v>17</v>
      </c>
    </row>
    <row r="1711" spans="10:11" x14ac:dyDescent="0.25">
      <c r="J1711" s="903">
        <f t="shared" si="31"/>
        <v>1707</v>
      </c>
      <c r="K1711" s="566">
        <v>17</v>
      </c>
    </row>
    <row r="1712" spans="10:11" x14ac:dyDescent="0.25">
      <c r="J1712" s="903">
        <f t="shared" si="31"/>
        <v>1708</v>
      </c>
      <c r="K1712" s="566">
        <v>17</v>
      </c>
    </row>
    <row r="1713" spans="10:11" x14ac:dyDescent="0.25">
      <c r="J1713" s="903">
        <f t="shared" si="31"/>
        <v>1709</v>
      </c>
      <c r="K1713" s="566">
        <v>17</v>
      </c>
    </row>
    <row r="1714" spans="10:11" x14ac:dyDescent="0.25">
      <c r="J1714" s="903">
        <f t="shared" si="31"/>
        <v>1710</v>
      </c>
      <c r="K1714" s="566">
        <v>17</v>
      </c>
    </row>
    <row r="1715" spans="10:11" x14ac:dyDescent="0.25">
      <c r="J1715" s="903">
        <f t="shared" si="31"/>
        <v>1711</v>
      </c>
      <c r="K1715" s="566">
        <v>17</v>
      </c>
    </row>
    <row r="1716" spans="10:11" x14ac:dyDescent="0.25">
      <c r="J1716" s="903">
        <f t="shared" si="31"/>
        <v>1712</v>
      </c>
      <c r="K1716" s="566">
        <v>17</v>
      </c>
    </row>
    <row r="1717" spans="10:11" x14ac:dyDescent="0.25">
      <c r="J1717" s="903">
        <f t="shared" si="31"/>
        <v>1713</v>
      </c>
      <c r="K1717" s="566">
        <v>17</v>
      </c>
    </row>
    <row r="1718" spans="10:11" x14ac:dyDescent="0.25">
      <c r="J1718" s="903">
        <f t="shared" si="31"/>
        <v>1714</v>
      </c>
      <c r="K1718" s="566">
        <v>17</v>
      </c>
    </row>
    <row r="1719" spans="10:11" x14ac:dyDescent="0.25">
      <c r="J1719" s="903">
        <f t="shared" si="31"/>
        <v>1715</v>
      </c>
      <c r="K1719" s="566">
        <v>17</v>
      </c>
    </row>
    <row r="1720" spans="10:11" x14ac:dyDescent="0.25">
      <c r="J1720" s="903">
        <f t="shared" si="31"/>
        <v>1716</v>
      </c>
      <c r="K1720" s="566">
        <v>17</v>
      </c>
    </row>
    <row r="1721" spans="10:11" x14ac:dyDescent="0.25">
      <c r="J1721" s="903">
        <f t="shared" si="31"/>
        <v>1717</v>
      </c>
      <c r="K1721" s="566">
        <v>17</v>
      </c>
    </row>
    <row r="1722" spans="10:11" x14ac:dyDescent="0.25">
      <c r="J1722" s="903">
        <f t="shared" si="31"/>
        <v>1718</v>
      </c>
      <c r="K1722" s="566">
        <v>17</v>
      </c>
    </row>
    <row r="1723" spans="10:11" x14ac:dyDescent="0.25">
      <c r="J1723" s="903">
        <f t="shared" si="31"/>
        <v>1719</v>
      </c>
      <c r="K1723" s="566">
        <v>17</v>
      </c>
    </row>
    <row r="1724" spans="10:11" x14ac:dyDescent="0.25">
      <c r="J1724" s="903">
        <f t="shared" si="31"/>
        <v>1720</v>
      </c>
      <c r="K1724" s="566">
        <v>17</v>
      </c>
    </row>
    <row r="1725" spans="10:11" x14ac:dyDescent="0.25">
      <c r="J1725" s="903">
        <f t="shared" si="31"/>
        <v>1721</v>
      </c>
      <c r="K1725" s="566">
        <v>17</v>
      </c>
    </row>
    <row r="1726" spans="10:11" x14ac:dyDescent="0.25">
      <c r="J1726" s="903">
        <f t="shared" si="31"/>
        <v>1722</v>
      </c>
      <c r="K1726" s="566">
        <v>17</v>
      </c>
    </row>
    <row r="1727" spans="10:11" x14ac:dyDescent="0.25">
      <c r="J1727" s="903">
        <f t="shared" si="31"/>
        <v>1723</v>
      </c>
      <c r="K1727" s="566">
        <v>17</v>
      </c>
    </row>
    <row r="1728" spans="10:11" x14ac:dyDescent="0.25">
      <c r="J1728" s="903">
        <f t="shared" si="31"/>
        <v>1724</v>
      </c>
      <c r="K1728" s="566">
        <v>17</v>
      </c>
    </row>
    <row r="1729" spans="10:11" x14ac:dyDescent="0.25">
      <c r="J1729" s="903">
        <f t="shared" si="31"/>
        <v>1725</v>
      </c>
      <c r="K1729" s="566">
        <v>17</v>
      </c>
    </row>
    <row r="1730" spans="10:11" x14ac:dyDescent="0.25">
      <c r="J1730" s="903">
        <f t="shared" si="31"/>
        <v>1726</v>
      </c>
      <c r="K1730" s="566">
        <v>17</v>
      </c>
    </row>
    <row r="1731" spans="10:11" x14ac:dyDescent="0.25">
      <c r="J1731" s="903">
        <f t="shared" si="31"/>
        <v>1727</v>
      </c>
      <c r="K1731" s="566">
        <v>17</v>
      </c>
    </row>
    <row r="1732" spans="10:11" x14ac:dyDescent="0.25">
      <c r="J1732" s="903">
        <f t="shared" si="31"/>
        <v>1728</v>
      </c>
      <c r="K1732" s="566">
        <v>17</v>
      </c>
    </row>
    <row r="1733" spans="10:11" x14ac:dyDescent="0.25">
      <c r="J1733" s="903">
        <f t="shared" si="31"/>
        <v>1729</v>
      </c>
      <c r="K1733" s="566">
        <v>17</v>
      </c>
    </row>
    <row r="1734" spans="10:11" x14ac:dyDescent="0.25">
      <c r="J1734" s="903">
        <f t="shared" si="31"/>
        <v>1730</v>
      </c>
      <c r="K1734" s="566">
        <v>17</v>
      </c>
    </row>
    <row r="1735" spans="10:11" x14ac:dyDescent="0.25">
      <c r="J1735" s="903">
        <f t="shared" si="31"/>
        <v>1731</v>
      </c>
      <c r="K1735" s="566">
        <v>17</v>
      </c>
    </row>
    <row r="1736" spans="10:11" x14ac:dyDescent="0.25">
      <c r="J1736" s="903">
        <f t="shared" si="31"/>
        <v>1732</v>
      </c>
      <c r="K1736" s="566">
        <v>17</v>
      </c>
    </row>
    <row r="1737" spans="10:11" x14ac:dyDescent="0.25">
      <c r="J1737" s="903">
        <f t="shared" si="31"/>
        <v>1733</v>
      </c>
      <c r="K1737" s="566">
        <v>17</v>
      </c>
    </row>
    <row r="1738" spans="10:11" x14ac:dyDescent="0.25">
      <c r="J1738" s="903">
        <f t="shared" si="31"/>
        <v>1734</v>
      </c>
      <c r="K1738" s="566">
        <v>17</v>
      </c>
    </row>
    <row r="1739" spans="10:11" x14ac:dyDescent="0.25">
      <c r="J1739" s="903">
        <f t="shared" si="31"/>
        <v>1735</v>
      </c>
      <c r="K1739" s="566">
        <v>17</v>
      </c>
    </row>
    <row r="1740" spans="10:11" x14ac:dyDescent="0.25">
      <c r="J1740" s="903">
        <f t="shared" si="31"/>
        <v>1736</v>
      </c>
      <c r="K1740" s="566">
        <v>17</v>
      </c>
    </row>
    <row r="1741" spans="10:11" x14ac:dyDescent="0.25">
      <c r="J1741" s="903">
        <f t="shared" si="31"/>
        <v>1737</v>
      </c>
      <c r="K1741" s="566">
        <v>17</v>
      </c>
    </row>
    <row r="1742" spans="10:11" x14ac:dyDescent="0.25">
      <c r="J1742" s="903">
        <f t="shared" si="31"/>
        <v>1738</v>
      </c>
      <c r="K1742" s="566">
        <v>17</v>
      </c>
    </row>
    <row r="1743" spans="10:11" x14ac:dyDescent="0.25">
      <c r="J1743" s="903">
        <f t="shared" si="31"/>
        <v>1739</v>
      </c>
      <c r="K1743" s="566">
        <v>17</v>
      </c>
    </row>
    <row r="1744" spans="10:11" x14ac:dyDescent="0.25">
      <c r="J1744" s="903">
        <f t="shared" si="31"/>
        <v>1740</v>
      </c>
      <c r="K1744" s="566">
        <v>17</v>
      </c>
    </row>
    <row r="1745" spans="10:11" x14ac:dyDescent="0.25">
      <c r="J1745" s="903">
        <f t="shared" si="31"/>
        <v>1741</v>
      </c>
      <c r="K1745" s="566">
        <v>17</v>
      </c>
    </row>
    <row r="1746" spans="10:11" x14ac:dyDescent="0.25">
      <c r="J1746" s="903">
        <f t="shared" si="31"/>
        <v>1742</v>
      </c>
      <c r="K1746" s="566">
        <v>17</v>
      </c>
    </row>
    <row r="1747" spans="10:11" x14ac:dyDescent="0.25">
      <c r="J1747" s="903">
        <f t="shared" si="31"/>
        <v>1743</v>
      </c>
      <c r="K1747" s="566">
        <v>17</v>
      </c>
    </row>
    <row r="1748" spans="10:11" x14ac:dyDescent="0.25">
      <c r="J1748" s="903">
        <f t="shared" si="31"/>
        <v>1744</v>
      </c>
      <c r="K1748" s="566">
        <v>17</v>
      </c>
    </row>
    <row r="1749" spans="10:11" x14ac:dyDescent="0.25">
      <c r="J1749" s="903">
        <f t="shared" ref="J1749:J1812" si="32">J1748+1</f>
        <v>1745</v>
      </c>
      <c r="K1749" s="566">
        <v>17</v>
      </c>
    </row>
    <row r="1750" spans="10:11" x14ac:dyDescent="0.25">
      <c r="J1750" s="903">
        <f t="shared" si="32"/>
        <v>1746</v>
      </c>
      <c r="K1750" s="566">
        <v>17</v>
      </c>
    </row>
    <row r="1751" spans="10:11" x14ac:dyDescent="0.25">
      <c r="J1751" s="903">
        <f t="shared" si="32"/>
        <v>1747</v>
      </c>
      <c r="K1751" s="566">
        <v>17</v>
      </c>
    </row>
    <row r="1752" spans="10:11" x14ac:dyDescent="0.25">
      <c r="J1752" s="903">
        <f t="shared" si="32"/>
        <v>1748</v>
      </c>
      <c r="K1752" s="566">
        <v>17</v>
      </c>
    </row>
    <row r="1753" spans="10:11" x14ac:dyDescent="0.25">
      <c r="J1753" s="903">
        <f t="shared" si="32"/>
        <v>1749</v>
      </c>
      <c r="K1753" s="566">
        <v>17</v>
      </c>
    </row>
    <row r="1754" spans="10:11" x14ac:dyDescent="0.25">
      <c r="J1754" s="903">
        <f t="shared" si="32"/>
        <v>1750</v>
      </c>
      <c r="K1754" s="566">
        <v>17</v>
      </c>
    </row>
    <row r="1755" spans="10:11" x14ac:dyDescent="0.25">
      <c r="J1755" s="903">
        <f t="shared" si="32"/>
        <v>1751</v>
      </c>
      <c r="K1755" s="566">
        <v>17</v>
      </c>
    </row>
    <row r="1756" spans="10:11" x14ac:dyDescent="0.25">
      <c r="J1756" s="903">
        <f t="shared" si="32"/>
        <v>1752</v>
      </c>
      <c r="K1756" s="566">
        <v>17</v>
      </c>
    </row>
    <row r="1757" spans="10:11" x14ac:dyDescent="0.25">
      <c r="J1757" s="903">
        <f t="shared" si="32"/>
        <v>1753</v>
      </c>
      <c r="K1757" s="566">
        <v>17</v>
      </c>
    </row>
    <row r="1758" spans="10:11" x14ac:dyDescent="0.25">
      <c r="J1758" s="903">
        <f t="shared" si="32"/>
        <v>1754</v>
      </c>
      <c r="K1758" s="566">
        <v>17</v>
      </c>
    </row>
    <row r="1759" spans="10:11" x14ac:dyDescent="0.25">
      <c r="J1759" s="903">
        <f t="shared" si="32"/>
        <v>1755</v>
      </c>
      <c r="K1759" s="566">
        <v>17</v>
      </c>
    </row>
    <row r="1760" spans="10:11" x14ac:dyDescent="0.25">
      <c r="J1760" s="903">
        <f t="shared" si="32"/>
        <v>1756</v>
      </c>
      <c r="K1760" s="566">
        <v>17</v>
      </c>
    </row>
    <row r="1761" spans="10:11" x14ac:dyDescent="0.25">
      <c r="J1761" s="903">
        <f t="shared" si="32"/>
        <v>1757</v>
      </c>
      <c r="K1761" s="566">
        <v>17</v>
      </c>
    </row>
    <row r="1762" spans="10:11" x14ac:dyDescent="0.25">
      <c r="J1762" s="903">
        <f t="shared" si="32"/>
        <v>1758</v>
      </c>
      <c r="K1762" s="566">
        <v>17</v>
      </c>
    </row>
    <row r="1763" spans="10:11" x14ac:dyDescent="0.25">
      <c r="J1763" s="903">
        <f t="shared" si="32"/>
        <v>1759</v>
      </c>
      <c r="K1763" s="566">
        <v>17</v>
      </c>
    </row>
    <row r="1764" spans="10:11" x14ac:dyDescent="0.25">
      <c r="J1764" s="903">
        <f t="shared" si="32"/>
        <v>1760</v>
      </c>
      <c r="K1764" s="566">
        <v>17</v>
      </c>
    </row>
    <row r="1765" spans="10:11" x14ac:dyDescent="0.25">
      <c r="J1765" s="903">
        <f t="shared" si="32"/>
        <v>1761</v>
      </c>
      <c r="K1765" s="566">
        <v>17</v>
      </c>
    </row>
    <row r="1766" spans="10:11" x14ac:dyDescent="0.25">
      <c r="J1766" s="903">
        <f t="shared" si="32"/>
        <v>1762</v>
      </c>
      <c r="K1766" s="566">
        <v>17</v>
      </c>
    </row>
    <row r="1767" spans="10:11" x14ac:dyDescent="0.25">
      <c r="J1767" s="903">
        <f t="shared" si="32"/>
        <v>1763</v>
      </c>
      <c r="K1767" s="566">
        <v>17</v>
      </c>
    </row>
    <row r="1768" spans="10:11" x14ac:dyDescent="0.25">
      <c r="J1768" s="903">
        <f t="shared" si="32"/>
        <v>1764</v>
      </c>
      <c r="K1768" s="566">
        <v>17</v>
      </c>
    </row>
    <row r="1769" spans="10:11" x14ac:dyDescent="0.25">
      <c r="J1769" s="903">
        <f t="shared" si="32"/>
        <v>1765</v>
      </c>
      <c r="K1769" s="566">
        <v>17</v>
      </c>
    </row>
    <row r="1770" spans="10:11" x14ac:dyDescent="0.25">
      <c r="J1770" s="903">
        <f t="shared" si="32"/>
        <v>1766</v>
      </c>
      <c r="K1770" s="566">
        <v>17</v>
      </c>
    </row>
    <row r="1771" spans="10:11" x14ac:dyDescent="0.25">
      <c r="J1771" s="903">
        <f t="shared" si="32"/>
        <v>1767</v>
      </c>
      <c r="K1771" s="566">
        <v>17</v>
      </c>
    </row>
    <row r="1772" spans="10:11" x14ac:dyDescent="0.25">
      <c r="J1772" s="903">
        <f t="shared" si="32"/>
        <v>1768</v>
      </c>
      <c r="K1772" s="566">
        <v>17</v>
      </c>
    </row>
    <row r="1773" spans="10:11" x14ac:dyDescent="0.25">
      <c r="J1773" s="903">
        <f t="shared" si="32"/>
        <v>1769</v>
      </c>
      <c r="K1773" s="566">
        <v>17</v>
      </c>
    </row>
    <row r="1774" spans="10:11" x14ac:dyDescent="0.25">
      <c r="J1774" s="903">
        <f t="shared" si="32"/>
        <v>1770</v>
      </c>
      <c r="K1774" s="566">
        <v>17</v>
      </c>
    </row>
    <row r="1775" spans="10:11" x14ac:dyDescent="0.25">
      <c r="J1775" s="903">
        <f t="shared" si="32"/>
        <v>1771</v>
      </c>
      <c r="K1775" s="566">
        <v>17</v>
      </c>
    </row>
    <row r="1776" spans="10:11" x14ac:dyDescent="0.25">
      <c r="J1776" s="903">
        <f t="shared" si="32"/>
        <v>1772</v>
      </c>
      <c r="K1776" s="566">
        <v>17</v>
      </c>
    </row>
    <row r="1777" spans="10:11" x14ac:dyDescent="0.25">
      <c r="J1777" s="903">
        <f t="shared" si="32"/>
        <v>1773</v>
      </c>
      <c r="K1777" s="566">
        <v>17</v>
      </c>
    </row>
    <row r="1778" spans="10:11" x14ac:dyDescent="0.25">
      <c r="J1778" s="903">
        <f t="shared" si="32"/>
        <v>1774</v>
      </c>
      <c r="K1778" s="566">
        <v>17</v>
      </c>
    </row>
    <row r="1779" spans="10:11" x14ac:dyDescent="0.25">
      <c r="J1779" s="903">
        <f t="shared" si="32"/>
        <v>1775</v>
      </c>
      <c r="K1779" s="566">
        <v>17</v>
      </c>
    </row>
    <row r="1780" spans="10:11" x14ac:dyDescent="0.25">
      <c r="J1780" s="903">
        <f t="shared" si="32"/>
        <v>1776</v>
      </c>
      <c r="K1780" s="566">
        <v>17</v>
      </c>
    </row>
    <row r="1781" spans="10:11" x14ac:dyDescent="0.25">
      <c r="J1781" s="903">
        <f t="shared" si="32"/>
        <v>1777</v>
      </c>
      <c r="K1781" s="566">
        <v>17</v>
      </c>
    </row>
    <row r="1782" spans="10:11" x14ac:dyDescent="0.25">
      <c r="J1782" s="903">
        <f t="shared" si="32"/>
        <v>1778</v>
      </c>
      <c r="K1782" s="566">
        <v>17</v>
      </c>
    </row>
    <row r="1783" spans="10:11" x14ac:dyDescent="0.25">
      <c r="J1783" s="903">
        <f t="shared" si="32"/>
        <v>1779</v>
      </c>
      <c r="K1783" s="566">
        <v>17</v>
      </c>
    </row>
    <row r="1784" spans="10:11" x14ac:dyDescent="0.25">
      <c r="J1784" s="903">
        <f t="shared" si="32"/>
        <v>1780</v>
      </c>
      <c r="K1784" s="566">
        <v>17</v>
      </c>
    </row>
    <row r="1785" spans="10:11" x14ac:dyDescent="0.25">
      <c r="J1785" s="903">
        <f t="shared" si="32"/>
        <v>1781</v>
      </c>
      <c r="K1785" s="566">
        <v>17</v>
      </c>
    </row>
    <row r="1786" spans="10:11" x14ac:dyDescent="0.25">
      <c r="J1786" s="903">
        <f t="shared" si="32"/>
        <v>1782</v>
      </c>
      <c r="K1786" s="566">
        <v>17</v>
      </c>
    </row>
    <row r="1787" spans="10:11" x14ac:dyDescent="0.25">
      <c r="J1787" s="903">
        <f t="shared" si="32"/>
        <v>1783</v>
      </c>
      <c r="K1787" s="566">
        <v>17</v>
      </c>
    </row>
    <row r="1788" spans="10:11" x14ac:dyDescent="0.25">
      <c r="J1788" s="903">
        <f t="shared" si="32"/>
        <v>1784</v>
      </c>
      <c r="K1788" s="566">
        <v>17</v>
      </c>
    </row>
    <row r="1789" spans="10:11" x14ac:dyDescent="0.25">
      <c r="J1789" s="903">
        <f t="shared" si="32"/>
        <v>1785</v>
      </c>
      <c r="K1789" s="566">
        <v>17</v>
      </c>
    </row>
    <row r="1790" spans="10:11" x14ac:dyDescent="0.25">
      <c r="J1790" s="903">
        <f t="shared" si="32"/>
        <v>1786</v>
      </c>
      <c r="K1790" s="566">
        <v>17</v>
      </c>
    </row>
    <row r="1791" spans="10:11" x14ac:dyDescent="0.25">
      <c r="J1791" s="903">
        <f t="shared" si="32"/>
        <v>1787</v>
      </c>
      <c r="K1791" s="566">
        <v>17</v>
      </c>
    </row>
    <row r="1792" spans="10:11" x14ac:dyDescent="0.25">
      <c r="J1792" s="903">
        <f t="shared" si="32"/>
        <v>1788</v>
      </c>
      <c r="K1792" s="566">
        <v>17</v>
      </c>
    </row>
    <row r="1793" spans="10:11" x14ac:dyDescent="0.25">
      <c r="J1793" s="903">
        <f t="shared" si="32"/>
        <v>1789</v>
      </c>
      <c r="K1793" s="566">
        <v>17</v>
      </c>
    </row>
    <row r="1794" spans="10:11" x14ac:dyDescent="0.25">
      <c r="J1794" s="903">
        <f t="shared" si="32"/>
        <v>1790</v>
      </c>
      <c r="K1794" s="566">
        <v>17</v>
      </c>
    </row>
    <row r="1795" spans="10:11" x14ac:dyDescent="0.25">
      <c r="J1795" s="903">
        <f t="shared" si="32"/>
        <v>1791</v>
      </c>
      <c r="K1795" s="566">
        <v>17</v>
      </c>
    </row>
    <row r="1796" spans="10:11" x14ac:dyDescent="0.25">
      <c r="J1796" s="903">
        <f t="shared" si="32"/>
        <v>1792</v>
      </c>
      <c r="K1796" s="566">
        <v>17</v>
      </c>
    </row>
    <row r="1797" spans="10:11" x14ac:dyDescent="0.25">
      <c r="J1797" s="903">
        <f t="shared" si="32"/>
        <v>1793</v>
      </c>
      <c r="K1797" s="566">
        <v>17</v>
      </c>
    </row>
    <row r="1798" spans="10:11" x14ac:dyDescent="0.25">
      <c r="J1798" s="903">
        <f t="shared" si="32"/>
        <v>1794</v>
      </c>
      <c r="K1798" s="566">
        <v>17</v>
      </c>
    </row>
    <row r="1799" spans="10:11" x14ac:dyDescent="0.25">
      <c r="J1799" s="903">
        <f t="shared" si="32"/>
        <v>1795</v>
      </c>
      <c r="K1799" s="566">
        <v>17</v>
      </c>
    </row>
    <row r="1800" spans="10:11" x14ac:dyDescent="0.25">
      <c r="J1800" s="903">
        <f t="shared" si="32"/>
        <v>1796</v>
      </c>
      <c r="K1800" s="566">
        <v>17</v>
      </c>
    </row>
    <row r="1801" spans="10:11" x14ac:dyDescent="0.25">
      <c r="J1801" s="903">
        <f t="shared" si="32"/>
        <v>1797</v>
      </c>
      <c r="K1801" s="566">
        <v>17</v>
      </c>
    </row>
    <row r="1802" spans="10:11" x14ac:dyDescent="0.25">
      <c r="J1802" s="903">
        <f t="shared" si="32"/>
        <v>1798</v>
      </c>
      <c r="K1802" s="566">
        <v>17</v>
      </c>
    </row>
    <row r="1803" spans="10:11" x14ac:dyDescent="0.25">
      <c r="J1803" s="903">
        <f t="shared" si="32"/>
        <v>1799</v>
      </c>
      <c r="K1803" s="566">
        <v>17</v>
      </c>
    </row>
    <row r="1804" spans="10:11" x14ac:dyDescent="0.25">
      <c r="J1804" s="903">
        <f t="shared" si="32"/>
        <v>1800</v>
      </c>
      <c r="K1804" s="566">
        <v>17</v>
      </c>
    </row>
    <row r="1805" spans="10:11" x14ac:dyDescent="0.25">
      <c r="J1805" s="903">
        <f t="shared" si="32"/>
        <v>1801</v>
      </c>
      <c r="K1805" s="566">
        <v>17</v>
      </c>
    </row>
    <row r="1806" spans="10:11" x14ac:dyDescent="0.25">
      <c r="J1806" s="903">
        <f t="shared" si="32"/>
        <v>1802</v>
      </c>
      <c r="K1806" s="566">
        <v>17</v>
      </c>
    </row>
    <row r="1807" spans="10:11" x14ac:dyDescent="0.25">
      <c r="J1807" s="903">
        <f t="shared" si="32"/>
        <v>1803</v>
      </c>
      <c r="K1807" s="566">
        <v>17</v>
      </c>
    </row>
    <row r="1808" spans="10:11" x14ac:dyDescent="0.25">
      <c r="J1808" s="903">
        <f t="shared" si="32"/>
        <v>1804</v>
      </c>
      <c r="K1808" s="566">
        <v>17</v>
      </c>
    </row>
    <row r="1809" spans="10:11" x14ac:dyDescent="0.25">
      <c r="J1809" s="903">
        <f t="shared" si="32"/>
        <v>1805</v>
      </c>
      <c r="K1809" s="566">
        <v>17</v>
      </c>
    </row>
    <row r="1810" spans="10:11" x14ac:dyDescent="0.25">
      <c r="J1810" s="903">
        <f t="shared" si="32"/>
        <v>1806</v>
      </c>
      <c r="K1810" s="566">
        <v>17</v>
      </c>
    </row>
    <row r="1811" spans="10:11" x14ac:dyDescent="0.25">
      <c r="J1811" s="903">
        <f t="shared" si="32"/>
        <v>1807</v>
      </c>
      <c r="K1811" s="566">
        <v>17</v>
      </c>
    </row>
    <row r="1812" spans="10:11" x14ac:dyDescent="0.25">
      <c r="J1812" s="903">
        <f t="shared" si="32"/>
        <v>1808</v>
      </c>
      <c r="K1812" s="566">
        <v>17</v>
      </c>
    </row>
    <row r="1813" spans="10:11" x14ac:dyDescent="0.25">
      <c r="J1813" s="903">
        <f t="shared" ref="J1813:J1876" si="33">J1812+1</f>
        <v>1809</v>
      </c>
      <c r="K1813" s="566">
        <v>17</v>
      </c>
    </row>
    <row r="1814" spans="10:11" x14ac:dyDescent="0.25">
      <c r="J1814" s="903">
        <f t="shared" si="33"/>
        <v>1810</v>
      </c>
      <c r="K1814" s="566">
        <v>17</v>
      </c>
    </row>
    <row r="1815" spans="10:11" x14ac:dyDescent="0.25">
      <c r="J1815" s="903">
        <f t="shared" si="33"/>
        <v>1811</v>
      </c>
      <c r="K1815" s="566">
        <v>17</v>
      </c>
    </row>
    <row r="1816" spans="10:11" x14ac:dyDescent="0.25">
      <c r="J1816" s="903">
        <f t="shared" si="33"/>
        <v>1812</v>
      </c>
      <c r="K1816" s="566">
        <v>17</v>
      </c>
    </row>
    <row r="1817" spans="10:11" x14ac:dyDescent="0.25">
      <c r="J1817" s="903">
        <f t="shared" si="33"/>
        <v>1813</v>
      </c>
      <c r="K1817" s="566">
        <v>17</v>
      </c>
    </row>
    <row r="1818" spans="10:11" x14ac:dyDescent="0.25">
      <c r="J1818" s="903">
        <f t="shared" si="33"/>
        <v>1814</v>
      </c>
      <c r="K1818" s="566">
        <v>17</v>
      </c>
    </row>
    <row r="1819" spans="10:11" x14ac:dyDescent="0.25">
      <c r="J1819" s="903">
        <f t="shared" si="33"/>
        <v>1815</v>
      </c>
      <c r="K1819" s="566">
        <v>17</v>
      </c>
    </row>
    <row r="1820" spans="10:11" x14ac:dyDescent="0.25">
      <c r="J1820" s="903">
        <f t="shared" si="33"/>
        <v>1816</v>
      </c>
      <c r="K1820" s="566">
        <v>17</v>
      </c>
    </row>
    <row r="1821" spans="10:11" x14ac:dyDescent="0.25">
      <c r="J1821" s="903">
        <f t="shared" si="33"/>
        <v>1817</v>
      </c>
      <c r="K1821" s="566">
        <v>17</v>
      </c>
    </row>
    <row r="1822" spans="10:11" x14ac:dyDescent="0.25">
      <c r="J1822" s="903">
        <f t="shared" si="33"/>
        <v>1818</v>
      </c>
      <c r="K1822" s="566">
        <v>17</v>
      </c>
    </row>
    <row r="1823" spans="10:11" x14ac:dyDescent="0.25">
      <c r="J1823" s="903">
        <f t="shared" si="33"/>
        <v>1819</v>
      </c>
      <c r="K1823" s="566">
        <v>17</v>
      </c>
    </row>
    <row r="1824" spans="10:11" x14ac:dyDescent="0.25">
      <c r="J1824" s="903">
        <f t="shared" si="33"/>
        <v>1820</v>
      </c>
      <c r="K1824" s="566">
        <v>17</v>
      </c>
    </row>
    <row r="1825" spans="10:11" x14ac:dyDescent="0.25">
      <c r="J1825" s="903">
        <f t="shared" si="33"/>
        <v>1821</v>
      </c>
      <c r="K1825" s="566">
        <v>17</v>
      </c>
    </row>
    <row r="1826" spans="10:11" x14ac:dyDescent="0.25">
      <c r="J1826" s="903">
        <f t="shared" si="33"/>
        <v>1822</v>
      </c>
      <c r="K1826" s="566">
        <v>17</v>
      </c>
    </row>
    <row r="1827" spans="10:11" x14ac:dyDescent="0.25">
      <c r="J1827" s="903">
        <f t="shared" si="33"/>
        <v>1823</v>
      </c>
      <c r="K1827" s="566">
        <v>17</v>
      </c>
    </row>
    <row r="1828" spans="10:11" x14ac:dyDescent="0.25">
      <c r="J1828" s="903">
        <f t="shared" si="33"/>
        <v>1824</v>
      </c>
      <c r="K1828" s="566">
        <v>17</v>
      </c>
    </row>
    <row r="1829" spans="10:11" x14ac:dyDescent="0.25">
      <c r="J1829" s="903">
        <f t="shared" si="33"/>
        <v>1825</v>
      </c>
      <c r="K1829" s="566">
        <v>17</v>
      </c>
    </row>
    <row r="1830" spans="10:11" x14ac:dyDescent="0.25">
      <c r="J1830" s="903">
        <f t="shared" si="33"/>
        <v>1826</v>
      </c>
      <c r="K1830" s="566">
        <v>17</v>
      </c>
    </row>
    <row r="1831" spans="10:11" x14ac:dyDescent="0.25">
      <c r="J1831" s="903">
        <f t="shared" si="33"/>
        <v>1827</v>
      </c>
      <c r="K1831" s="566">
        <v>17</v>
      </c>
    </row>
    <row r="1832" spans="10:11" x14ac:dyDescent="0.25">
      <c r="J1832" s="903">
        <f t="shared" si="33"/>
        <v>1828</v>
      </c>
      <c r="K1832" s="566">
        <v>17</v>
      </c>
    </row>
    <row r="1833" spans="10:11" x14ac:dyDescent="0.25">
      <c r="J1833" s="903">
        <f t="shared" si="33"/>
        <v>1829</v>
      </c>
      <c r="K1833" s="566">
        <v>17</v>
      </c>
    </row>
    <row r="1834" spans="10:11" x14ac:dyDescent="0.25">
      <c r="J1834" s="903">
        <f t="shared" si="33"/>
        <v>1830</v>
      </c>
      <c r="K1834" s="566">
        <v>17</v>
      </c>
    </row>
    <row r="1835" spans="10:11" x14ac:dyDescent="0.25">
      <c r="J1835" s="903">
        <f t="shared" si="33"/>
        <v>1831</v>
      </c>
      <c r="K1835" s="566">
        <v>17</v>
      </c>
    </row>
    <row r="1836" spans="10:11" x14ac:dyDescent="0.25">
      <c r="J1836" s="903">
        <f t="shared" si="33"/>
        <v>1832</v>
      </c>
      <c r="K1836" s="566">
        <v>17</v>
      </c>
    </row>
    <row r="1837" spans="10:11" x14ac:dyDescent="0.25">
      <c r="J1837" s="903">
        <f t="shared" si="33"/>
        <v>1833</v>
      </c>
      <c r="K1837" s="566">
        <v>17</v>
      </c>
    </row>
    <row r="1838" spans="10:11" x14ac:dyDescent="0.25">
      <c r="J1838" s="903">
        <f t="shared" si="33"/>
        <v>1834</v>
      </c>
      <c r="K1838" s="566">
        <v>17</v>
      </c>
    </row>
    <row r="1839" spans="10:11" x14ac:dyDescent="0.25">
      <c r="J1839" s="903">
        <f t="shared" si="33"/>
        <v>1835</v>
      </c>
      <c r="K1839" s="566">
        <v>17</v>
      </c>
    </row>
    <row r="1840" spans="10:11" x14ac:dyDescent="0.25">
      <c r="J1840" s="903">
        <f t="shared" si="33"/>
        <v>1836</v>
      </c>
      <c r="K1840" s="566">
        <v>17</v>
      </c>
    </row>
    <row r="1841" spans="10:11" x14ac:dyDescent="0.25">
      <c r="J1841" s="903">
        <f t="shared" si="33"/>
        <v>1837</v>
      </c>
      <c r="K1841" s="566">
        <v>17</v>
      </c>
    </row>
    <row r="1842" spans="10:11" x14ac:dyDescent="0.25">
      <c r="J1842" s="903">
        <f t="shared" si="33"/>
        <v>1838</v>
      </c>
      <c r="K1842" s="566">
        <v>17</v>
      </c>
    </row>
    <row r="1843" spans="10:11" x14ac:dyDescent="0.25">
      <c r="J1843" s="903">
        <f t="shared" si="33"/>
        <v>1839</v>
      </c>
      <c r="K1843" s="566">
        <v>17</v>
      </c>
    </row>
    <row r="1844" spans="10:11" x14ac:dyDescent="0.25">
      <c r="J1844" s="903">
        <f t="shared" si="33"/>
        <v>1840</v>
      </c>
      <c r="K1844" s="566">
        <v>17</v>
      </c>
    </row>
    <row r="1845" spans="10:11" x14ac:dyDescent="0.25">
      <c r="J1845" s="903">
        <f t="shared" si="33"/>
        <v>1841</v>
      </c>
      <c r="K1845" s="566">
        <v>17</v>
      </c>
    </row>
    <row r="1846" spans="10:11" x14ac:dyDescent="0.25">
      <c r="J1846" s="903">
        <f t="shared" si="33"/>
        <v>1842</v>
      </c>
      <c r="K1846" s="566">
        <v>17</v>
      </c>
    </row>
    <row r="1847" spans="10:11" x14ac:dyDescent="0.25">
      <c r="J1847" s="903">
        <f t="shared" si="33"/>
        <v>1843</v>
      </c>
      <c r="K1847" s="566">
        <v>17</v>
      </c>
    </row>
    <row r="1848" spans="10:11" x14ac:dyDescent="0.25">
      <c r="J1848" s="903">
        <f t="shared" si="33"/>
        <v>1844</v>
      </c>
      <c r="K1848" s="566">
        <v>17</v>
      </c>
    </row>
    <row r="1849" spans="10:11" x14ac:dyDescent="0.25">
      <c r="J1849" s="903">
        <f t="shared" si="33"/>
        <v>1845</v>
      </c>
      <c r="K1849" s="566">
        <v>17</v>
      </c>
    </row>
    <row r="1850" spans="10:11" x14ac:dyDescent="0.25">
      <c r="J1850" s="903">
        <f t="shared" si="33"/>
        <v>1846</v>
      </c>
      <c r="K1850" s="566">
        <v>17</v>
      </c>
    </row>
    <row r="1851" spans="10:11" x14ac:dyDescent="0.25">
      <c r="J1851" s="903">
        <f t="shared" si="33"/>
        <v>1847</v>
      </c>
      <c r="K1851" s="566">
        <v>17</v>
      </c>
    </row>
    <row r="1852" spans="10:11" x14ac:dyDescent="0.25">
      <c r="J1852" s="903">
        <f t="shared" si="33"/>
        <v>1848</v>
      </c>
      <c r="K1852" s="566">
        <v>17</v>
      </c>
    </row>
    <row r="1853" spans="10:11" x14ac:dyDescent="0.25">
      <c r="J1853" s="903">
        <f t="shared" si="33"/>
        <v>1849</v>
      </c>
      <c r="K1853" s="566">
        <v>17</v>
      </c>
    </row>
    <row r="1854" spans="10:11" x14ac:dyDescent="0.25">
      <c r="J1854" s="903">
        <f t="shared" si="33"/>
        <v>1850</v>
      </c>
      <c r="K1854" s="566">
        <v>17</v>
      </c>
    </row>
    <row r="1855" spans="10:11" x14ac:dyDescent="0.25">
      <c r="J1855" s="903">
        <f t="shared" si="33"/>
        <v>1851</v>
      </c>
      <c r="K1855" s="566">
        <v>17</v>
      </c>
    </row>
    <row r="1856" spans="10:11" x14ac:dyDescent="0.25">
      <c r="J1856" s="903">
        <f t="shared" si="33"/>
        <v>1852</v>
      </c>
      <c r="K1856" s="566">
        <v>17</v>
      </c>
    </row>
    <row r="1857" spans="10:11" x14ac:dyDescent="0.25">
      <c r="J1857" s="903">
        <f t="shared" si="33"/>
        <v>1853</v>
      </c>
      <c r="K1857" s="566">
        <v>17</v>
      </c>
    </row>
    <row r="1858" spans="10:11" x14ac:dyDescent="0.25">
      <c r="J1858" s="903">
        <f t="shared" si="33"/>
        <v>1854</v>
      </c>
      <c r="K1858" s="566">
        <v>17</v>
      </c>
    </row>
    <row r="1859" spans="10:11" x14ac:dyDescent="0.25">
      <c r="J1859" s="903">
        <f t="shared" si="33"/>
        <v>1855</v>
      </c>
      <c r="K1859" s="566">
        <v>17</v>
      </c>
    </row>
    <row r="1860" spans="10:11" x14ac:dyDescent="0.25">
      <c r="J1860" s="903">
        <f t="shared" si="33"/>
        <v>1856</v>
      </c>
      <c r="K1860" s="566">
        <v>17</v>
      </c>
    </row>
    <row r="1861" spans="10:11" x14ac:dyDescent="0.25">
      <c r="J1861" s="903">
        <f t="shared" si="33"/>
        <v>1857</v>
      </c>
      <c r="K1861" s="566">
        <v>17</v>
      </c>
    </row>
    <row r="1862" spans="10:11" x14ac:dyDescent="0.25">
      <c r="J1862" s="903">
        <f t="shared" si="33"/>
        <v>1858</v>
      </c>
      <c r="K1862" s="566">
        <v>17</v>
      </c>
    </row>
    <row r="1863" spans="10:11" x14ac:dyDescent="0.25">
      <c r="J1863" s="903">
        <f t="shared" si="33"/>
        <v>1859</v>
      </c>
      <c r="K1863" s="566">
        <v>17</v>
      </c>
    </row>
    <row r="1864" spans="10:11" x14ac:dyDescent="0.25">
      <c r="J1864" s="903">
        <f t="shared" si="33"/>
        <v>1860</v>
      </c>
      <c r="K1864" s="566">
        <v>17</v>
      </c>
    </row>
    <row r="1865" spans="10:11" x14ac:dyDescent="0.25">
      <c r="J1865" s="903">
        <f t="shared" si="33"/>
        <v>1861</v>
      </c>
      <c r="K1865" s="566">
        <v>17</v>
      </c>
    </row>
    <row r="1866" spans="10:11" x14ac:dyDescent="0.25">
      <c r="J1866" s="903">
        <f t="shared" si="33"/>
        <v>1862</v>
      </c>
      <c r="K1866" s="566">
        <v>17</v>
      </c>
    </row>
    <row r="1867" spans="10:11" x14ac:dyDescent="0.25">
      <c r="J1867" s="903">
        <f t="shared" si="33"/>
        <v>1863</v>
      </c>
      <c r="K1867" s="566">
        <v>17</v>
      </c>
    </row>
    <row r="1868" spans="10:11" x14ac:dyDescent="0.25">
      <c r="J1868" s="903">
        <f t="shared" si="33"/>
        <v>1864</v>
      </c>
      <c r="K1868" s="566">
        <v>17</v>
      </c>
    </row>
    <row r="1869" spans="10:11" x14ac:dyDescent="0.25">
      <c r="J1869" s="903">
        <f t="shared" si="33"/>
        <v>1865</v>
      </c>
      <c r="K1869" s="566">
        <v>17</v>
      </c>
    </row>
    <row r="1870" spans="10:11" x14ac:dyDescent="0.25">
      <c r="J1870" s="903">
        <f t="shared" si="33"/>
        <v>1866</v>
      </c>
      <c r="K1870" s="566">
        <v>17</v>
      </c>
    </row>
    <row r="1871" spans="10:11" x14ac:dyDescent="0.25">
      <c r="J1871" s="903">
        <f t="shared" si="33"/>
        <v>1867</v>
      </c>
      <c r="K1871" s="566">
        <v>17</v>
      </c>
    </row>
    <row r="1872" spans="10:11" x14ac:dyDescent="0.25">
      <c r="J1872" s="903">
        <f t="shared" si="33"/>
        <v>1868</v>
      </c>
      <c r="K1872" s="566">
        <v>17</v>
      </c>
    </row>
    <row r="1873" spans="10:11" x14ac:dyDescent="0.25">
      <c r="J1873" s="903">
        <f t="shared" si="33"/>
        <v>1869</v>
      </c>
      <c r="K1873" s="566">
        <v>17</v>
      </c>
    </row>
    <row r="1874" spans="10:11" x14ac:dyDescent="0.25">
      <c r="J1874" s="903">
        <f t="shared" si="33"/>
        <v>1870</v>
      </c>
      <c r="K1874" s="566">
        <v>17</v>
      </c>
    </row>
    <row r="1875" spans="10:11" x14ac:dyDescent="0.25">
      <c r="J1875" s="903">
        <f t="shared" si="33"/>
        <v>1871</v>
      </c>
      <c r="K1875" s="566">
        <v>17</v>
      </c>
    </row>
    <row r="1876" spans="10:11" x14ac:dyDescent="0.25">
      <c r="J1876" s="903">
        <f t="shared" si="33"/>
        <v>1872</v>
      </c>
      <c r="K1876" s="566">
        <v>17</v>
      </c>
    </row>
    <row r="1877" spans="10:11" x14ac:dyDescent="0.25">
      <c r="J1877" s="903">
        <f t="shared" ref="J1877:J1940" si="34">J1876+1</f>
        <v>1873</v>
      </c>
      <c r="K1877" s="566">
        <v>17</v>
      </c>
    </row>
    <row r="1878" spans="10:11" x14ac:dyDescent="0.25">
      <c r="J1878" s="903">
        <f t="shared" si="34"/>
        <v>1874</v>
      </c>
      <c r="K1878" s="566">
        <v>17</v>
      </c>
    </row>
    <row r="1879" spans="10:11" x14ac:dyDescent="0.25">
      <c r="J1879" s="903">
        <f t="shared" si="34"/>
        <v>1875</v>
      </c>
      <c r="K1879" s="566">
        <v>17</v>
      </c>
    </row>
    <row r="1880" spans="10:11" x14ac:dyDescent="0.25">
      <c r="J1880" s="903">
        <f t="shared" si="34"/>
        <v>1876</v>
      </c>
      <c r="K1880" s="566">
        <v>17</v>
      </c>
    </row>
    <row r="1881" spans="10:11" x14ac:dyDescent="0.25">
      <c r="J1881" s="903">
        <f t="shared" si="34"/>
        <v>1877</v>
      </c>
      <c r="K1881" s="566">
        <v>17</v>
      </c>
    </row>
    <row r="1882" spans="10:11" x14ac:dyDescent="0.25">
      <c r="J1882" s="903">
        <f t="shared" si="34"/>
        <v>1878</v>
      </c>
      <c r="K1882" s="566">
        <v>17</v>
      </c>
    </row>
    <row r="1883" spans="10:11" x14ac:dyDescent="0.25">
      <c r="J1883" s="903">
        <f t="shared" si="34"/>
        <v>1879</v>
      </c>
      <c r="K1883" s="566">
        <v>17</v>
      </c>
    </row>
    <row r="1884" spans="10:11" x14ac:dyDescent="0.25">
      <c r="J1884" s="903">
        <f t="shared" si="34"/>
        <v>1880</v>
      </c>
      <c r="K1884" s="566">
        <v>17</v>
      </c>
    </row>
    <row r="1885" spans="10:11" x14ac:dyDescent="0.25">
      <c r="J1885" s="903">
        <f t="shared" si="34"/>
        <v>1881</v>
      </c>
      <c r="K1885" s="566">
        <v>17</v>
      </c>
    </row>
    <row r="1886" spans="10:11" x14ac:dyDescent="0.25">
      <c r="J1886" s="903">
        <f t="shared" si="34"/>
        <v>1882</v>
      </c>
      <c r="K1886" s="566">
        <v>17</v>
      </c>
    </row>
    <row r="1887" spans="10:11" x14ac:dyDescent="0.25">
      <c r="J1887" s="903">
        <f t="shared" si="34"/>
        <v>1883</v>
      </c>
      <c r="K1887" s="566">
        <v>17</v>
      </c>
    </row>
    <row r="1888" spans="10:11" x14ac:dyDescent="0.25">
      <c r="J1888" s="903">
        <f t="shared" si="34"/>
        <v>1884</v>
      </c>
      <c r="K1888" s="566">
        <v>17</v>
      </c>
    </row>
    <row r="1889" spans="10:11" x14ac:dyDescent="0.25">
      <c r="J1889" s="903">
        <f t="shared" si="34"/>
        <v>1885</v>
      </c>
      <c r="K1889" s="566">
        <v>17</v>
      </c>
    </row>
    <row r="1890" spans="10:11" x14ac:dyDescent="0.25">
      <c r="J1890" s="903">
        <f t="shared" si="34"/>
        <v>1886</v>
      </c>
      <c r="K1890" s="566">
        <v>17</v>
      </c>
    </row>
    <row r="1891" spans="10:11" x14ac:dyDescent="0.25">
      <c r="J1891" s="903">
        <f t="shared" si="34"/>
        <v>1887</v>
      </c>
      <c r="K1891" s="566">
        <v>17</v>
      </c>
    </row>
    <row r="1892" spans="10:11" x14ac:dyDescent="0.25">
      <c r="J1892" s="903">
        <f t="shared" si="34"/>
        <v>1888</v>
      </c>
      <c r="K1892" s="566">
        <v>17</v>
      </c>
    </row>
    <row r="1893" spans="10:11" x14ac:dyDescent="0.25">
      <c r="J1893" s="903">
        <f t="shared" si="34"/>
        <v>1889</v>
      </c>
      <c r="K1893" s="566">
        <v>17</v>
      </c>
    </row>
    <row r="1894" spans="10:11" x14ac:dyDescent="0.25">
      <c r="J1894" s="903">
        <f t="shared" si="34"/>
        <v>1890</v>
      </c>
      <c r="K1894" s="566">
        <v>17</v>
      </c>
    </row>
    <row r="1895" spans="10:11" x14ac:dyDescent="0.25">
      <c r="J1895" s="903">
        <f t="shared" si="34"/>
        <v>1891</v>
      </c>
      <c r="K1895" s="566">
        <v>17</v>
      </c>
    </row>
    <row r="1896" spans="10:11" x14ac:dyDescent="0.25">
      <c r="J1896" s="903">
        <f t="shared" si="34"/>
        <v>1892</v>
      </c>
      <c r="K1896" s="566">
        <v>17</v>
      </c>
    </row>
    <row r="1897" spans="10:11" x14ac:dyDescent="0.25">
      <c r="J1897" s="903">
        <f t="shared" si="34"/>
        <v>1893</v>
      </c>
      <c r="K1897" s="566">
        <v>17</v>
      </c>
    </row>
    <row r="1898" spans="10:11" x14ac:dyDescent="0.25">
      <c r="J1898" s="903">
        <f t="shared" si="34"/>
        <v>1894</v>
      </c>
      <c r="K1898" s="566">
        <v>17</v>
      </c>
    </row>
    <row r="1899" spans="10:11" x14ac:dyDescent="0.25">
      <c r="J1899" s="903">
        <f t="shared" si="34"/>
        <v>1895</v>
      </c>
      <c r="K1899" s="566">
        <v>17</v>
      </c>
    </row>
    <row r="1900" spans="10:11" x14ac:dyDescent="0.25">
      <c r="J1900" s="903">
        <f t="shared" si="34"/>
        <v>1896</v>
      </c>
      <c r="K1900" s="566">
        <v>17</v>
      </c>
    </row>
    <row r="1901" spans="10:11" x14ac:dyDescent="0.25">
      <c r="J1901" s="903">
        <f t="shared" si="34"/>
        <v>1897</v>
      </c>
      <c r="K1901" s="566">
        <v>17</v>
      </c>
    </row>
    <row r="1902" spans="10:11" x14ac:dyDescent="0.25">
      <c r="J1902" s="903">
        <f t="shared" si="34"/>
        <v>1898</v>
      </c>
      <c r="K1902" s="566">
        <v>17</v>
      </c>
    </row>
    <row r="1903" spans="10:11" x14ac:dyDescent="0.25">
      <c r="J1903" s="903">
        <f t="shared" si="34"/>
        <v>1899</v>
      </c>
      <c r="K1903" s="566">
        <v>17</v>
      </c>
    </row>
    <row r="1904" spans="10:11" x14ac:dyDescent="0.25">
      <c r="J1904" s="903">
        <f t="shared" si="34"/>
        <v>1900</v>
      </c>
      <c r="K1904" s="566">
        <v>17</v>
      </c>
    </row>
    <row r="1905" spans="10:11" x14ac:dyDescent="0.25">
      <c r="J1905" s="903">
        <f t="shared" si="34"/>
        <v>1901</v>
      </c>
      <c r="K1905" s="566">
        <v>17</v>
      </c>
    </row>
    <row r="1906" spans="10:11" x14ac:dyDescent="0.25">
      <c r="J1906" s="903">
        <f t="shared" si="34"/>
        <v>1902</v>
      </c>
      <c r="K1906" s="566">
        <v>17</v>
      </c>
    </row>
    <row r="1907" spans="10:11" x14ac:dyDescent="0.25">
      <c r="J1907" s="903">
        <f t="shared" si="34"/>
        <v>1903</v>
      </c>
      <c r="K1907" s="566">
        <v>17</v>
      </c>
    </row>
    <row r="1908" spans="10:11" x14ac:dyDescent="0.25">
      <c r="J1908" s="903">
        <f t="shared" si="34"/>
        <v>1904</v>
      </c>
      <c r="K1908" s="566">
        <v>17</v>
      </c>
    </row>
    <row r="1909" spans="10:11" x14ac:dyDescent="0.25">
      <c r="J1909" s="903">
        <f t="shared" si="34"/>
        <v>1905</v>
      </c>
      <c r="K1909" s="566">
        <v>17</v>
      </c>
    </row>
    <row r="1910" spans="10:11" x14ac:dyDescent="0.25">
      <c r="J1910" s="903">
        <f t="shared" si="34"/>
        <v>1906</v>
      </c>
      <c r="K1910" s="566">
        <v>17</v>
      </c>
    </row>
    <row r="1911" spans="10:11" x14ac:dyDescent="0.25">
      <c r="J1911" s="903">
        <f t="shared" si="34"/>
        <v>1907</v>
      </c>
      <c r="K1911" s="566">
        <v>17</v>
      </c>
    </row>
    <row r="1912" spans="10:11" x14ac:dyDescent="0.25">
      <c r="J1912" s="903">
        <f t="shared" si="34"/>
        <v>1908</v>
      </c>
      <c r="K1912" s="566">
        <v>17</v>
      </c>
    </row>
    <row r="1913" spans="10:11" x14ac:dyDescent="0.25">
      <c r="J1913" s="903">
        <f t="shared" si="34"/>
        <v>1909</v>
      </c>
      <c r="K1913" s="566">
        <v>17</v>
      </c>
    </row>
    <row r="1914" spans="10:11" x14ac:dyDescent="0.25">
      <c r="J1914" s="903">
        <f t="shared" si="34"/>
        <v>1910</v>
      </c>
      <c r="K1914" s="566">
        <v>17</v>
      </c>
    </row>
    <row r="1915" spans="10:11" x14ac:dyDescent="0.25">
      <c r="J1915" s="903">
        <f t="shared" si="34"/>
        <v>1911</v>
      </c>
      <c r="K1915" s="566">
        <v>17</v>
      </c>
    </row>
    <row r="1916" spans="10:11" x14ac:dyDescent="0.25">
      <c r="J1916" s="903">
        <f t="shared" si="34"/>
        <v>1912</v>
      </c>
      <c r="K1916" s="566">
        <v>17</v>
      </c>
    </row>
    <row r="1917" spans="10:11" x14ac:dyDescent="0.25">
      <c r="J1917" s="903">
        <f t="shared" si="34"/>
        <v>1913</v>
      </c>
      <c r="K1917" s="566">
        <v>17</v>
      </c>
    </row>
    <row r="1918" spans="10:11" x14ac:dyDescent="0.25">
      <c r="J1918" s="903">
        <f t="shared" si="34"/>
        <v>1914</v>
      </c>
      <c r="K1918" s="566">
        <v>17</v>
      </c>
    </row>
    <row r="1919" spans="10:11" x14ac:dyDescent="0.25">
      <c r="J1919" s="903">
        <f t="shared" si="34"/>
        <v>1915</v>
      </c>
      <c r="K1919" s="566">
        <v>17</v>
      </c>
    </row>
    <row r="1920" spans="10:11" x14ac:dyDescent="0.25">
      <c r="J1920" s="903">
        <f t="shared" si="34"/>
        <v>1916</v>
      </c>
      <c r="K1920" s="566">
        <v>17</v>
      </c>
    </row>
    <row r="1921" spans="10:11" x14ac:dyDescent="0.25">
      <c r="J1921" s="903">
        <f t="shared" si="34"/>
        <v>1917</v>
      </c>
      <c r="K1921" s="566">
        <v>17</v>
      </c>
    </row>
    <row r="1922" spans="10:11" x14ac:dyDescent="0.25">
      <c r="J1922" s="903">
        <f t="shared" si="34"/>
        <v>1918</v>
      </c>
      <c r="K1922" s="566">
        <v>17</v>
      </c>
    </row>
    <row r="1923" spans="10:11" x14ac:dyDescent="0.25">
      <c r="J1923" s="903">
        <f t="shared" si="34"/>
        <v>1919</v>
      </c>
      <c r="K1923" s="566">
        <v>17</v>
      </c>
    </row>
    <row r="1924" spans="10:11" x14ac:dyDescent="0.25">
      <c r="J1924" s="903">
        <f t="shared" si="34"/>
        <v>1920</v>
      </c>
      <c r="K1924" s="566">
        <v>17</v>
      </c>
    </row>
    <row r="1925" spans="10:11" x14ac:dyDescent="0.25">
      <c r="J1925" s="903">
        <f t="shared" si="34"/>
        <v>1921</v>
      </c>
      <c r="K1925" s="566">
        <v>17</v>
      </c>
    </row>
    <row r="1926" spans="10:11" x14ac:dyDescent="0.25">
      <c r="J1926" s="903">
        <f t="shared" si="34"/>
        <v>1922</v>
      </c>
      <c r="K1926" s="566">
        <v>17</v>
      </c>
    </row>
    <row r="1927" spans="10:11" x14ac:dyDescent="0.25">
      <c r="J1927" s="903">
        <f t="shared" si="34"/>
        <v>1923</v>
      </c>
      <c r="K1927" s="566">
        <v>17</v>
      </c>
    </row>
    <row r="1928" spans="10:11" x14ac:dyDescent="0.25">
      <c r="J1928" s="903">
        <f t="shared" si="34"/>
        <v>1924</v>
      </c>
      <c r="K1928" s="566">
        <v>17</v>
      </c>
    </row>
    <row r="1929" spans="10:11" x14ac:dyDescent="0.25">
      <c r="J1929" s="903">
        <f t="shared" si="34"/>
        <v>1925</v>
      </c>
      <c r="K1929" s="566">
        <v>17</v>
      </c>
    </row>
    <row r="1930" spans="10:11" x14ac:dyDescent="0.25">
      <c r="J1930" s="903">
        <f t="shared" si="34"/>
        <v>1926</v>
      </c>
      <c r="K1930" s="566">
        <v>17</v>
      </c>
    </row>
    <row r="1931" spans="10:11" x14ac:dyDescent="0.25">
      <c r="J1931" s="903">
        <f t="shared" si="34"/>
        <v>1927</v>
      </c>
      <c r="K1931" s="566">
        <v>17</v>
      </c>
    </row>
    <row r="1932" spans="10:11" x14ac:dyDescent="0.25">
      <c r="J1932" s="903">
        <f t="shared" si="34"/>
        <v>1928</v>
      </c>
      <c r="K1932" s="566">
        <v>17</v>
      </c>
    </row>
    <row r="1933" spans="10:11" x14ac:dyDescent="0.25">
      <c r="J1933" s="903">
        <f t="shared" si="34"/>
        <v>1929</v>
      </c>
      <c r="K1933" s="566">
        <v>17</v>
      </c>
    </row>
    <row r="1934" spans="10:11" x14ac:dyDescent="0.25">
      <c r="J1934" s="903">
        <f t="shared" si="34"/>
        <v>1930</v>
      </c>
      <c r="K1934" s="566">
        <v>17</v>
      </c>
    </row>
    <row r="1935" spans="10:11" x14ac:dyDescent="0.25">
      <c r="J1935" s="903">
        <f t="shared" si="34"/>
        <v>1931</v>
      </c>
      <c r="K1935" s="566">
        <v>17</v>
      </c>
    </row>
    <row r="1936" spans="10:11" x14ac:dyDescent="0.25">
      <c r="J1936" s="903">
        <f t="shared" si="34"/>
        <v>1932</v>
      </c>
      <c r="K1936" s="566">
        <v>17</v>
      </c>
    </row>
    <row r="1937" spans="10:11" x14ac:dyDescent="0.25">
      <c r="J1937" s="903">
        <f t="shared" si="34"/>
        <v>1933</v>
      </c>
      <c r="K1937" s="566">
        <v>17</v>
      </c>
    </row>
    <row r="1938" spans="10:11" x14ac:dyDescent="0.25">
      <c r="J1938" s="903">
        <f t="shared" si="34"/>
        <v>1934</v>
      </c>
      <c r="K1938" s="566">
        <v>17</v>
      </c>
    </row>
    <row r="1939" spans="10:11" x14ac:dyDescent="0.25">
      <c r="J1939" s="903">
        <f t="shared" si="34"/>
        <v>1935</v>
      </c>
      <c r="K1939" s="566">
        <v>17</v>
      </c>
    </row>
    <row r="1940" spans="10:11" x14ac:dyDescent="0.25">
      <c r="J1940" s="903">
        <f t="shared" si="34"/>
        <v>1936</v>
      </c>
      <c r="K1940" s="566">
        <v>17</v>
      </c>
    </row>
    <row r="1941" spans="10:11" x14ac:dyDescent="0.25">
      <c r="J1941" s="903">
        <f t="shared" ref="J1941:J2004" si="35">J1940+1</f>
        <v>1937</v>
      </c>
      <c r="K1941" s="566">
        <v>17</v>
      </c>
    </row>
    <row r="1942" spans="10:11" x14ac:dyDescent="0.25">
      <c r="J1942" s="903">
        <f t="shared" si="35"/>
        <v>1938</v>
      </c>
      <c r="K1942" s="566">
        <v>17</v>
      </c>
    </row>
    <row r="1943" spans="10:11" x14ac:dyDescent="0.25">
      <c r="J1943" s="903">
        <f t="shared" si="35"/>
        <v>1939</v>
      </c>
      <c r="K1943" s="566">
        <v>17</v>
      </c>
    </row>
    <row r="1944" spans="10:11" x14ac:dyDescent="0.25">
      <c r="J1944" s="903">
        <f t="shared" si="35"/>
        <v>1940</v>
      </c>
      <c r="K1944" s="566">
        <v>18</v>
      </c>
    </row>
    <row r="1945" spans="10:11" x14ac:dyDescent="0.25">
      <c r="J1945" s="903">
        <f t="shared" si="35"/>
        <v>1941</v>
      </c>
      <c r="K1945" s="566">
        <v>18</v>
      </c>
    </row>
    <row r="1946" spans="10:11" x14ac:dyDescent="0.25">
      <c r="J1946" s="903">
        <f t="shared" si="35"/>
        <v>1942</v>
      </c>
      <c r="K1946" s="566">
        <v>18</v>
      </c>
    </row>
    <row r="1947" spans="10:11" x14ac:dyDescent="0.25">
      <c r="J1947" s="903">
        <f t="shared" si="35"/>
        <v>1943</v>
      </c>
      <c r="K1947" s="566">
        <v>18</v>
      </c>
    </row>
    <row r="1948" spans="10:11" x14ac:dyDescent="0.25">
      <c r="J1948" s="903">
        <f t="shared" si="35"/>
        <v>1944</v>
      </c>
      <c r="K1948" s="566">
        <v>18</v>
      </c>
    </row>
    <row r="1949" spans="10:11" x14ac:dyDescent="0.25">
      <c r="J1949" s="903">
        <f t="shared" si="35"/>
        <v>1945</v>
      </c>
      <c r="K1949" s="566">
        <v>18</v>
      </c>
    </row>
    <row r="1950" spans="10:11" x14ac:dyDescent="0.25">
      <c r="J1950" s="903">
        <f t="shared" si="35"/>
        <v>1946</v>
      </c>
      <c r="K1950" s="566">
        <v>18</v>
      </c>
    </row>
    <row r="1951" spans="10:11" x14ac:dyDescent="0.25">
      <c r="J1951" s="903">
        <f t="shared" si="35"/>
        <v>1947</v>
      </c>
      <c r="K1951" s="566">
        <v>18</v>
      </c>
    </row>
    <row r="1952" spans="10:11" x14ac:dyDescent="0.25">
      <c r="J1952" s="903">
        <f t="shared" si="35"/>
        <v>1948</v>
      </c>
      <c r="K1952" s="566">
        <v>18</v>
      </c>
    </row>
    <row r="1953" spans="10:11" x14ac:dyDescent="0.25">
      <c r="J1953" s="903">
        <f t="shared" si="35"/>
        <v>1949</v>
      </c>
      <c r="K1953" s="566">
        <v>18</v>
      </c>
    </row>
    <row r="1954" spans="10:11" x14ac:dyDescent="0.25">
      <c r="J1954" s="903">
        <f t="shared" si="35"/>
        <v>1950</v>
      </c>
      <c r="K1954" s="566">
        <v>18</v>
      </c>
    </row>
    <row r="1955" spans="10:11" x14ac:dyDescent="0.25">
      <c r="J1955" s="903">
        <f t="shared" si="35"/>
        <v>1951</v>
      </c>
      <c r="K1955" s="566">
        <v>18</v>
      </c>
    </row>
    <row r="1956" spans="10:11" x14ac:dyDescent="0.25">
      <c r="J1956" s="903">
        <f t="shared" si="35"/>
        <v>1952</v>
      </c>
      <c r="K1956" s="566">
        <v>18</v>
      </c>
    </row>
    <row r="1957" spans="10:11" x14ac:dyDescent="0.25">
      <c r="J1957" s="903">
        <f t="shared" si="35"/>
        <v>1953</v>
      </c>
      <c r="K1957" s="566">
        <v>18</v>
      </c>
    </row>
    <row r="1958" spans="10:11" x14ac:dyDescent="0.25">
      <c r="J1958" s="903">
        <f t="shared" si="35"/>
        <v>1954</v>
      </c>
      <c r="K1958" s="566">
        <v>18</v>
      </c>
    </row>
    <row r="1959" spans="10:11" x14ac:dyDescent="0.25">
      <c r="J1959" s="903">
        <f t="shared" si="35"/>
        <v>1955</v>
      </c>
      <c r="K1959" s="566">
        <v>18</v>
      </c>
    </row>
    <row r="1960" spans="10:11" x14ac:dyDescent="0.25">
      <c r="J1960" s="903">
        <f t="shared" si="35"/>
        <v>1956</v>
      </c>
      <c r="K1960" s="566">
        <v>18</v>
      </c>
    </row>
    <row r="1961" spans="10:11" x14ac:dyDescent="0.25">
      <c r="J1961" s="903">
        <f t="shared" si="35"/>
        <v>1957</v>
      </c>
      <c r="K1961" s="566">
        <v>18</v>
      </c>
    </row>
    <row r="1962" spans="10:11" x14ac:dyDescent="0.25">
      <c r="J1962" s="903">
        <f t="shared" si="35"/>
        <v>1958</v>
      </c>
      <c r="K1962" s="566">
        <v>18</v>
      </c>
    </row>
    <row r="1963" spans="10:11" x14ac:dyDescent="0.25">
      <c r="J1963" s="903">
        <f t="shared" si="35"/>
        <v>1959</v>
      </c>
      <c r="K1963" s="566">
        <v>18</v>
      </c>
    </row>
    <row r="1964" spans="10:11" x14ac:dyDescent="0.25">
      <c r="J1964" s="903">
        <f t="shared" si="35"/>
        <v>1960</v>
      </c>
      <c r="K1964" s="566">
        <v>18</v>
      </c>
    </row>
    <row r="1965" spans="10:11" x14ac:dyDescent="0.25">
      <c r="J1965" s="903">
        <f t="shared" si="35"/>
        <v>1961</v>
      </c>
      <c r="K1965" s="566">
        <v>18</v>
      </c>
    </row>
    <row r="1966" spans="10:11" x14ac:dyDescent="0.25">
      <c r="J1966" s="903">
        <f t="shared" si="35"/>
        <v>1962</v>
      </c>
      <c r="K1966" s="566">
        <v>18</v>
      </c>
    </row>
    <row r="1967" spans="10:11" x14ac:dyDescent="0.25">
      <c r="J1967" s="903">
        <f t="shared" si="35"/>
        <v>1963</v>
      </c>
      <c r="K1967" s="566">
        <v>18</v>
      </c>
    </row>
    <row r="1968" spans="10:11" x14ac:dyDescent="0.25">
      <c r="J1968" s="903">
        <f t="shared" si="35"/>
        <v>1964</v>
      </c>
      <c r="K1968" s="566">
        <v>18</v>
      </c>
    </row>
    <row r="1969" spans="10:11" x14ac:dyDescent="0.25">
      <c r="J1969" s="903">
        <f t="shared" si="35"/>
        <v>1965</v>
      </c>
      <c r="K1969" s="566">
        <v>18</v>
      </c>
    </row>
    <row r="1970" spans="10:11" x14ac:dyDescent="0.25">
      <c r="J1970" s="903">
        <f t="shared" si="35"/>
        <v>1966</v>
      </c>
      <c r="K1970" s="566">
        <v>18</v>
      </c>
    </row>
    <row r="1971" spans="10:11" x14ac:dyDescent="0.25">
      <c r="J1971" s="903">
        <f t="shared" si="35"/>
        <v>1967</v>
      </c>
      <c r="K1971" s="566">
        <v>18</v>
      </c>
    </row>
    <row r="1972" spans="10:11" x14ac:dyDescent="0.25">
      <c r="J1972" s="903">
        <f t="shared" si="35"/>
        <v>1968</v>
      </c>
      <c r="K1972" s="566">
        <v>18</v>
      </c>
    </row>
    <row r="1973" spans="10:11" x14ac:dyDescent="0.25">
      <c r="J1973" s="903">
        <f t="shared" si="35"/>
        <v>1969</v>
      </c>
      <c r="K1973" s="566">
        <v>18</v>
      </c>
    </row>
    <row r="1974" spans="10:11" x14ac:dyDescent="0.25">
      <c r="J1974" s="903">
        <f t="shared" si="35"/>
        <v>1970</v>
      </c>
      <c r="K1974" s="566">
        <v>18</v>
      </c>
    </row>
    <row r="1975" spans="10:11" x14ac:dyDescent="0.25">
      <c r="J1975" s="903">
        <f t="shared" si="35"/>
        <v>1971</v>
      </c>
      <c r="K1975" s="566">
        <v>18</v>
      </c>
    </row>
    <row r="1976" spans="10:11" x14ac:dyDescent="0.25">
      <c r="J1976" s="903">
        <f t="shared" si="35"/>
        <v>1972</v>
      </c>
      <c r="K1976" s="566">
        <v>18</v>
      </c>
    </row>
    <row r="1977" spans="10:11" x14ac:dyDescent="0.25">
      <c r="J1977" s="903">
        <f t="shared" si="35"/>
        <v>1973</v>
      </c>
      <c r="K1977" s="566">
        <v>18</v>
      </c>
    </row>
    <row r="1978" spans="10:11" x14ac:dyDescent="0.25">
      <c r="J1978" s="903">
        <f t="shared" si="35"/>
        <v>1974</v>
      </c>
      <c r="K1978" s="566">
        <v>18</v>
      </c>
    </row>
    <row r="1979" spans="10:11" x14ac:dyDescent="0.25">
      <c r="J1979" s="903">
        <f t="shared" si="35"/>
        <v>1975</v>
      </c>
      <c r="K1979" s="566">
        <v>18</v>
      </c>
    </row>
    <row r="1980" spans="10:11" x14ac:dyDescent="0.25">
      <c r="J1980" s="903">
        <f t="shared" si="35"/>
        <v>1976</v>
      </c>
      <c r="K1980" s="566">
        <v>18</v>
      </c>
    </row>
    <row r="1981" spans="10:11" x14ac:dyDescent="0.25">
      <c r="J1981" s="903">
        <f t="shared" si="35"/>
        <v>1977</v>
      </c>
      <c r="K1981" s="566">
        <v>18</v>
      </c>
    </row>
    <row r="1982" spans="10:11" x14ac:dyDescent="0.25">
      <c r="J1982" s="903">
        <f t="shared" si="35"/>
        <v>1978</v>
      </c>
      <c r="K1982" s="566">
        <v>18</v>
      </c>
    </row>
    <row r="1983" spans="10:11" x14ac:dyDescent="0.25">
      <c r="J1983" s="903">
        <f t="shared" si="35"/>
        <v>1979</v>
      </c>
      <c r="K1983" s="566">
        <v>18</v>
      </c>
    </row>
    <row r="1984" spans="10:11" x14ac:dyDescent="0.25">
      <c r="J1984" s="903">
        <f t="shared" si="35"/>
        <v>1980</v>
      </c>
      <c r="K1984" s="566">
        <v>18</v>
      </c>
    </row>
    <row r="1985" spans="10:11" x14ac:dyDescent="0.25">
      <c r="J1985" s="903">
        <f t="shared" si="35"/>
        <v>1981</v>
      </c>
      <c r="K1985" s="566">
        <v>18</v>
      </c>
    </row>
    <row r="1986" spans="10:11" x14ac:dyDescent="0.25">
      <c r="J1986" s="903">
        <f t="shared" si="35"/>
        <v>1982</v>
      </c>
      <c r="K1986" s="566">
        <v>18</v>
      </c>
    </row>
    <row r="1987" spans="10:11" x14ac:dyDescent="0.25">
      <c r="J1987" s="903">
        <f t="shared" si="35"/>
        <v>1983</v>
      </c>
      <c r="K1987" s="566">
        <v>18</v>
      </c>
    </row>
    <row r="1988" spans="10:11" x14ac:dyDescent="0.25">
      <c r="J1988" s="903">
        <f t="shared" si="35"/>
        <v>1984</v>
      </c>
      <c r="K1988" s="566">
        <v>18</v>
      </c>
    </row>
    <row r="1989" spans="10:11" x14ac:dyDescent="0.25">
      <c r="J1989" s="903">
        <f t="shared" si="35"/>
        <v>1985</v>
      </c>
      <c r="K1989" s="566">
        <v>18</v>
      </c>
    </row>
    <row r="1990" spans="10:11" x14ac:dyDescent="0.25">
      <c r="J1990" s="903">
        <f t="shared" si="35"/>
        <v>1986</v>
      </c>
      <c r="K1990" s="566">
        <v>18</v>
      </c>
    </row>
    <row r="1991" spans="10:11" x14ac:dyDescent="0.25">
      <c r="J1991" s="903">
        <f t="shared" si="35"/>
        <v>1987</v>
      </c>
      <c r="K1991" s="566">
        <v>18</v>
      </c>
    </row>
    <row r="1992" spans="10:11" x14ac:dyDescent="0.25">
      <c r="J1992" s="903">
        <f t="shared" si="35"/>
        <v>1988</v>
      </c>
      <c r="K1992" s="566">
        <v>18</v>
      </c>
    </row>
    <row r="1993" spans="10:11" x14ac:dyDescent="0.25">
      <c r="J1993" s="903">
        <f t="shared" si="35"/>
        <v>1989</v>
      </c>
      <c r="K1993" s="566">
        <v>18</v>
      </c>
    </row>
    <row r="1994" spans="10:11" x14ac:dyDescent="0.25">
      <c r="J1994" s="903">
        <f t="shared" si="35"/>
        <v>1990</v>
      </c>
      <c r="K1994" s="566">
        <v>18</v>
      </c>
    </row>
    <row r="1995" spans="10:11" x14ac:dyDescent="0.25">
      <c r="J1995" s="903">
        <f t="shared" si="35"/>
        <v>1991</v>
      </c>
      <c r="K1995" s="566">
        <v>18</v>
      </c>
    </row>
    <row r="1996" spans="10:11" x14ac:dyDescent="0.25">
      <c r="J1996" s="903">
        <f t="shared" si="35"/>
        <v>1992</v>
      </c>
      <c r="K1996" s="566">
        <v>18</v>
      </c>
    </row>
    <row r="1997" spans="10:11" x14ac:dyDescent="0.25">
      <c r="J1997" s="903">
        <f t="shared" si="35"/>
        <v>1993</v>
      </c>
      <c r="K1997" s="566">
        <v>18</v>
      </c>
    </row>
    <row r="1998" spans="10:11" x14ac:dyDescent="0.25">
      <c r="J1998" s="903">
        <f t="shared" si="35"/>
        <v>1994</v>
      </c>
      <c r="K1998" s="566">
        <v>18</v>
      </c>
    </row>
    <row r="1999" spans="10:11" x14ac:dyDescent="0.25">
      <c r="J1999" s="903">
        <f t="shared" si="35"/>
        <v>1995</v>
      </c>
      <c r="K1999" s="566">
        <v>18</v>
      </c>
    </row>
    <row r="2000" spans="10:11" x14ac:dyDescent="0.25">
      <c r="J2000" s="903">
        <f t="shared" si="35"/>
        <v>1996</v>
      </c>
      <c r="K2000" s="566">
        <v>18</v>
      </c>
    </row>
    <row r="2001" spans="10:11" x14ac:dyDescent="0.25">
      <c r="J2001" s="903">
        <f t="shared" si="35"/>
        <v>1997</v>
      </c>
      <c r="K2001" s="566">
        <v>18</v>
      </c>
    </row>
    <row r="2002" spans="10:11" x14ac:dyDescent="0.25">
      <c r="J2002" s="903">
        <f t="shared" si="35"/>
        <v>1998</v>
      </c>
      <c r="K2002" s="566">
        <v>18</v>
      </c>
    </row>
    <row r="2003" spans="10:11" x14ac:dyDescent="0.25">
      <c r="J2003" s="903">
        <f t="shared" si="35"/>
        <v>1999</v>
      </c>
      <c r="K2003" s="566">
        <v>18</v>
      </c>
    </row>
    <row r="2004" spans="10:11" x14ac:dyDescent="0.25">
      <c r="J2004" s="903">
        <f t="shared" si="35"/>
        <v>2000</v>
      </c>
      <c r="K2004" s="566">
        <v>18</v>
      </c>
    </row>
    <row r="2005" spans="10:11" x14ac:dyDescent="0.25">
      <c r="J2005" s="903">
        <f t="shared" ref="J2005:J2068" si="36">J2004+1</f>
        <v>2001</v>
      </c>
      <c r="K2005" s="566">
        <v>18</v>
      </c>
    </row>
    <row r="2006" spans="10:11" x14ac:dyDescent="0.25">
      <c r="J2006" s="903">
        <f t="shared" si="36"/>
        <v>2002</v>
      </c>
      <c r="K2006" s="566">
        <v>18</v>
      </c>
    </row>
    <row r="2007" spans="10:11" x14ac:dyDescent="0.25">
      <c r="J2007" s="903">
        <f t="shared" si="36"/>
        <v>2003</v>
      </c>
      <c r="K2007" s="566">
        <v>18</v>
      </c>
    </row>
    <row r="2008" spans="10:11" x14ac:dyDescent="0.25">
      <c r="J2008" s="903">
        <f t="shared" si="36"/>
        <v>2004</v>
      </c>
      <c r="K2008" s="566">
        <v>18</v>
      </c>
    </row>
    <row r="2009" spans="10:11" x14ac:dyDescent="0.25">
      <c r="J2009" s="903">
        <f t="shared" si="36"/>
        <v>2005</v>
      </c>
      <c r="K2009" s="566">
        <v>18</v>
      </c>
    </row>
    <row r="2010" spans="10:11" x14ac:dyDescent="0.25">
      <c r="J2010" s="903">
        <f t="shared" si="36"/>
        <v>2006</v>
      </c>
      <c r="K2010" s="566">
        <v>18</v>
      </c>
    </row>
    <row r="2011" spans="10:11" x14ac:dyDescent="0.25">
      <c r="J2011" s="903">
        <f t="shared" si="36"/>
        <v>2007</v>
      </c>
      <c r="K2011" s="566">
        <v>18</v>
      </c>
    </row>
    <row r="2012" spans="10:11" x14ac:dyDescent="0.25">
      <c r="J2012" s="903">
        <f t="shared" si="36"/>
        <v>2008</v>
      </c>
      <c r="K2012" s="566">
        <v>18</v>
      </c>
    </row>
    <row r="2013" spans="10:11" x14ac:dyDescent="0.25">
      <c r="J2013" s="903">
        <f t="shared" si="36"/>
        <v>2009</v>
      </c>
      <c r="K2013" s="566">
        <v>18</v>
      </c>
    </row>
    <row r="2014" spans="10:11" x14ac:dyDescent="0.25">
      <c r="J2014" s="903">
        <f t="shared" si="36"/>
        <v>2010</v>
      </c>
      <c r="K2014" s="566">
        <v>18</v>
      </c>
    </row>
    <row r="2015" spans="10:11" x14ac:dyDescent="0.25">
      <c r="J2015" s="903">
        <f t="shared" si="36"/>
        <v>2011</v>
      </c>
      <c r="K2015" s="566">
        <v>18</v>
      </c>
    </row>
    <row r="2016" spans="10:11" x14ac:dyDescent="0.25">
      <c r="J2016" s="903">
        <f t="shared" si="36"/>
        <v>2012</v>
      </c>
      <c r="K2016" s="566">
        <v>18</v>
      </c>
    </row>
    <row r="2017" spans="10:11" x14ac:dyDescent="0.25">
      <c r="J2017" s="903">
        <f t="shared" si="36"/>
        <v>2013</v>
      </c>
      <c r="K2017" s="566">
        <v>18</v>
      </c>
    </row>
    <row r="2018" spans="10:11" x14ac:dyDescent="0.25">
      <c r="J2018" s="903">
        <f t="shared" si="36"/>
        <v>2014</v>
      </c>
      <c r="K2018" s="566">
        <v>18</v>
      </c>
    </row>
    <row r="2019" spans="10:11" x14ac:dyDescent="0.25">
      <c r="J2019" s="903">
        <f t="shared" si="36"/>
        <v>2015</v>
      </c>
      <c r="K2019" s="566">
        <v>18</v>
      </c>
    </row>
    <row r="2020" spans="10:11" x14ac:dyDescent="0.25">
      <c r="J2020" s="903">
        <f t="shared" si="36"/>
        <v>2016</v>
      </c>
      <c r="K2020" s="566">
        <v>18</v>
      </c>
    </row>
    <row r="2021" spans="10:11" x14ac:dyDescent="0.25">
      <c r="J2021" s="903">
        <f t="shared" si="36"/>
        <v>2017</v>
      </c>
      <c r="K2021" s="566">
        <v>18</v>
      </c>
    </row>
    <row r="2022" spans="10:11" x14ac:dyDescent="0.25">
      <c r="J2022" s="903">
        <f t="shared" si="36"/>
        <v>2018</v>
      </c>
      <c r="K2022" s="566">
        <v>18</v>
      </c>
    </row>
    <row r="2023" spans="10:11" x14ac:dyDescent="0.25">
      <c r="J2023" s="903">
        <f t="shared" si="36"/>
        <v>2019</v>
      </c>
      <c r="K2023" s="566">
        <v>18</v>
      </c>
    </row>
    <row r="2024" spans="10:11" x14ac:dyDescent="0.25">
      <c r="J2024" s="903">
        <f t="shared" si="36"/>
        <v>2020</v>
      </c>
      <c r="K2024" s="566">
        <v>18</v>
      </c>
    </row>
    <row r="2025" spans="10:11" x14ac:dyDescent="0.25">
      <c r="J2025" s="903">
        <f t="shared" si="36"/>
        <v>2021</v>
      </c>
      <c r="K2025" s="566">
        <v>18</v>
      </c>
    </row>
    <row r="2026" spans="10:11" x14ac:dyDescent="0.25">
      <c r="J2026" s="903">
        <f t="shared" si="36"/>
        <v>2022</v>
      </c>
      <c r="K2026" s="566">
        <v>18</v>
      </c>
    </row>
    <row r="2027" spans="10:11" x14ac:dyDescent="0.25">
      <c r="J2027" s="903">
        <f t="shared" si="36"/>
        <v>2023</v>
      </c>
      <c r="K2027" s="566">
        <v>18</v>
      </c>
    </row>
    <row r="2028" spans="10:11" x14ac:dyDescent="0.25">
      <c r="J2028" s="903">
        <f t="shared" si="36"/>
        <v>2024</v>
      </c>
      <c r="K2028" s="566">
        <v>18</v>
      </c>
    </row>
    <row r="2029" spans="10:11" x14ac:dyDescent="0.25">
      <c r="J2029" s="903">
        <f t="shared" si="36"/>
        <v>2025</v>
      </c>
      <c r="K2029" s="566">
        <v>18</v>
      </c>
    </row>
    <row r="2030" spans="10:11" x14ac:dyDescent="0.25">
      <c r="J2030" s="903">
        <f t="shared" si="36"/>
        <v>2026</v>
      </c>
      <c r="K2030" s="566">
        <v>18</v>
      </c>
    </row>
    <row r="2031" spans="10:11" x14ac:dyDescent="0.25">
      <c r="J2031" s="903">
        <f t="shared" si="36"/>
        <v>2027</v>
      </c>
      <c r="K2031" s="566">
        <v>18</v>
      </c>
    </row>
    <row r="2032" spans="10:11" x14ac:dyDescent="0.25">
      <c r="J2032" s="903">
        <f t="shared" si="36"/>
        <v>2028</v>
      </c>
      <c r="K2032" s="566">
        <v>18</v>
      </c>
    </row>
    <row r="2033" spans="10:11" x14ac:dyDescent="0.25">
      <c r="J2033" s="903">
        <f t="shared" si="36"/>
        <v>2029</v>
      </c>
      <c r="K2033" s="566">
        <v>18</v>
      </c>
    </row>
    <row r="2034" spans="10:11" x14ac:dyDescent="0.25">
      <c r="J2034" s="903">
        <f t="shared" si="36"/>
        <v>2030</v>
      </c>
      <c r="K2034" s="566">
        <v>18</v>
      </c>
    </row>
    <row r="2035" spans="10:11" x14ac:dyDescent="0.25">
      <c r="J2035" s="903">
        <f t="shared" si="36"/>
        <v>2031</v>
      </c>
      <c r="K2035" s="566">
        <v>18</v>
      </c>
    </row>
    <row r="2036" spans="10:11" x14ac:dyDescent="0.25">
      <c r="J2036" s="903">
        <f t="shared" si="36"/>
        <v>2032</v>
      </c>
      <c r="K2036" s="566">
        <v>18</v>
      </c>
    </row>
    <row r="2037" spans="10:11" x14ac:dyDescent="0.25">
      <c r="J2037" s="903">
        <f t="shared" si="36"/>
        <v>2033</v>
      </c>
      <c r="K2037" s="566">
        <v>18</v>
      </c>
    </row>
    <row r="2038" spans="10:11" x14ac:dyDescent="0.25">
      <c r="J2038" s="903">
        <f t="shared" si="36"/>
        <v>2034</v>
      </c>
      <c r="K2038" s="566">
        <v>18</v>
      </c>
    </row>
    <row r="2039" spans="10:11" x14ac:dyDescent="0.25">
      <c r="J2039" s="903">
        <f t="shared" si="36"/>
        <v>2035</v>
      </c>
      <c r="K2039" s="566">
        <v>18</v>
      </c>
    </row>
    <row r="2040" spans="10:11" x14ac:dyDescent="0.25">
      <c r="J2040" s="903">
        <f t="shared" si="36"/>
        <v>2036</v>
      </c>
      <c r="K2040" s="566">
        <v>18</v>
      </c>
    </row>
    <row r="2041" spans="10:11" x14ac:dyDescent="0.25">
      <c r="J2041" s="903">
        <f t="shared" si="36"/>
        <v>2037</v>
      </c>
      <c r="K2041" s="566">
        <v>18</v>
      </c>
    </row>
    <row r="2042" spans="10:11" x14ac:dyDescent="0.25">
      <c r="J2042" s="903">
        <f t="shared" si="36"/>
        <v>2038</v>
      </c>
      <c r="K2042" s="566">
        <v>18</v>
      </c>
    </row>
    <row r="2043" spans="10:11" x14ac:dyDescent="0.25">
      <c r="J2043" s="903">
        <f t="shared" si="36"/>
        <v>2039</v>
      </c>
      <c r="K2043" s="566">
        <v>18</v>
      </c>
    </row>
    <row r="2044" spans="10:11" x14ac:dyDescent="0.25">
      <c r="J2044" s="903">
        <f t="shared" si="36"/>
        <v>2040</v>
      </c>
      <c r="K2044" s="566">
        <v>18</v>
      </c>
    </row>
    <row r="2045" spans="10:11" x14ac:dyDescent="0.25">
      <c r="J2045" s="903">
        <f t="shared" si="36"/>
        <v>2041</v>
      </c>
      <c r="K2045" s="566">
        <v>18</v>
      </c>
    </row>
    <row r="2046" spans="10:11" x14ac:dyDescent="0.25">
      <c r="J2046" s="903">
        <f t="shared" si="36"/>
        <v>2042</v>
      </c>
      <c r="K2046" s="566">
        <v>18</v>
      </c>
    </row>
    <row r="2047" spans="10:11" x14ac:dyDescent="0.25">
      <c r="J2047" s="903">
        <f t="shared" si="36"/>
        <v>2043</v>
      </c>
      <c r="K2047" s="566">
        <v>18</v>
      </c>
    </row>
    <row r="2048" spans="10:11" x14ac:dyDescent="0.25">
      <c r="J2048" s="903">
        <f t="shared" si="36"/>
        <v>2044</v>
      </c>
      <c r="K2048" s="566">
        <v>18</v>
      </c>
    </row>
    <row r="2049" spans="10:11" x14ac:dyDescent="0.25">
      <c r="J2049" s="903">
        <f t="shared" si="36"/>
        <v>2045</v>
      </c>
      <c r="K2049" s="566">
        <v>18</v>
      </c>
    </row>
    <row r="2050" spans="10:11" x14ac:dyDescent="0.25">
      <c r="J2050" s="903">
        <f t="shared" si="36"/>
        <v>2046</v>
      </c>
      <c r="K2050" s="566">
        <v>18</v>
      </c>
    </row>
    <row r="2051" spans="10:11" x14ac:dyDescent="0.25">
      <c r="J2051" s="903">
        <f t="shared" si="36"/>
        <v>2047</v>
      </c>
      <c r="K2051" s="566">
        <v>18</v>
      </c>
    </row>
    <row r="2052" spans="10:11" x14ac:dyDescent="0.25">
      <c r="J2052" s="903">
        <f t="shared" si="36"/>
        <v>2048</v>
      </c>
      <c r="K2052" s="566">
        <v>18</v>
      </c>
    </row>
    <row r="2053" spans="10:11" x14ac:dyDescent="0.25">
      <c r="J2053" s="903">
        <f t="shared" si="36"/>
        <v>2049</v>
      </c>
      <c r="K2053" s="566">
        <v>18</v>
      </c>
    </row>
    <row r="2054" spans="10:11" x14ac:dyDescent="0.25">
      <c r="J2054" s="903">
        <f t="shared" si="36"/>
        <v>2050</v>
      </c>
      <c r="K2054" s="566">
        <v>18</v>
      </c>
    </row>
    <row r="2055" spans="10:11" x14ac:dyDescent="0.25">
      <c r="J2055" s="903">
        <f t="shared" si="36"/>
        <v>2051</v>
      </c>
      <c r="K2055" s="566">
        <v>18</v>
      </c>
    </row>
    <row r="2056" spans="10:11" x14ac:dyDescent="0.25">
      <c r="J2056" s="903">
        <f t="shared" si="36"/>
        <v>2052</v>
      </c>
      <c r="K2056" s="566">
        <v>18</v>
      </c>
    </row>
    <row r="2057" spans="10:11" x14ac:dyDescent="0.25">
      <c r="J2057" s="903">
        <f t="shared" si="36"/>
        <v>2053</v>
      </c>
      <c r="K2057" s="566">
        <v>18</v>
      </c>
    </row>
    <row r="2058" spans="10:11" x14ac:dyDescent="0.25">
      <c r="J2058" s="903">
        <f t="shared" si="36"/>
        <v>2054</v>
      </c>
      <c r="K2058" s="566">
        <v>18</v>
      </c>
    </row>
    <row r="2059" spans="10:11" x14ac:dyDescent="0.25">
      <c r="J2059" s="903">
        <f t="shared" si="36"/>
        <v>2055</v>
      </c>
      <c r="K2059" s="566">
        <v>18</v>
      </c>
    </row>
    <row r="2060" spans="10:11" x14ac:dyDescent="0.25">
      <c r="J2060" s="903">
        <f t="shared" si="36"/>
        <v>2056</v>
      </c>
      <c r="K2060" s="566">
        <v>18</v>
      </c>
    </row>
    <row r="2061" spans="10:11" x14ac:dyDescent="0.25">
      <c r="J2061" s="903">
        <f t="shared" si="36"/>
        <v>2057</v>
      </c>
      <c r="K2061" s="566">
        <v>18</v>
      </c>
    </row>
    <row r="2062" spans="10:11" x14ac:dyDescent="0.25">
      <c r="J2062" s="903">
        <f t="shared" si="36"/>
        <v>2058</v>
      </c>
      <c r="K2062" s="566">
        <v>18</v>
      </c>
    </row>
    <row r="2063" spans="10:11" x14ac:dyDescent="0.25">
      <c r="J2063" s="903">
        <f t="shared" si="36"/>
        <v>2059</v>
      </c>
      <c r="K2063" s="566">
        <v>18</v>
      </c>
    </row>
    <row r="2064" spans="10:11" x14ac:dyDescent="0.25">
      <c r="J2064" s="903">
        <f t="shared" si="36"/>
        <v>2060</v>
      </c>
      <c r="K2064" s="566">
        <v>18</v>
      </c>
    </row>
    <row r="2065" spans="10:11" x14ac:dyDescent="0.25">
      <c r="J2065" s="903">
        <f t="shared" si="36"/>
        <v>2061</v>
      </c>
      <c r="K2065" s="566">
        <v>18</v>
      </c>
    </row>
    <row r="2066" spans="10:11" x14ac:dyDescent="0.25">
      <c r="J2066" s="903">
        <f t="shared" si="36"/>
        <v>2062</v>
      </c>
      <c r="K2066" s="566">
        <v>18</v>
      </c>
    </row>
    <row r="2067" spans="10:11" x14ac:dyDescent="0.25">
      <c r="J2067" s="903">
        <f t="shared" si="36"/>
        <v>2063</v>
      </c>
      <c r="K2067" s="566">
        <v>18</v>
      </c>
    </row>
    <row r="2068" spans="10:11" x14ac:dyDescent="0.25">
      <c r="J2068" s="903">
        <f t="shared" si="36"/>
        <v>2064</v>
      </c>
      <c r="K2068" s="566">
        <v>18</v>
      </c>
    </row>
    <row r="2069" spans="10:11" x14ac:dyDescent="0.25">
      <c r="J2069" s="903">
        <f t="shared" ref="J2069:J2132" si="37">J2068+1</f>
        <v>2065</v>
      </c>
      <c r="K2069" s="566">
        <v>18</v>
      </c>
    </row>
    <row r="2070" spans="10:11" x14ac:dyDescent="0.25">
      <c r="J2070" s="903">
        <f t="shared" si="37"/>
        <v>2066</v>
      </c>
      <c r="K2070" s="566">
        <v>18</v>
      </c>
    </row>
    <row r="2071" spans="10:11" x14ac:dyDescent="0.25">
      <c r="J2071" s="903">
        <f t="shared" si="37"/>
        <v>2067</v>
      </c>
      <c r="K2071" s="566">
        <v>18</v>
      </c>
    </row>
    <row r="2072" spans="10:11" x14ac:dyDescent="0.25">
      <c r="J2072" s="903">
        <f t="shared" si="37"/>
        <v>2068</v>
      </c>
      <c r="K2072" s="566">
        <v>18</v>
      </c>
    </row>
    <row r="2073" spans="10:11" x14ac:dyDescent="0.25">
      <c r="J2073" s="903">
        <f t="shared" si="37"/>
        <v>2069</v>
      </c>
      <c r="K2073" s="566">
        <v>18</v>
      </c>
    </row>
    <row r="2074" spans="10:11" x14ac:dyDescent="0.25">
      <c r="J2074" s="903">
        <f t="shared" si="37"/>
        <v>2070</v>
      </c>
      <c r="K2074" s="566">
        <v>18</v>
      </c>
    </row>
    <row r="2075" spans="10:11" x14ac:dyDescent="0.25">
      <c r="J2075" s="903">
        <f t="shared" si="37"/>
        <v>2071</v>
      </c>
      <c r="K2075" s="566">
        <v>18</v>
      </c>
    </row>
    <row r="2076" spans="10:11" x14ac:dyDescent="0.25">
      <c r="J2076" s="903">
        <f t="shared" si="37"/>
        <v>2072</v>
      </c>
      <c r="K2076" s="566">
        <v>18</v>
      </c>
    </row>
    <row r="2077" spans="10:11" x14ac:dyDescent="0.25">
      <c r="J2077" s="903">
        <f t="shared" si="37"/>
        <v>2073</v>
      </c>
      <c r="K2077" s="566">
        <v>18</v>
      </c>
    </row>
    <row r="2078" spans="10:11" x14ac:dyDescent="0.25">
      <c r="J2078" s="903">
        <f t="shared" si="37"/>
        <v>2074</v>
      </c>
      <c r="K2078" s="566">
        <v>18</v>
      </c>
    </row>
    <row r="2079" spans="10:11" x14ac:dyDescent="0.25">
      <c r="J2079" s="903">
        <f t="shared" si="37"/>
        <v>2075</v>
      </c>
      <c r="K2079" s="566">
        <v>18</v>
      </c>
    </row>
    <row r="2080" spans="10:11" x14ac:dyDescent="0.25">
      <c r="J2080" s="903">
        <f t="shared" si="37"/>
        <v>2076</v>
      </c>
      <c r="K2080" s="566">
        <v>18</v>
      </c>
    </row>
    <row r="2081" spans="10:11" x14ac:dyDescent="0.25">
      <c r="J2081" s="903">
        <f t="shared" si="37"/>
        <v>2077</v>
      </c>
      <c r="K2081" s="566">
        <v>18</v>
      </c>
    </row>
    <row r="2082" spans="10:11" x14ac:dyDescent="0.25">
      <c r="J2082" s="903">
        <f t="shared" si="37"/>
        <v>2078</v>
      </c>
      <c r="K2082" s="566">
        <v>18</v>
      </c>
    </row>
    <row r="2083" spans="10:11" x14ac:dyDescent="0.25">
      <c r="J2083" s="903">
        <f t="shared" si="37"/>
        <v>2079</v>
      </c>
      <c r="K2083" s="566">
        <v>18</v>
      </c>
    </row>
    <row r="2084" spans="10:11" x14ac:dyDescent="0.25">
      <c r="J2084" s="903">
        <f t="shared" si="37"/>
        <v>2080</v>
      </c>
      <c r="K2084" s="566">
        <v>18</v>
      </c>
    </row>
    <row r="2085" spans="10:11" x14ac:dyDescent="0.25">
      <c r="J2085" s="903">
        <f t="shared" si="37"/>
        <v>2081</v>
      </c>
      <c r="K2085" s="566">
        <v>18</v>
      </c>
    </row>
    <row r="2086" spans="10:11" x14ac:dyDescent="0.25">
      <c r="J2086" s="903">
        <f t="shared" si="37"/>
        <v>2082</v>
      </c>
      <c r="K2086" s="566">
        <v>18</v>
      </c>
    </row>
    <row r="2087" spans="10:11" x14ac:dyDescent="0.25">
      <c r="J2087" s="903">
        <f t="shared" si="37"/>
        <v>2083</v>
      </c>
      <c r="K2087" s="566">
        <v>18</v>
      </c>
    </row>
    <row r="2088" spans="10:11" x14ac:dyDescent="0.25">
      <c r="J2088" s="903">
        <f t="shared" si="37"/>
        <v>2084</v>
      </c>
      <c r="K2088" s="566">
        <v>18</v>
      </c>
    </row>
    <row r="2089" spans="10:11" x14ac:dyDescent="0.25">
      <c r="J2089" s="903">
        <f t="shared" si="37"/>
        <v>2085</v>
      </c>
      <c r="K2089" s="566">
        <v>18</v>
      </c>
    </row>
    <row r="2090" spans="10:11" x14ac:dyDescent="0.25">
      <c r="J2090" s="903">
        <f t="shared" si="37"/>
        <v>2086</v>
      </c>
      <c r="K2090" s="566">
        <v>18</v>
      </c>
    </row>
    <row r="2091" spans="10:11" x14ac:dyDescent="0.25">
      <c r="J2091" s="903">
        <f t="shared" si="37"/>
        <v>2087</v>
      </c>
      <c r="K2091" s="566">
        <v>18</v>
      </c>
    </row>
    <row r="2092" spans="10:11" x14ac:dyDescent="0.25">
      <c r="J2092" s="903">
        <f t="shared" si="37"/>
        <v>2088</v>
      </c>
      <c r="K2092" s="566">
        <v>18</v>
      </c>
    </row>
    <row r="2093" spans="10:11" x14ac:dyDescent="0.25">
      <c r="J2093" s="903">
        <f t="shared" si="37"/>
        <v>2089</v>
      </c>
      <c r="K2093" s="566">
        <v>18</v>
      </c>
    </row>
    <row r="2094" spans="10:11" x14ac:dyDescent="0.25">
      <c r="J2094" s="903">
        <f t="shared" si="37"/>
        <v>2090</v>
      </c>
      <c r="K2094" s="566">
        <v>18</v>
      </c>
    </row>
    <row r="2095" spans="10:11" x14ac:dyDescent="0.25">
      <c r="J2095" s="903">
        <f t="shared" si="37"/>
        <v>2091</v>
      </c>
      <c r="K2095" s="566">
        <v>18</v>
      </c>
    </row>
    <row r="2096" spans="10:11" x14ac:dyDescent="0.25">
      <c r="J2096" s="903">
        <f t="shared" si="37"/>
        <v>2092</v>
      </c>
      <c r="K2096" s="566">
        <v>18</v>
      </c>
    </row>
    <row r="2097" spans="10:11" x14ac:dyDescent="0.25">
      <c r="J2097" s="903">
        <f t="shared" si="37"/>
        <v>2093</v>
      </c>
      <c r="K2097" s="566">
        <v>18</v>
      </c>
    </row>
    <row r="2098" spans="10:11" x14ac:dyDescent="0.25">
      <c r="J2098" s="903">
        <f t="shared" si="37"/>
        <v>2094</v>
      </c>
      <c r="K2098" s="566">
        <v>18</v>
      </c>
    </row>
    <row r="2099" spans="10:11" x14ac:dyDescent="0.25">
      <c r="J2099" s="903">
        <f t="shared" si="37"/>
        <v>2095</v>
      </c>
      <c r="K2099" s="566">
        <v>18</v>
      </c>
    </row>
    <row r="2100" spans="10:11" x14ac:dyDescent="0.25">
      <c r="J2100" s="903">
        <f t="shared" si="37"/>
        <v>2096</v>
      </c>
      <c r="K2100" s="566">
        <v>18</v>
      </c>
    </row>
    <row r="2101" spans="10:11" x14ac:dyDescent="0.25">
      <c r="J2101" s="903">
        <f t="shared" si="37"/>
        <v>2097</v>
      </c>
      <c r="K2101" s="566">
        <v>18</v>
      </c>
    </row>
    <row r="2102" spans="10:11" x14ac:dyDescent="0.25">
      <c r="J2102" s="903">
        <f t="shared" si="37"/>
        <v>2098</v>
      </c>
      <c r="K2102" s="566">
        <v>18</v>
      </c>
    </row>
    <row r="2103" spans="10:11" x14ac:dyDescent="0.25">
      <c r="J2103" s="903">
        <f t="shared" si="37"/>
        <v>2099</v>
      </c>
      <c r="K2103" s="566">
        <v>18</v>
      </c>
    </row>
    <row r="2104" spans="10:11" x14ac:dyDescent="0.25">
      <c r="J2104" s="903">
        <f t="shared" si="37"/>
        <v>2100</v>
      </c>
      <c r="K2104" s="566">
        <v>18</v>
      </c>
    </row>
    <row r="2105" spans="10:11" x14ac:dyDescent="0.25">
      <c r="J2105" s="903">
        <f t="shared" si="37"/>
        <v>2101</v>
      </c>
      <c r="K2105" s="566">
        <v>18</v>
      </c>
    </row>
    <row r="2106" spans="10:11" x14ac:dyDescent="0.25">
      <c r="J2106" s="903">
        <f t="shared" si="37"/>
        <v>2102</v>
      </c>
      <c r="K2106" s="566">
        <v>18</v>
      </c>
    </row>
    <row r="2107" spans="10:11" x14ac:dyDescent="0.25">
      <c r="J2107" s="903">
        <f t="shared" si="37"/>
        <v>2103</v>
      </c>
      <c r="K2107" s="566">
        <v>18</v>
      </c>
    </row>
    <row r="2108" spans="10:11" x14ac:dyDescent="0.25">
      <c r="J2108" s="903">
        <f t="shared" si="37"/>
        <v>2104</v>
      </c>
      <c r="K2108" s="566">
        <v>18</v>
      </c>
    </row>
    <row r="2109" spans="10:11" x14ac:dyDescent="0.25">
      <c r="J2109" s="903">
        <f t="shared" si="37"/>
        <v>2105</v>
      </c>
      <c r="K2109" s="566">
        <v>18</v>
      </c>
    </row>
    <row r="2110" spans="10:11" x14ac:dyDescent="0.25">
      <c r="J2110" s="903">
        <f t="shared" si="37"/>
        <v>2106</v>
      </c>
      <c r="K2110" s="566">
        <v>18</v>
      </c>
    </row>
    <row r="2111" spans="10:11" x14ac:dyDescent="0.25">
      <c r="J2111" s="903">
        <f t="shared" si="37"/>
        <v>2107</v>
      </c>
      <c r="K2111" s="566">
        <v>18</v>
      </c>
    </row>
    <row r="2112" spans="10:11" x14ac:dyDescent="0.25">
      <c r="J2112" s="903">
        <f t="shared" si="37"/>
        <v>2108</v>
      </c>
      <c r="K2112" s="566">
        <v>18</v>
      </c>
    </row>
    <row r="2113" spans="10:11" x14ac:dyDescent="0.25">
      <c r="J2113" s="903">
        <f t="shared" si="37"/>
        <v>2109</v>
      </c>
      <c r="K2113" s="566">
        <v>18</v>
      </c>
    </row>
    <row r="2114" spans="10:11" x14ac:dyDescent="0.25">
      <c r="J2114" s="903">
        <f t="shared" si="37"/>
        <v>2110</v>
      </c>
      <c r="K2114" s="566">
        <v>18</v>
      </c>
    </row>
    <row r="2115" spans="10:11" x14ac:dyDescent="0.25">
      <c r="J2115" s="903">
        <f t="shared" si="37"/>
        <v>2111</v>
      </c>
      <c r="K2115" s="566">
        <v>18</v>
      </c>
    </row>
    <row r="2116" spans="10:11" x14ac:dyDescent="0.25">
      <c r="J2116" s="903">
        <f t="shared" si="37"/>
        <v>2112</v>
      </c>
      <c r="K2116" s="566">
        <v>18</v>
      </c>
    </row>
    <row r="2117" spans="10:11" x14ac:dyDescent="0.25">
      <c r="J2117" s="903">
        <f t="shared" si="37"/>
        <v>2113</v>
      </c>
      <c r="K2117" s="566">
        <v>18</v>
      </c>
    </row>
    <row r="2118" spans="10:11" x14ac:dyDescent="0.25">
      <c r="J2118" s="903">
        <f t="shared" si="37"/>
        <v>2114</v>
      </c>
      <c r="K2118" s="566">
        <v>18</v>
      </c>
    </row>
    <row r="2119" spans="10:11" x14ac:dyDescent="0.25">
      <c r="J2119" s="903">
        <f t="shared" si="37"/>
        <v>2115</v>
      </c>
      <c r="K2119" s="566">
        <v>18</v>
      </c>
    </row>
    <row r="2120" spans="10:11" x14ac:dyDescent="0.25">
      <c r="J2120" s="903">
        <f t="shared" si="37"/>
        <v>2116</v>
      </c>
      <c r="K2120" s="566">
        <v>18</v>
      </c>
    </row>
    <row r="2121" spans="10:11" x14ac:dyDescent="0.25">
      <c r="J2121" s="903">
        <f t="shared" si="37"/>
        <v>2117</v>
      </c>
      <c r="K2121" s="566">
        <v>18</v>
      </c>
    </row>
    <row r="2122" spans="10:11" x14ac:dyDescent="0.25">
      <c r="J2122" s="903">
        <f t="shared" si="37"/>
        <v>2118</v>
      </c>
      <c r="K2122" s="566">
        <v>18</v>
      </c>
    </row>
    <row r="2123" spans="10:11" x14ac:dyDescent="0.25">
      <c r="J2123" s="903">
        <f t="shared" si="37"/>
        <v>2119</v>
      </c>
      <c r="K2123" s="566">
        <v>18</v>
      </c>
    </row>
    <row r="2124" spans="10:11" x14ac:dyDescent="0.25">
      <c r="J2124" s="903">
        <f t="shared" si="37"/>
        <v>2120</v>
      </c>
      <c r="K2124" s="566">
        <v>18</v>
      </c>
    </row>
    <row r="2125" spans="10:11" x14ac:dyDescent="0.25">
      <c r="J2125" s="903">
        <f t="shared" si="37"/>
        <v>2121</v>
      </c>
      <c r="K2125" s="566">
        <v>18</v>
      </c>
    </row>
    <row r="2126" spans="10:11" x14ac:dyDescent="0.25">
      <c r="J2126" s="903">
        <f t="shared" si="37"/>
        <v>2122</v>
      </c>
      <c r="K2126" s="566">
        <v>18</v>
      </c>
    </row>
    <row r="2127" spans="10:11" x14ac:dyDescent="0.25">
      <c r="J2127" s="903">
        <f t="shared" si="37"/>
        <v>2123</v>
      </c>
      <c r="K2127" s="566">
        <v>18</v>
      </c>
    </row>
    <row r="2128" spans="10:11" x14ac:dyDescent="0.25">
      <c r="J2128" s="903">
        <f t="shared" si="37"/>
        <v>2124</v>
      </c>
      <c r="K2128" s="566">
        <v>18</v>
      </c>
    </row>
    <row r="2129" spans="10:11" x14ac:dyDescent="0.25">
      <c r="J2129" s="903">
        <f t="shared" si="37"/>
        <v>2125</v>
      </c>
      <c r="K2129" s="566">
        <v>18</v>
      </c>
    </row>
    <row r="2130" spans="10:11" x14ac:dyDescent="0.25">
      <c r="J2130" s="903">
        <f t="shared" si="37"/>
        <v>2126</v>
      </c>
      <c r="K2130" s="566">
        <v>18</v>
      </c>
    </row>
    <row r="2131" spans="10:11" x14ac:dyDescent="0.25">
      <c r="J2131" s="903">
        <f t="shared" si="37"/>
        <v>2127</v>
      </c>
      <c r="K2131" s="566">
        <v>18</v>
      </c>
    </row>
    <row r="2132" spans="10:11" x14ac:dyDescent="0.25">
      <c r="J2132" s="903">
        <f t="shared" si="37"/>
        <v>2128</v>
      </c>
      <c r="K2132" s="566">
        <v>18</v>
      </c>
    </row>
    <row r="2133" spans="10:11" x14ac:dyDescent="0.25">
      <c r="J2133" s="903">
        <f t="shared" ref="J2133:J2196" si="38">J2132+1</f>
        <v>2129</v>
      </c>
      <c r="K2133" s="566">
        <v>18</v>
      </c>
    </row>
    <row r="2134" spans="10:11" x14ac:dyDescent="0.25">
      <c r="J2134" s="903">
        <f t="shared" si="38"/>
        <v>2130</v>
      </c>
      <c r="K2134" s="566">
        <v>18</v>
      </c>
    </row>
    <row r="2135" spans="10:11" x14ac:dyDescent="0.25">
      <c r="J2135" s="903">
        <f t="shared" si="38"/>
        <v>2131</v>
      </c>
      <c r="K2135" s="566">
        <v>18</v>
      </c>
    </row>
    <row r="2136" spans="10:11" x14ac:dyDescent="0.25">
      <c r="J2136" s="903">
        <f t="shared" si="38"/>
        <v>2132</v>
      </c>
      <c r="K2136" s="566">
        <v>18</v>
      </c>
    </row>
    <row r="2137" spans="10:11" x14ac:dyDescent="0.25">
      <c r="J2137" s="903">
        <f t="shared" si="38"/>
        <v>2133</v>
      </c>
      <c r="K2137" s="566">
        <v>18</v>
      </c>
    </row>
    <row r="2138" spans="10:11" x14ac:dyDescent="0.25">
      <c r="J2138" s="903">
        <f t="shared" si="38"/>
        <v>2134</v>
      </c>
      <c r="K2138" s="566">
        <v>18</v>
      </c>
    </row>
    <row r="2139" spans="10:11" x14ac:dyDescent="0.25">
      <c r="J2139" s="903">
        <f t="shared" si="38"/>
        <v>2135</v>
      </c>
      <c r="K2139" s="566">
        <v>18</v>
      </c>
    </row>
    <row r="2140" spans="10:11" x14ac:dyDescent="0.25">
      <c r="J2140" s="903">
        <f t="shared" si="38"/>
        <v>2136</v>
      </c>
      <c r="K2140" s="566">
        <v>18</v>
      </c>
    </row>
    <row r="2141" spans="10:11" x14ac:dyDescent="0.25">
      <c r="J2141" s="903">
        <f t="shared" si="38"/>
        <v>2137</v>
      </c>
      <c r="K2141" s="566">
        <v>18</v>
      </c>
    </row>
    <row r="2142" spans="10:11" x14ac:dyDescent="0.25">
      <c r="J2142" s="903">
        <f t="shared" si="38"/>
        <v>2138</v>
      </c>
      <c r="K2142" s="566">
        <v>18</v>
      </c>
    </row>
    <row r="2143" spans="10:11" x14ac:dyDescent="0.25">
      <c r="J2143" s="903">
        <f t="shared" si="38"/>
        <v>2139</v>
      </c>
      <c r="K2143" s="566">
        <v>18</v>
      </c>
    </row>
    <row r="2144" spans="10:11" x14ac:dyDescent="0.25">
      <c r="J2144" s="903">
        <f t="shared" si="38"/>
        <v>2140</v>
      </c>
      <c r="K2144" s="566">
        <v>18</v>
      </c>
    </row>
    <row r="2145" spans="10:11" x14ac:dyDescent="0.25">
      <c r="J2145" s="903">
        <f t="shared" si="38"/>
        <v>2141</v>
      </c>
      <c r="K2145" s="566">
        <v>18</v>
      </c>
    </row>
    <row r="2146" spans="10:11" x14ac:dyDescent="0.25">
      <c r="J2146" s="903">
        <f t="shared" si="38"/>
        <v>2142</v>
      </c>
      <c r="K2146" s="566">
        <v>18</v>
      </c>
    </row>
    <row r="2147" spans="10:11" x14ac:dyDescent="0.25">
      <c r="J2147" s="903">
        <f t="shared" si="38"/>
        <v>2143</v>
      </c>
      <c r="K2147" s="566">
        <v>18</v>
      </c>
    </row>
    <row r="2148" spans="10:11" x14ac:dyDescent="0.25">
      <c r="J2148" s="903">
        <f t="shared" si="38"/>
        <v>2144</v>
      </c>
      <c r="K2148" s="566">
        <v>18</v>
      </c>
    </row>
    <row r="2149" spans="10:11" x14ac:dyDescent="0.25">
      <c r="J2149" s="903">
        <f t="shared" si="38"/>
        <v>2145</v>
      </c>
      <c r="K2149" s="566">
        <v>18</v>
      </c>
    </row>
    <row r="2150" spans="10:11" x14ac:dyDescent="0.25">
      <c r="J2150" s="903">
        <f t="shared" si="38"/>
        <v>2146</v>
      </c>
      <c r="K2150" s="566">
        <v>18</v>
      </c>
    </row>
    <row r="2151" spans="10:11" x14ac:dyDescent="0.25">
      <c r="J2151" s="903">
        <f t="shared" si="38"/>
        <v>2147</v>
      </c>
      <c r="K2151" s="566">
        <v>18</v>
      </c>
    </row>
    <row r="2152" spans="10:11" x14ac:dyDescent="0.25">
      <c r="J2152" s="903">
        <f t="shared" si="38"/>
        <v>2148</v>
      </c>
      <c r="K2152" s="566">
        <v>18</v>
      </c>
    </row>
    <row r="2153" spans="10:11" x14ac:dyDescent="0.25">
      <c r="J2153" s="903">
        <f t="shared" si="38"/>
        <v>2149</v>
      </c>
      <c r="K2153" s="566">
        <v>18</v>
      </c>
    </row>
    <row r="2154" spans="10:11" x14ac:dyDescent="0.25">
      <c r="J2154" s="903">
        <f t="shared" si="38"/>
        <v>2150</v>
      </c>
      <c r="K2154" s="566">
        <v>18</v>
      </c>
    </row>
    <row r="2155" spans="10:11" x14ac:dyDescent="0.25">
      <c r="J2155" s="903">
        <f t="shared" si="38"/>
        <v>2151</v>
      </c>
      <c r="K2155" s="566">
        <v>18</v>
      </c>
    </row>
    <row r="2156" spans="10:11" x14ac:dyDescent="0.25">
      <c r="J2156" s="903">
        <f t="shared" si="38"/>
        <v>2152</v>
      </c>
      <c r="K2156" s="566">
        <v>18</v>
      </c>
    </row>
    <row r="2157" spans="10:11" x14ac:dyDescent="0.25">
      <c r="J2157" s="903">
        <f t="shared" si="38"/>
        <v>2153</v>
      </c>
      <c r="K2157" s="566">
        <v>18</v>
      </c>
    </row>
    <row r="2158" spans="10:11" x14ac:dyDescent="0.25">
      <c r="J2158" s="903">
        <f t="shared" si="38"/>
        <v>2154</v>
      </c>
      <c r="K2158" s="566">
        <v>18</v>
      </c>
    </row>
    <row r="2159" spans="10:11" x14ac:dyDescent="0.25">
      <c r="J2159" s="903">
        <f t="shared" si="38"/>
        <v>2155</v>
      </c>
      <c r="K2159" s="566">
        <v>18</v>
      </c>
    </row>
    <row r="2160" spans="10:11" x14ac:dyDescent="0.25">
      <c r="J2160" s="903">
        <f t="shared" si="38"/>
        <v>2156</v>
      </c>
      <c r="K2160" s="566">
        <v>18</v>
      </c>
    </row>
    <row r="2161" spans="10:11" x14ac:dyDescent="0.25">
      <c r="J2161" s="903">
        <f t="shared" si="38"/>
        <v>2157</v>
      </c>
      <c r="K2161" s="566">
        <v>18</v>
      </c>
    </row>
    <row r="2162" spans="10:11" x14ac:dyDescent="0.25">
      <c r="J2162" s="903">
        <f t="shared" si="38"/>
        <v>2158</v>
      </c>
      <c r="K2162" s="566">
        <v>18</v>
      </c>
    </row>
    <row r="2163" spans="10:11" x14ac:dyDescent="0.25">
      <c r="J2163" s="903">
        <f t="shared" si="38"/>
        <v>2159</v>
      </c>
      <c r="K2163" s="566">
        <v>18</v>
      </c>
    </row>
    <row r="2164" spans="10:11" x14ac:dyDescent="0.25">
      <c r="J2164" s="903">
        <f t="shared" si="38"/>
        <v>2160</v>
      </c>
      <c r="K2164" s="566">
        <v>18</v>
      </c>
    </row>
    <row r="2165" spans="10:11" x14ac:dyDescent="0.25">
      <c r="J2165" s="903">
        <f t="shared" si="38"/>
        <v>2161</v>
      </c>
      <c r="K2165" s="566">
        <v>18</v>
      </c>
    </row>
    <row r="2166" spans="10:11" x14ac:dyDescent="0.25">
      <c r="J2166" s="903">
        <f t="shared" si="38"/>
        <v>2162</v>
      </c>
      <c r="K2166" s="566">
        <v>18</v>
      </c>
    </row>
    <row r="2167" spans="10:11" x14ac:dyDescent="0.25">
      <c r="J2167" s="903">
        <f t="shared" si="38"/>
        <v>2163</v>
      </c>
      <c r="K2167" s="566">
        <v>18</v>
      </c>
    </row>
    <row r="2168" spans="10:11" x14ac:dyDescent="0.25">
      <c r="J2168" s="903">
        <f t="shared" si="38"/>
        <v>2164</v>
      </c>
      <c r="K2168" s="566">
        <v>18</v>
      </c>
    </row>
    <row r="2169" spans="10:11" x14ac:dyDescent="0.25">
      <c r="J2169" s="903">
        <f t="shared" si="38"/>
        <v>2165</v>
      </c>
      <c r="K2169" s="566">
        <v>18</v>
      </c>
    </row>
    <row r="2170" spans="10:11" x14ac:dyDescent="0.25">
      <c r="J2170" s="903">
        <f t="shared" si="38"/>
        <v>2166</v>
      </c>
      <c r="K2170" s="566">
        <v>18</v>
      </c>
    </row>
    <row r="2171" spans="10:11" x14ac:dyDescent="0.25">
      <c r="J2171" s="903">
        <f t="shared" si="38"/>
        <v>2167</v>
      </c>
      <c r="K2171" s="566">
        <v>18</v>
      </c>
    </row>
    <row r="2172" spans="10:11" x14ac:dyDescent="0.25">
      <c r="J2172" s="903">
        <f t="shared" si="38"/>
        <v>2168</v>
      </c>
      <c r="K2172" s="566">
        <v>18</v>
      </c>
    </row>
    <row r="2173" spans="10:11" x14ac:dyDescent="0.25">
      <c r="J2173" s="903">
        <f t="shared" si="38"/>
        <v>2169</v>
      </c>
      <c r="K2173" s="566">
        <v>18</v>
      </c>
    </row>
    <row r="2174" spans="10:11" x14ac:dyDescent="0.25">
      <c r="J2174" s="903">
        <f t="shared" si="38"/>
        <v>2170</v>
      </c>
      <c r="K2174" s="566">
        <v>18</v>
      </c>
    </row>
    <row r="2175" spans="10:11" x14ac:dyDescent="0.25">
      <c r="J2175" s="903">
        <f t="shared" si="38"/>
        <v>2171</v>
      </c>
      <c r="K2175" s="566">
        <v>18</v>
      </c>
    </row>
    <row r="2176" spans="10:11" x14ac:dyDescent="0.25">
      <c r="J2176" s="903">
        <f t="shared" si="38"/>
        <v>2172</v>
      </c>
      <c r="K2176" s="566">
        <v>18</v>
      </c>
    </row>
    <row r="2177" spans="10:11" x14ac:dyDescent="0.25">
      <c r="J2177" s="903">
        <f t="shared" si="38"/>
        <v>2173</v>
      </c>
      <c r="K2177" s="566">
        <v>18</v>
      </c>
    </row>
    <row r="2178" spans="10:11" x14ac:dyDescent="0.25">
      <c r="J2178" s="903">
        <f t="shared" si="38"/>
        <v>2174</v>
      </c>
      <c r="K2178" s="566">
        <v>18</v>
      </c>
    </row>
    <row r="2179" spans="10:11" x14ac:dyDescent="0.25">
      <c r="J2179" s="903">
        <f t="shared" si="38"/>
        <v>2175</v>
      </c>
      <c r="K2179" s="566">
        <v>18</v>
      </c>
    </row>
    <row r="2180" spans="10:11" x14ac:dyDescent="0.25">
      <c r="J2180" s="903">
        <f t="shared" si="38"/>
        <v>2176</v>
      </c>
      <c r="K2180" s="566">
        <v>18</v>
      </c>
    </row>
    <row r="2181" spans="10:11" x14ac:dyDescent="0.25">
      <c r="J2181" s="903">
        <f t="shared" si="38"/>
        <v>2177</v>
      </c>
      <c r="K2181" s="566">
        <v>18</v>
      </c>
    </row>
    <row r="2182" spans="10:11" x14ac:dyDescent="0.25">
      <c r="J2182" s="903">
        <f t="shared" si="38"/>
        <v>2178</v>
      </c>
      <c r="K2182" s="566">
        <v>18</v>
      </c>
    </row>
    <row r="2183" spans="10:11" x14ac:dyDescent="0.25">
      <c r="J2183" s="903">
        <f t="shared" si="38"/>
        <v>2179</v>
      </c>
      <c r="K2183" s="566">
        <v>18</v>
      </c>
    </row>
    <row r="2184" spans="10:11" x14ac:dyDescent="0.25">
      <c r="J2184" s="903">
        <f t="shared" si="38"/>
        <v>2180</v>
      </c>
      <c r="K2184" s="566">
        <v>18</v>
      </c>
    </row>
    <row r="2185" spans="10:11" x14ac:dyDescent="0.25">
      <c r="J2185" s="903">
        <f t="shared" si="38"/>
        <v>2181</v>
      </c>
      <c r="K2185" s="566">
        <v>18</v>
      </c>
    </row>
    <row r="2186" spans="10:11" x14ac:dyDescent="0.25">
      <c r="J2186" s="903">
        <f t="shared" si="38"/>
        <v>2182</v>
      </c>
      <c r="K2186" s="566">
        <v>18</v>
      </c>
    </row>
    <row r="2187" spans="10:11" x14ac:dyDescent="0.25">
      <c r="J2187" s="903">
        <f t="shared" si="38"/>
        <v>2183</v>
      </c>
      <c r="K2187" s="566">
        <v>18</v>
      </c>
    </row>
    <row r="2188" spans="10:11" x14ac:dyDescent="0.25">
      <c r="J2188" s="903">
        <f t="shared" si="38"/>
        <v>2184</v>
      </c>
      <c r="K2188" s="566">
        <v>18</v>
      </c>
    </row>
    <row r="2189" spans="10:11" x14ac:dyDescent="0.25">
      <c r="J2189" s="903">
        <f t="shared" si="38"/>
        <v>2185</v>
      </c>
      <c r="K2189" s="566">
        <v>18</v>
      </c>
    </row>
    <row r="2190" spans="10:11" x14ac:dyDescent="0.25">
      <c r="J2190" s="903">
        <f t="shared" si="38"/>
        <v>2186</v>
      </c>
      <c r="K2190" s="566">
        <v>18</v>
      </c>
    </row>
    <row r="2191" spans="10:11" x14ac:dyDescent="0.25">
      <c r="J2191" s="903">
        <f t="shared" si="38"/>
        <v>2187</v>
      </c>
      <c r="K2191" s="566">
        <v>18</v>
      </c>
    </row>
    <row r="2192" spans="10:11" x14ac:dyDescent="0.25">
      <c r="J2192" s="903">
        <f t="shared" si="38"/>
        <v>2188</v>
      </c>
      <c r="K2192" s="566">
        <v>18</v>
      </c>
    </row>
    <row r="2193" spans="10:11" x14ac:dyDescent="0.25">
      <c r="J2193" s="903">
        <f t="shared" si="38"/>
        <v>2189</v>
      </c>
      <c r="K2193" s="566">
        <v>18</v>
      </c>
    </row>
    <row r="2194" spans="10:11" x14ac:dyDescent="0.25">
      <c r="J2194" s="903">
        <f t="shared" si="38"/>
        <v>2190</v>
      </c>
      <c r="K2194" s="566">
        <v>18</v>
      </c>
    </row>
    <row r="2195" spans="10:11" x14ac:dyDescent="0.25">
      <c r="J2195" s="903">
        <f t="shared" si="38"/>
        <v>2191</v>
      </c>
      <c r="K2195" s="566">
        <v>18</v>
      </c>
    </row>
    <row r="2196" spans="10:11" x14ac:dyDescent="0.25">
      <c r="J2196" s="903">
        <f t="shared" si="38"/>
        <v>2192</v>
      </c>
      <c r="K2196" s="566">
        <v>18</v>
      </c>
    </row>
    <row r="2197" spans="10:11" x14ac:dyDescent="0.25">
      <c r="J2197" s="903">
        <f t="shared" ref="J2197:J2260" si="39">J2196+1</f>
        <v>2193</v>
      </c>
      <c r="K2197" s="566">
        <v>18</v>
      </c>
    </row>
    <row r="2198" spans="10:11" x14ac:dyDescent="0.25">
      <c r="J2198" s="903">
        <f t="shared" si="39"/>
        <v>2194</v>
      </c>
      <c r="K2198" s="566">
        <v>18</v>
      </c>
    </row>
    <row r="2199" spans="10:11" x14ac:dyDescent="0.25">
      <c r="J2199" s="903">
        <f t="shared" si="39"/>
        <v>2195</v>
      </c>
      <c r="K2199" s="566">
        <v>18</v>
      </c>
    </row>
    <row r="2200" spans="10:11" x14ac:dyDescent="0.25">
      <c r="J2200" s="903">
        <f t="shared" si="39"/>
        <v>2196</v>
      </c>
      <c r="K2200" s="566">
        <v>18</v>
      </c>
    </row>
    <row r="2201" spans="10:11" x14ac:dyDescent="0.25">
      <c r="J2201" s="903">
        <f t="shared" si="39"/>
        <v>2197</v>
      </c>
      <c r="K2201" s="566">
        <v>18</v>
      </c>
    </row>
    <row r="2202" spans="10:11" x14ac:dyDescent="0.25">
      <c r="J2202" s="903">
        <f t="shared" si="39"/>
        <v>2198</v>
      </c>
      <c r="K2202" s="566">
        <v>18</v>
      </c>
    </row>
    <row r="2203" spans="10:11" x14ac:dyDescent="0.25">
      <c r="J2203" s="903">
        <f t="shared" si="39"/>
        <v>2199</v>
      </c>
      <c r="K2203" s="566">
        <v>18</v>
      </c>
    </row>
    <row r="2204" spans="10:11" x14ac:dyDescent="0.25">
      <c r="J2204" s="903">
        <f t="shared" si="39"/>
        <v>2200</v>
      </c>
      <c r="K2204" s="566">
        <v>18</v>
      </c>
    </row>
    <row r="2205" spans="10:11" x14ac:dyDescent="0.25">
      <c r="J2205" s="903">
        <f t="shared" si="39"/>
        <v>2201</v>
      </c>
      <c r="K2205" s="566">
        <v>18</v>
      </c>
    </row>
    <row r="2206" spans="10:11" x14ac:dyDescent="0.25">
      <c r="J2206" s="903">
        <f t="shared" si="39"/>
        <v>2202</v>
      </c>
      <c r="K2206" s="566">
        <v>18</v>
      </c>
    </row>
    <row r="2207" spans="10:11" x14ac:dyDescent="0.25">
      <c r="J2207" s="903">
        <f t="shared" si="39"/>
        <v>2203</v>
      </c>
      <c r="K2207" s="566">
        <v>18</v>
      </c>
    </row>
    <row r="2208" spans="10:11" x14ac:dyDescent="0.25">
      <c r="J2208" s="903">
        <f t="shared" si="39"/>
        <v>2204</v>
      </c>
      <c r="K2208" s="566">
        <v>18</v>
      </c>
    </row>
    <row r="2209" spans="10:11" x14ac:dyDescent="0.25">
      <c r="J2209" s="903">
        <f t="shared" si="39"/>
        <v>2205</v>
      </c>
      <c r="K2209" s="566">
        <v>18</v>
      </c>
    </row>
    <row r="2210" spans="10:11" x14ac:dyDescent="0.25">
      <c r="J2210" s="903">
        <f t="shared" si="39"/>
        <v>2206</v>
      </c>
      <c r="K2210" s="566">
        <v>18</v>
      </c>
    </row>
    <row r="2211" spans="10:11" x14ac:dyDescent="0.25">
      <c r="J2211" s="903">
        <f t="shared" si="39"/>
        <v>2207</v>
      </c>
      <c r="K2211" s="566">
        <v>18</v>
      </c>
    </row>
    <row r="2212" spans="10:11" x14ac:dyDescent="0.25">
      <c r="J2212" s="903">
        <f t="shared" si="39"/>
        <v>2208</v>
      </c>
      <c r="K2212" s="566">
        <v>18</v>
      </c>
    </row>
    <row r="2213" spans="10:11" x14ac:dyDescent="0.25">
      <c r="J2213" s="903">
        <f t="shared" si="39"/>
        <v>2209</v>
      </c>
      <c r="K2213" s="566">
        <v>18</v>
      </c>
    </row>
    <row r="2214" spans="10:11" x14ac:dyDescent="0.25">
      <c r="J2214" s="903">
        <f t="shared" si="39"/>
        <v>2210</v>
      </c>
      <c r="K2214" s="566">
        <v>18</v>
      </c>
    </row>
    <row r="2215" spans="10:11" x14ac:dyDescent="0.25">
      <c r="J2215" s="903">
        <f t="shared" si="39"/>
        <v>2211</v>
      </c>
      <c r="K2215" s="566">
        <v>18</v>
      </c>
    </row>
    <row r="2216" spans="10:11" x14ac:dyDescent="0.25">
      <c r="J2216" s="903">
        <f t="shared" si="39"/>
        <v>2212</v>
      </c>
      <c r="K2216" s="566">
        <v>18</v>
      </c>
    </row>
    <row r="2217" spans="10:11" x14ac:dyDescent="0.25">
      <c r="J2217" s="903">
        <f t="shared" si="39"/>
        <v>2213</v>
      </c>
      <c r="K2217" s="566">
        <v>18</v>
      </c>
    </row>
    <row r="2218" spans="10:11" x14ac:dyDescent="0.25">
      <c r="J2218" s="903">
        <f t="shared" si="39"/>
        <v>2214</v>
      </c>
      <c r="K2218" s="566">
        <v>18</v>
      </c>
    </row>
    <row r="2219" spans="10:11" x14ac:dyDescent="0.25">
      <c r="J2219" s="903">
        <f t="shared" si="39"/>
        <v>2215</v>
      </c>
      <c r="K2219" s="566">
        <v>18</v>
      </c>
    </row>
    <row r="2220" spans="10:11" x14ac:dyDescent="0.25">
      <c r="J2220" s="903">
        <f t="shared" si="39"/>
        <v>2216</v>
      </c>
      <c r="K2220" s="566">
        <v>18</v>
      </c>
    </row>
    <row r="2221" spans="10:11" x14ac:dyDescent="0.25">
      <c r="J2221" s="903">
        <f t="shared" si="39"/>
        <v>2217</v>
      </c>
      <c r="K2221" s="566">
        <v>18</v>
      </c>
    </row>
    <row r="2222" spans="10:11" x14ac:dyDescent="0.25">
      <c r="J2222" s="903">
        <f t="shared" si="39"/>
        <v>2218</v>
      </c>
      <c r="K2222" s="566">
        <v>18</v>
      </c>
    </row>
    <row r="2223" spans="10:11" x14ac:dyDescent="0.25">
      <c r="J2223" s="903">
        <f t="shared" si="39"/>
        <v>2219</v>
      </c>
      <c r="K2223" s="566">
        <v>18</v>
      </c>
    </row>
    <row r="2224" spans="10:11" x14ac:dyDescent="0.25">
      <c r="J2224" s="903">
        <f t="shared" si="39"/>
        <v>2220</v>
      </c>
      <c r="K2224" s="566">
        <v>18</v>
      </c>
    </row>
    <row r="2225" spans="10:11" x14ac:dyDescent="0.25">
      <c r="J2225" s="903">
        <f t="shared" si="39"/>
        <v>2221</v>
      </c>
      <c r="K2225" s="566">
        <v>18</v>
      </c>
    </row>
    <row r="2226" spans="10:11" x14ac:dyDescent="0.25">
      <c r="J2226" s="903">
        <f t="shared" si="39"/>
        <v>2222</v>
      </c>
      <c r="K2226" s="566">
        <v>18</v>
      </c>
    </row>
    <row r="2227" spans="10:11" x14ac:dyDescent="0.25">
      <c r="J2227" s="903">
        <f t="shared" si="39"/>
        <v>2223</v>
      </c>
      <c r="K2227" s="566">
        <v>18</v>
      </c>
    </row>
    <row r="2228" spans="10:11" x14ac:dyDescent="0.25">
      <c r="J2228" s="903">
        <f t="shared" si="39"/>
        <v>2224</v>
      </c>
      <c r="K2228" s="566">
        <v>18</v>
      </c>
    </row>
    <row r="2229" spans="10:11" x14ac:dyDescent="0.25">
      <c r="J2229" s="903">
        <f t="shared" si="39"/>
        <v>2225</v>
      </c>
      <c r="K2229" s="566">
        <v>18</v>
      </c>
    </row>
    <row r="2230" spans="10:11" x14ac:dyDescent="0.25">
      <c r="J2230" s="903">
        <f t="shared" si="39"/>
        <v>2226</v>
      </c>
      <c r="K2230" s="566">
        <v>18</v>
      </c>
    </row>
    <row r="2231" spans="10:11" x14ac:dyDescent="0.25">
      <c r="J2231" s="903">
        <f t="shared" si="39"/>
        <v>2227</v>
      </c>
      <c r="K2231" s="566">
        <v>18</v>
      </c>
    </row>
    <row r="2232" spans="10:11" x14ac:dyDescent="0.25">
      <c r="J2232" s="903">
        <f t="shared" si="39"/>
        <v>2228</v>
      </c>
      <c r="K2232" s="566">
        <v>18</v>
      </c>
    </row>
    <row r="2233" spans="10:11" x14ac:dyDescent="0.25">
      <c r="J2233" s="903">
        <f t="shared" si="39"/>
        <v>2229</v>
      </c>
      <c r="K2233" s="566">
        <v>18</v>
      </c>
    </row>
    <row r="2234" spans="10:11" x14ac:dyDescent="0.25">
      <c r="J2234" s="903">
        <f t="shared" si="39"/>
        <v>2230</v>
      </c>
      <c r="K2234" s="566">
        <v>18</v>
      </c>
    </row>
    <row r="2235" spans="10:11" x14ac:dyDescent="0.25">
      <c r="J2235" s="903">
        <f t="shared" si="39"/>
        <v>2231</v>
      </c>
      <c r="K2235" s="566">
        <v>18</v>
      </c>
    </row>
    <row r="2236" spans="10:11" x14ac:dyDescent="0.25">
      <c r="J2236" s="903">
        <f t="shared" si="39"/>
        <v>2232</v>
      </c>
      <c r="K2236" s="566">
        <v>18</v>
      </c>
    </row>
    <row r="2237" spans="10:11" x14ac:dyDescent="0.25">
      <c r="J2237" s="903">
        <f t="shared" si="39"/>
        <v>2233</v>
      </c>
      <c r="K2237" s="566">
        <v>18</v>
      </c>
    </row>
    <row r="2238" spans="10:11" x14ac:dyDescent="0.25">
      <c r="J2238" s="903">
        <f t="shared" si="39"/>
        <v>2234</v>
      </c>
      <c r="K2238" s="566">
        <v>18</v>
      </c>
    </row>
    <row r="2239" spans="10:11" x14ac:dyDescent="0.25">
      <c r="J2239" s="903">
        <f t="shared" si="39"/>
        <v>2235</v>
      </c>
      <c r="K2239" s="566">
        <v>18</v>
      </c>
    </row>
    <row r="2240" spans="10:11" x14ac:dyDescent="0.25">
      <c r="J2240" s="903">
        <f t="shared" si="39"/>
        <v>2236</v>
      </c>
      <c r="K2240" s="566">
        <v>18</v>
      </c>
    </row>
    <row r="2241" spans="10:11" x14ac:dyDescent="0.25">
      <c r="J2241" s="903">
        <f t="shared" si="39"/>
        <v>2237</v>
      </c>
      <c r="K2241" s="566">
        <v>18</v>
      </c>
    </row>
    <row r="2242" spans="10:11" x14ac:dyDescent="0.25">
      <c r="J2242" s="903">
        <f t="shared" si="39"/>
        <v>2238</v>
      </c>
      <c r="K2242" s="566">
        <v>18</v>
      </c>
    </row>
    <row r="2243" spans="10:11" x14ac:dyDescent="0.25">
      <c r="J2243" s="903">
        <f t="shared" si="39"/>
        <v>2239</v>
      </c>
      <c r="K2243" s="566">
        <v>18</v>
      </c>
    </row>
    <row r="2244" spans="10:11" x14ac:dyDescent="0.25">
      <c r="J2244" s="903">
        <f t="shared" si="39"/>
        <v>2240</v>
      </c>
      <c r="K2244" s="566">
        <v>18</v>
      </c>
    </row>
    <row r="2245" spans="10:11" x14ac:dyDescent="0.25">
      <c r="J2245" s="903">
        <f t="shared" si="39"/>
        <v>2241</v>
      </c>
      <c r="K2245" s="566">
        <v>18</v>
      </c>
    </row>
    <row r="2246" spans="10:11" x14ac:dyDescent="0.25">
      <c r="J2246" s="903">
        <f t="shared" si="39"/>
        <v>2242</v>
      </c>
      <c r="K2246" s="566">
        <v>18</v>
      </c>
    </row>
    <row r="2247" spans="10:11" x14ac:dyDescent="0.25">
      <c r="J2247" s="903">
        <f t="shared" si="39"/>
        <v>2243</v>
      </c>
      <c r="K2247" s="566">
        <v>18</v>
      </c>
    </row>
    <row r="2248" spans="10:11" x14ac:dyDescent="0.25">
      <c r="J2248" s="903">
        <f t="shared" si="39"/>
        <v>2244</v>
      </c>
      <c r="K2248" s="566">
        <v>18</v>
      </c>
    </row>
    <row r="2249" spans="10:11" x14ac:dyDescent="0.25">
      <c r="J2249" s="903">
        <f t="shared" si="39"/>
        <v>2245</v>
      </c>
      <c r="K2249" s="566">
        <v>18</v>
      </c>
    </row>
    <row r="2250" spans="10:11" x14ac:dyDescent="0.25">
      <c r="J2250" s="903">
        <f t="shared" si="39"/>
        <v>2246</v>
      </c>
      <c r="K2250" s="566">
        <v>18</v>
      </c>
    </row>
    <row r="2251" spans="10:11" x14ac:dyDescent="0.25">
      <c r="J2251" s="903">
        <f t="shared" si="39"/>
        <v>2247</v>
      </c>
      <c r="K2251" s="566">
        <v>18</v>
      </c>
    </row>
    <row r="2252" spans="10:11" x14ac:dyDescent="0.25">
      <c r="J2252" s="903">
        <f t="shared" si="39"/>
        <v>2248</v>
      </c>
      <c r="K2252" s="566">
        <v>18</v>
      </c>
    </row>
    <row r="2253" spans="10:11" x14ac:dyDescent="0.25">
      <c r="J2253" s="903">
        <f t="shared" si="39"/>
        <v>2249</v>
      </c>
      <c r="K2253" s="566">
        <v>18</v>
      </c>
    </row>
    <row r="2254" spans="10:11" x14ac:dyDescent="0.25">
      <c r="J2254" s="903">
        <f t="shared" si="39"/>
        <v>2250</v>
      </c>
      <c r="K2254" s="566">
        <v>18</v>
      </c>
    </row>
    <row r="2255" spans="10:11" x14ac:dyDescent="0.25">
      <c r="J2255" s="903">
        <f t="shared" si="39"/>
        <v>2251</v>
      </c>
      <c r="K2255" s="566">
        <v>18</v>
      </c>
    </row>
    <row r="2256" spans="10:11" x14ac:dyDescent="0.25">
      <c r="J2256" s="903">
        <f t="shared" si="39"/>
        <v>2252</v>
      </c>
      <c r="K2256" s="566">
        <v>18</v>
      </c>
    </row>
    <row r="2257" spans="10:11" x14ac:dyDescent="0.25">
      <c r="J2257" s="903">
        <f t="shared" si="39"/>
        <v>2253</v>
      </c>
      <c r="K2257" s="566">
        <v>18</v>
      </c>
    </row>
    <row r="2258" spans="10:11" x14ac:dyDescent="0.25">
      <c r="J2258" s="903">
        <f t="shared" si="39"/>
        <v>2254</v>
      </c>
      <c r="K2258" s="566">
        <v>18</v>
      </c>
    </row>
    <row r="2259" spans="10:11" x14ac:dyDescent="0.25">
      <c r="J2259" s="903">
        <f t="shared" si="39"/>
        <v>2255</v>
      </c>
      <c r="K2259" s="566">
        <v>18</v>
      </c>
    </row>
    <row r="2260" spans="10:11" x14ac:dyDescent="0.25">
      <c r="J2260" s="903">
        <f t="shared" si="39"/>
        <v>2256</v>
      </c>
      <c r="K2260" s="566">
        <v>18</v>
      </c>
    </row>
    <row r="2261" spans="10:11" x14ac:dyDescent="0.25">
      <c r="J2261" s="903">
        <f t="shared" ref="J2261:J2324" si="40">J2260+1</f>
        <v>2257</v>
      </c>
      <c r="K2261" s="566">
        <v>18</v>
      </c>
    </row>
    <row r="2262" spans="10:11" x14ac:dyDescent="0.25">
      <c r="J2262" s="903">
        <f t="shared" si="40"/>
        <v>2258</v>
      </c>
      <c r="K2262" s="566">
        <v>18</v>
      </c>
    </row>
    <row r="2263" spans="10:11" x14ac:dyDescent="0.25">
      <c r="J2263" s="903">
        <f t="shared" si="40"/>
        <v>2259</v>
      </c>
      <c r="K2263" s="566">
        <v>18</v>
      </c>
    </row>
    <row r="2264" spans="10:11" x14ac:dyDescent="0.25">
      <c r="J2264" s="903">
        <f t="shared" si="40"/>
        <v>2260</v>
      </c>
      <c r="K2264" s="566">
        <v>18</v>
      </c>
    </row>
    <row r="2265" spans="10:11" x14ac:dyDescent="0.25">
      <c r="J2265" s="903">
        <f t="shared" si="40"/>
        <v>2261</v>
      </c>
      <c r="K2265" s="566">
        <v>18</v>
      </c>
    </row>
    <row r="2266" spans="10:11" x14ac:dyDescent="0.25">
      <c r="J2266" s="903">
        <f t="shared" si="40"/>
        <v>2262</v>
      </c>
      <c r="K2266" s="566">
        <v>18</v>
      </c>
    </row>
    <row r="2267" spans="10:11" x14ac:dyDescent="0.25">
      <c r="J2267" s="903">
        <f t="shared" si="40"/>
        <v>2263</v>
      </c>
      <c r="K2267" s="566">
        <v>18</v>
      </c>
    </row>
    <row r="2268" spans="10:11" x14ac:dyDescent="0.25">
      <c r="J2268" s="903">
        <f t="shared" si="40"/>
        <v>2264</v>
      </c>
      <c r="K2268" s="566">
        <v>18</v>
      </c>
    </row>
    <row r="2269" spans="10:11" x14ac:dyDescent="0.25">
      <c r="J2269" s="903">
        <f t="shared" si="40"/>
        <v>2265</v>
      </c>
      <c r="K2269" s="566">
        <v>18</v>
      </c>
    </row>
    <row r="2270" spans="10:11" x14ac:dyDescent="0.25">
      <c r="J2270" s="903">
        <f t="shared" si="40"/>
        <v>2266</v>
      </c>
      <c r="K2270" s="566">
        <v>18</v>
      </c>
    </row>
    <row r="2271" spans="10:11" x14ac:dyDescent="0.25">
      <c r="J2271" s="903">
        <f t="shared" si="40"/>
        <v>2267</v>
      </c>
      <c r="K2271" s="566">
        <v>18</v>
      </c>
    </row>
    <row r="2272" spans="10:11" x14ac:dyDescent="0.25">
      <c r="J2272" s="903">
        <f t="shared" si="40"/>
        <v>2268</v>
      </c>
      <c r="K2272" s="566">
        <v>18</v>
      </c>
    </row>
    <row r="2273" spans="10:11" x14ac:dyDescent="0.25">
      <c r="J2273" s="903">
        <f t="shared" si="40"/>
        <v>2269</v>
      </c>
      <c r="K2273" s="566">
        <v>18</v>
      </c>
    </row>
    <row r="2274" spans="10:11" x14ac:dyDescent="0.25">
      <c r="J2274" s="903">
        <f t="shared" si="40"/>
        <v>2270</v>
      </c>
      <c r="K2274" s="566">
        <v>18</v>
      </c>
    </row>
    <row r="2275" spans="10:11" x14ac:dyDescent="0.25">
      <c r="J2275" s="903">
        <f t="shared" si="40"/>
        <v>2271</v>
      </c>
      <c r="K2275" s="566">
        <v>18</v>
      </c>
    </row>
    <row r="2276" spans="10:11" x14ac:dyDescent="0.25">
      <c r="J2276" s="903">
        <f t="shared" si="40"/>
        <v>2272</v>
      </c>
      <c r="K2276" s="566">
        <v>18</v>
      </c>
    </row>
    <row r="2277" spans="10:11" x14ac:dyDescent="0.25">
      <c r="J2277" s="903">
        <f t="shared" si="40"/>
        <v>2273</v>
      </c>
      <c r="K2277" s="566">
        <v>18</v>
      </c>
    </row>
    <row r="2278" spans="10:11" x14ac:dyDescent="0.25">
      <c r="J2278" s="903">
        <f t="shared" si="40"/>
        <v>2274</v>
      </c>
      <c r="K2278" s="566">
        <v>18</v>
      </c>
    </row>
    <row r="2279" spans="10:11" x14ac:dyDescent="0.25">
      <c r="J2279" s="903">
        <f t="shared" si="40"/>
        <v>2275</v>
      </c>
      <c r="K2279" s="566">
        <v>18</v>
      </c>
    </row>
    <row r="2280" spans="10:11" x14ac:dyDescent="0.25">
      <c r="J2280" s="903">
        <f t="shared" si="40"/>
        <v>2276</v>
      </c>
      <c r="K2280" s="566">
        <v>18</v>
      </c>
    </row>
    <row r="2281" spans="10:11" x14ac:dyDescent="0.25">
      <c r="J2281" s="903">
        <f t="shared" si="40"/>
        <v>2277</v>
      </c>
      <c r="K2281" s="566">
        <v>18</v>
      </c>
    </row>
    <row r="2282" spans="10:11" x14ac:dyDescent="0.25">
      <c r="J2282" s="903">
        <f t="shared" si="40"/>
        <v>2278</v>
      </c>
      <c r="K2282" s="566">
        <v>18</v>
      </c>
    </row>
    <row r="2283" spans="10:11" x14ac:dyDescent="0.25">
      <c r="J2283" s="903">
        <f t="shared" si="40"/>
        <v>2279</v>
      </c>
      <c r="K2283" s="566">
        <v>18</v>
      </c>
    </row>
    <row r="2284" spans="10:11" x14ac:dyDescent="0.25">
      <c r="J2284" s="903">
        <f t="shared" si="40"/>
        <v>2280</v>
      </c>
      <c r="K2284" s="566">
        <v>18</v>
      </c>
    </row>
    <row r="2285" spans="10:11" x14ac:dyDescent="0.25">
      <c r="J2285" s="903">
        <f t="shared" si="40"/>
        <v>2281</v>
      </c>
      <c r="K2285" s="566">
        <v>18</v>
      </c>
    </row>
    <row r="2286" spans="10:11" x14ac:dyDescent="0.25">
      <c r="J2286" s="903">
        <f t="shared" si="40"/>
        <v>2282</v>
      </c>
      <c r="K2286" s="566">
        <v>18</v>
      </c>
    </row>
    <row r="2287" spans="10:11" x14ac:dyDescent="0.25">
      <c r="J2287" s="903">
        <f t="shared" si="40"/>
        <v>2283</v>
      </c>
      <c r="K2287" s="566">
        <v>18</v>
      </c>
    </row>
    <row r="2288" spans="10:11" x14ac:dyDescent="0.25">
      <c r="J2288" s="903">
        <f t="shared" si="40"/>
        <v>2284</v>
      </c>
      <c r="K2288" s="566">
        <v>18</v>
      </c>
    </row>
    <row r="2289" spans="10:11" x14ac:dyDescent="0.25">
      <c r="J2289" s="903">
        <f t="shared" si="40"/>
        <v>2285</v>
      </c>
      <c r="K2289" s="566">
        <v>18</v>
      </c>
    </row>
    <row r="2290" spans="10:11" x14ac:dyDescent="0.25">
      <c r="J2290" s="903">
        <f t="shared" si="40"/>
        <v>2286</v>
      </c>
      <c r="K2290" s="566">
        <v>18</v>
      </c>
    </row>
    <row r="2291" spans="10:11" x14ac:dyDescent="0.25">
      <c r="J2291" s="903">
        <f t="shared" si="40"/>
        <v>2287</v>
      </c>
      <c r="K2291" s="566">
        <v>18</v>
      </c>
    </row>
    <row r="2292" spans="10:11" x14ac:dyDescent="0.25">
      <c r="J2292" s="903">
        <f t="shared" si="40"/>
        <v>2288</v>
      </c>
      <c r="K2292" s="566">
        <v>18</v>
      </c>
    </row>
    <row r="2293" spans="10:11" x14ac:dyDescent="0.25">
      <c r="J2293" s="903">
        <f t="shared" si="40"/>
        <v>2289</v>
      </c>
      <c r="K2293" s="566">
        <v>18</v>
      </c>
    </row>
    <row r="2294" spans="10:11" x14ac:dyDescent="0.25">
      <c r="J2294" s="903">
        <f t="shared" si="40"/>
        <v>2290</v>
      </c>
      <c r="K2294" s="566">
        <v>18</v>
      </c>
    </row>
    <row r="2295" spans="10:11" x14ac:dyDescent="0.25">
      <c r="J2295" s="903">
        <f t="shared" si="40"/>
        <v>2291</v>
      </c>
      <c r="K2295" s="566">
        <v>18</v>
      </c>
    </row>
    <row r="2296" spans="10:11" x14ac:dyDescent="0.25">
      <c r="J2296" s="903">
        <f t="shared" si="40"/>
        <v>2292</v>
      </c>
      <c r="K2296" s="566">
        <v>18</v>
      </c>
    </row>
    <row r="2297" spans="10:11" x14ac:dyDescent="0.25">
      <c r="J2297" s="903">
        <f t="shared" si="40"/>
        <v>2293</v>
      </c>
      <c r="K2297" s="566">
        <v>18</v>
      </c>
    </row>
    <row r="2298" spans="10:11" x14ac:dyDescent="0.25">
      <c r="J2298" s="903">
        <f t="shared" si="40"/>
        <v>2294</v>
      </c>
      <c r="K2298" s="566">
        <v>18</v>
      </c>
    </row>
    <row r="2299" spans="10:11" x14ac:dyDescent="0.25">
      <c r="J2299" s="903">
        <f t="shared" si="40"/>
        <v>2295</v>
      </c>
      <c r="K2299" s="566">
        <v>18</v>
      </c>
    </row>
    <row r="2300" spans="10:11" x14ac:dyDescent="0.25">
      <c r="J2300" s="903">
        <f t="shared" si="40"/>
        <v>2296</v>
      </c>
      <c r="K2300" s="566">
        <v>18</v>
      </c>
    </row>
    <row r="2301" spans="10:11" x14ac:dyDescent="0.25">
      <c r="J2301" s="903">
        <f t="shared" si="40"/>
        <v>2297</v>
      </c>
      <c r="K2301" s="566">
        <v>18</v>
      </c>
    </row>
    <row r="2302" spans="10:11" x14ac:dyDescent="0.25">
      <c r="J2302" s="903">
        <f t="shared" si="40"/>
        <v>2298</v>
      </c>
      <c r="K2302" s="566">
        <v>18</v>
      </c>
    </row>
    <row r="2303" spans="10:11" x14ac:dyDescent="0.25">
      <c r="J2303" s="903">
        <f t="shared" si="40"/>
        <v>2299</v>
      </c>
      <c r="K2303" s="566">
        <v>18</v>
      </c>
    </row>
    <row r="2304" spans="10:11" x14ac:dyDescent="0.25">
      <c r="J2304" s="903">
        <f t="shared" si="40"/>
        <v>2300</v>
      </c>
      <c r="K2304" s="566">
        <v>19</v>
      </c>
    </row>
    <row r="2305" spans="10:11" x14ac:dyDescent="0.25">
      <c r="J2305" s="903">
        <f t="shared" si="40"/>
        <v>2301</v>
      </c>
      <c r="K2305" s="566">
        <v>19</v>
      </c>
    </row>
    <row r="2306" spans="10:11" x14ac:dyDescent="0.25">
      <c r="J2306" s="903">
        <f t="shared" si="40"/>
        <v>2302</v>
      </c>
      <c r="K2306" s="566">
        <v>19</v>
      </c>
    </row>
    <row r="2307" spans="10:11" x14ac:dyDescent="0.25">
      <c r="J2307" s="903">
        <f t="shared" si="40"/>
        <v>2303</v>
      </c>
      <c r="K2307" s="566">
        <v>19</v>
      </c>
    </row>
    <row r="2308" spans="10:11" x14ac:dyDescent="0.25">
      <c r="J2308" s="903">
        <f t="shared" si="40"/>
        <v>2304</v>
      </c>
      <c r="K2308" s="566">
        <v>19</v>
      </c>
    </row>
    <row r="2309" spans="10:11" x14ac:dyDescent="0.25">
      <c r="J2309" s="903">
        <f t="shared" si="40"/>
        <v>2305</v>
      </c>
      <c r="K2309" s="566">
        <v>19</v>
      </c>
    </row>
    <row r="2310" spans="10:11" x14ac:dyDescent="0.25">
      <c r="J2310" s="903">
        <f t="shared" si="40"/>
        <v>2306</v>
      </c>
      <c r="K2310" s="566">
        <v>19</v>
      </c>
    </row>
    <row r="2311" spans="10:11" x14ac:dyDescent="0.25">
      <c r="J2311" s="903">
        <f t="shared" si="40"/>
        <v>2307</v>
      </c>
      <c r="K2311" s="566">
        <v>19</v>
      </c>
    </row>
    <row r="2312" spans="10:11" x14ac:dyDescent="0.25">
      <c r="J2312" s="903">
        <f t="shared" si="40"/>
        <v>2308</v>
      </c>
      <c r="K2312" s="566">
        <v>19</v>
      </c>
    </row>
    <row r="2313" spans="10:11" x14ac:dyDescent="0.25">
      <c r="J2313" s="903">
        <f t="shared" si="40"/>
        <v>2309</v>
      </c>
      <c r="K2313" s="566">
        <v>19</v>
      </c>
    </row>
    <row r="2314" spans="10:11" x14ac:dyDescent="0.25">
      <c r="J2314" s="903">
        <f t="shared" si="40"/>
        <v>2310</v>
      </c>
      <c r="K2314" s="566">
        <v>19</v>
      </c>
    </row>
    <row r="2315" spans="10:11" x14ac:dyDescent="0.25">
      <c r="J2315" s="903">
        <f t="shared" si="40"/>
        <v>2311</v>
      </c>
      <c r="K2315" s="566">
        <v>19</v>
      </c>
    </row>
    <row r="2316" spans="10:11" x14ac:dyDescent="0.25">
      <c r="J2316" s="903">
        <f t="shared" si="40"/>
        <v>2312</v>
      </c>
      <c r="K2316" s="566">
        <v>19</v>
      </c>
    </row>
    <row r="2317" spans="10:11" x14ac:dyDescent="0.25">
      <c r="J2317" s="903">
        <f t="shared" si="40"/>
        <v>2313</v>
      </c>
      <c r="K2317" s="566">
        <v>19</v>
      </c>
    </row>
    <row r="2318" spans="10:11" x14ac:dyDescent="0.25">
      <c r="J2318" s="903">
        <f t="shared" si="40"/>
        <v>2314</v>
      </c>
      <c r="K2318" s="566">
        <v>19</v>
      </c>
    </row>
    <row r="2319" spans="10:11" x14ac:dyDescent="0.25">
      <c r="J2319" s="903">
        <f t="shared" si="40"/>
        <v>2315</v>
      </c>
      <c r="K2319" s="566">
        <v>19</v>
      </c>
    </row>
    <row r="2320" spans="10:11" x14ac:dyDescent="0.25">
      <c r="J2320" s="903">
        <f t="shared" si="40"/>
        <v>2316</v>
      </c>
      <c r="K2320" s="566">
        <v>19</v>
      </c>
    </row>
    <row r="2321" spans="10:11" x14ac:dyDescent="0.25">
      <c r="J2321" s="903">
        <f t="shared" si="40"/>
        <v>2317</v>
      </c>
      <c r="K2321" s="566">
        <v>19</v>
      </c>
    </row>
    <row r="2322" spans="10:11" x14ac:dyDescent="0.25">
      <c r="J2322" s="903">
        <f t="shared" si="40"/>
        <v>2318</v>
      </c>
      <c r="K2322" s="566">
        <v>19</v>
      </c>
    </row>
    <row r="2323" spans="10:11" x14ac:dyDescent="0.25">
      <c r="J2323" s="903">
        <f t="shared" si="40"/>
        <v>2319</v>
      </c>
      <c r="K2323" s="566">
        <v>19</v>
      </c>
    </row>
    <row r="2324" spans="10:11" x14ac:dyDescent="0.25">
      <c r="J2324" s="903">
        <f t="shared" si="40"/>
        <v>2320</v>
      </c>
      <c r="K2324" s="566">
        <v>19</v>
      </c>
    </row>
    <row r="2325" spans="10:11" x14ac:dyDescent="0.25">
      <c r="J2325" s="903">
        <f t="shared" ref="J2325:J2388" si="41">J2324+1</f>
        <v>2321</v>
      </c>
      <c r="K2325" s="566">
        <v>19</v>
      </c>
    </row>
    <row r="2326" spans="10:11" x14ac:dyDescent="0.25">
      <c r="J2326" s="903">
        <f t="shared" si="41"/>
        <v>2322</v>
      </c>
      <c r="K2326" s="566">
        <v>19</v>
      </c>
    </row>
    <row r="2327" spans="10:11" x14ac:dyDescent="0.25">
      <c r="J2327" s="903">
        <f t="shared" si="41"/>
        <v>2323</v>
      </c>
      <c r="K2327" s="566">
        <v>19</v>
      </c>
    </row>
    <row r="2328" spans="10:11" x14ac:dyDescent="0.25">
      <c r="J2328" s="903">
        <f t="shared" si="41"/>
        <v>2324</v>
      </c>
      <c r="K2328" s="566">
        <v>19</v>
      </c>
    </row>
    <row r="2329" spans="10:11" x14ac:dyDescent="0.25">
      <c r="J2329" s="903">
        <f t="shared" si="41"/>
        <v>2325</v>
      </c>
      <c r="K2329" s="566">
        <v>19</v>
      </c>
    </row>
    <row r="2330" spans="10:11" x14ac:dyDescent="0.25">
      <c r="J2330" s="903">
        <f t="shared" si="41"/>
        <v>2326</v>
      </c>
      <c r="K2330" s="566">
        <v>19</v>
      </c>
    </row>
    <row r="2331" spans="10:11" x14ac:dyDescent="0.25">
      <c r="J2331" s="903">
        <f t="shared" si="41"/>
        <v>2327</v>
      </c>
      <c r="K2331" s="566">
        <v>19</v>
      </c>
    </row>
    <row r="2332" spans="10:11" x14ac:dyDescent="0.25">
      <c r="J2332" s="903">
        <f t="shared" si="41"/>
        <v>2328</v>
      </c>
      <c r="K2332" s="566">
        <v>19</v>
      </c>
    </row>
    <row r="2333" spans="10:11" x14ac:dyDescent="0.25">
      <c r="J2333" s="903">
        <f t="shared" si="41"/>
        <v>2329</v>
      </c>
      <c r="K2333" s="566">
        <v>19</v>
      </c>
    </row>
    <row r="2334" spans="10:11" x14ac:dyDescent="0.25">
      <c r="J2334" s="903">
        <f t="shared" si="41"/>
        <v>2330</v>
      </c>
      <c r="K2334" s="566">
        <v>19</v>
      </c>
    </row>
    <row r="2335" spans="10:11" x14ac:dyDescent="0.25">
      <c r="J2335" s="903">
        <f t="shared" si="41"/>
        <v>2331</v>
      </c>
      <c r="K2335" s="566">
        <v>19</v>
      </c>
    </row>
    <row r="2336" spans="10:11" x14ac:dyDescent="0.25">
      <c r="J2336" s="903">
        <f t="shared" si="41"/>
        <v>2332</v>
      </c>
      <c r="K2336" s="566">
        <v>19</v>
      </c>
    </row>
    <row r="2337" spans="10:11" x14ac:dyDescent="0.25">
      <c r="J2337" s="903">
        <f t="shared" si="41"/>
        <v>2333</v>
      </c>
      <c r="K2337" s="566">
        <v>19</v>
      </c>
    </row>
    <row r="2338" spans="10:11" x14ac:dyDescent="0.25">
      <c r="J2338" s="903">
        <f t="shared" si="41"/>
        <v>2334</v>
      </c>
      <c r="K2338" s="566">
        <v>19</v>
      </c>
    </row>
    <row r="2339" spans="10:11" x14ac:dyDescent="0.25">
      <c r="J2339" s="903">
        <f t="shared" si="41"/>
        <v>2335</v>
      </c>
      <c r="K2339" s="566">
        <v>19</v>
      </c>
    </row>
    <row r="2340" spans="10:11" x14ac:dyDescent="0.25">
      <c r="J2340" s="903">
        <f t="shared" si="41"/>
        <v>2336</v>
      </c>
      <c r="K2340" s="566">
        <v>19</v>
      </c>
    </row>
    <row r="2341" spans="10:11" x14ac:dyDescent="0.25">
      <c r="J2341" s="903">
        <f t="shared" si="41"/>
        <v>2337</v>
      </c>
      <c r="K2341" s="566">
        <v>19</v>
      </c>
    </row>
    <row r="2342" spans="10:11" x14ac:dyDescent="0.25">
      <c r="J2342" s="903">
        <f t="shared" si="41"/>
        <v>2338</v>
      </c>
      <c r="K2342" s="566">
        <v>19</v>
      </c>
    </row>
    <row r="2343" spans="10:11" x14ac:dyDescent="0.25">
      <c r="J2343" s="903">
        <f t="shared" si="41"/>
        <v>2339</v>
      </c>
      <c r="K2343" s="566">
        <v>19</v>
      </c>
    </row>
    <row r="2344" spans="10:11" x14ac:dyDescent="0.25">
      <c r="J2344" s="903">
        <f t="shared" si="41"/>
        <v>2340</v>
      </c>
      <c r="K2344" s="566">
        <v>19</v>
      </c>
    </row>
    <row r="2345" spans="10:11" x14ac:dyDescent="0.25">
      <c r="J2345" s="903">
        <f t="shared" si="41"/>
        <v>2341</v>
      </c>
      <c r="K2345" s="566">
        <v>19</v>
      </c>
    </row>
    <row r="2346" spans="10:11" x14ac:dyDescent="0.25">
      <c r="J2346" s="903">
        <f t="shared" si="41"/>
        <v>2342</v>
      </c>
      <c r="K2346" s="566">
        <v>19</v>
      </c>
    </row>
    <row r="2347" spans="10:11" x14ac:dyDescent="0.25">
      <c r="J2347" s="903">
        <f t="shared" si="41"/>
        <v>2343</v>
      </c>
      <c r="K2347" s="566">
        <v>19</v>
      </c>
    </row>
    <row r="2348" spans="10:11" x14ac:dyDescent="0.25">
      <c r="J2348" s="903">
        <f t="shared" si="41"/>
        <v>2344</v>
      </c>
      <c r="K2348" s="566">
        <v>19</v>
      </c>
    </row>
    <row r="2349" spans="10:11" x14ac:dyDescent="0.25">
      <c r="J2349" s="903">
        <f t="shared" si="41"/>
        <v>2345</v>
      </c>
      <c r="K2349" s="566">
        <v>19</v>
      </c>
    </row>
    <row r="2350" spans="10:11" x14ac:dyDescent="0.25">
      <c r="J2350" s="903">
        <f t="shared" si="41"/>
        <v>2346</v>
      </c>
      <c r="K2350" s="566">
        <v>19</v>
      </c>
    </row>
    <row r="2351" spans="10:11" x14ac:dyDescent="0.25">
      <c r="J2351" s="903">
        <f t="shared" si="41"/>
        <v>2347</v>
      </c>
      <c r="K2351" s="566">
        <v>19</v>
      </c>
    </row>
    <row r="2352" spans="10:11" x14ac:dyDescent="0.25">
      <c r="J2352" s="903">
        <f t="shared" si="41"/>
        <v>2348</v>
      </c>
      <c r="K2352" s="566">
        <v>19</v>
      </c>
    </row>
    <row r="2353" spans="10:11" x14ac:dyDescent="0.25">
      <c r="J2353" s="903">
        <f t="shared" si="41"/>
        <v>2349</v>
      </c>
      <c r="K2353" s="566">
        <v>19</v>
      </c>
    </row>
    <row r="2354" spans="10:11" x14ac:dyDescent="0.25">
      <c r="J2354" s="903">
        <f t="shared" si="41"/>
        <v>2350</v>
      </c>
      <c r="K2354" s="566">
        <v>19</v>
      </c>
    </row>
    <row r="2355" spans="10:11" x14ac:dyDescent="0.25">
      <c r="J2355" s="903">
        <f t="shared" si="41"/>
        <v>2351</v>
      </c>
      <c r="K2355" s="566">
        <v>19</v>
      </c>
    </row>
    <row r="2356" spans="10:11" x14ac:dyDescent="0.25">
      <c r="J2356" s="903">
        <f t="shared" si="41"/>
        <v>2352</v>
      </c>
      <c r="K2356" s="566">
        <v>19</v>
      </c>
    </row>
    <row r="2357" spans="10:11" x14ac:dyDescent="0.25">
      <c r="J2357" s="903">
        <f t="shared" si="41"/>
        <v>2353</v>
      </c>
      <c r="K2357" s="566">
        <v>19</v>
      </c>
    </row>
    <row r="2358" spans="10:11" x14ac:dyDescent="0.25">
      <c r="J2358" s="903">
        <f t="shared" si="41"/>
        <v>2354</v>
      </c>
      <c r="K2358" s="566">
        <v>19</v>
      </c>
    </row>
    <row r="2359" spans="10:11" x14ac:dyDescent="0.25">
      <c r="J2359" s="903">
        <f t="shared" si="41"/>
        <v>2355</v>
      </c>
      <c r="K2359" s="566">
        <v>19</v>
      </c>
    </row>
    <row r="2360" spans="10:11" x14ac:dyDescent="0.25">
      <c r="J2360" s="903">
        <f t="shared" si="41"/>
        <v>2356</v>
      </c>
      <c r="K2360" s="566">
        <v>19</v>
      </c>
    </row>
    <row r="2361" spans="10:11" x14ac:dyDescent="0.25">
      <c r="J2361" s="903">
        <f t="shared" si="41"/>
        <v>2357</v>
      </c>
      <c r="K2361" s="566">
        <v>19</v>
      </c>
    </row>
    <row r="2362" spans="10:11" x14ac:dyDescent="0.25">
      <c r="J2362" s="903">
        <f t="shared" si="41"/>
        <v>2358</v>
      </c>
      <c r="K2362" s="566">
        <v>19</v>
      </c>
    </row>
    <row r="2363" spans="10:11" x14ac:dyDescent="0.25">
      <c r="J2363" s="903">
        <f t="shared" si="41"/>
        <v>2359</v>
      </c>
      <c r="K2363" s="566">
        <v>19</v>
      </c>
    </row>
    <row r="2364" spans="10:11" x14ac:dyDescent="0.25">
      <c r="J2364" s="903">
        <f t="shared" si="41"/>
        <v>2360</v>
      </c>
      <c r="K2364" s="566">
        <v>19</v>
      </c>
    </row>
    <row r="2365" spans="10:11" x14ac:dyDescent="0.25">
      <c r="J2365" s="903">
        <f t="shared" si="41"/>
        <v>2361</v>
      </c>
      <c r="K2365" s="566">
        <v>19</v>
      </c>
    </row>
    <row r="2366" spans="10:11" x14ac:dyDescent="0.25">
      <c r="J2366" s="903">
        <f t="shared" si="41"/>
        <v>2362</v>
      </c>
      <c r="K2366" s="566">
        <v>19</v>
      </c>
    </row>
    <row r="2367" spans="10:11" x14ac:dyDescent="0.25">
      <c r="J2367" s="903">
        <f t="shared" si="41"/>
        <v>2363</v>
      </c>
      <c r="K2367" s="566">
        <v>19</v>
      </c>
    </row>
    <row r="2368" spans="10:11" x14ac:dyDescent="0.25">
      <c r="J2368" s="903">
        <f t="shared" si="41"/>
        <v>2364</v>
      </c>
      <c r="K2368" s="566">
        <v>19</v>
      </c>
    </row>
    <row r="2369" spans="10:11" x14ac:dyDescent="0.25">
      <c r="J2369" s="903">
        <f t="shared" si="41"/>
        <v>2365</v>
      </c>
      <c r="K2369" s="566">
        <v>19</v>
      </c>
    </row>
    <row r="2370" spans="10:11" x14ac:dyDescent="0.25">
      <c r="J2370" s="903">
        <f t="shared" si="41"/>
        <v>2366</v>
      </c>
      <c r="K2370" s="566">
        <v>19</v>
      </c>
    </row>
    <row r="2371" spans="10:11" x14ac:dyDescent="0.25">
      <c r="J2371" s="903">
        <f t="shared" si="41"/>
        <v>2367</v>
      </c>
      <c r="K2371" s="566">
        <v>19</v>
      </c>
    </row>
    <row r="2372" spans="10:11" x14ac:dyDescent="0.25">
      <c r="J2372" s="903">
        <f t="shared" si="41"/>
        <v>2368</v>
      </c>
      <c r="K2372" s="566">
        <v>19</v>
      </c>
    </row>
    <row r="2373" spans="10:11" x14ac:dyDescent="0.25">
      <c r="J2373" s="903">
        <f t="shared" si="41"/>
        <v>2369</v>
      </c>
      <c r="K2373" s="566">
        <v>19</v>
      </c>
    </row>
    <row r="2374" spans="10:11" x14ac:dyDescent="0.25">
      <c r="J2374" s="903">
        <f t="shared" si="41"/>
        <v>2370</v>
      </c>
      <c r="K2374" s="566">
        <v>19</v>
      </c>
    </row>
    <row r="2375" spans="10:11" x14ac:dyDescent="0.25">
      <c r="J2375" s="903">
        <f t="shared" si="41"/>
        <v>2371</v>
      </c>
      <c r="K2375" s="566">
        <v>19</v>
      </c>
    </row>
    <row r="2376" spans="10:11" x14ac:dyDescent="0.25">
      <c r="J2376" s="903">
        <f t="shared" si="41"/>
        <v>2372</v>
      </c>
      <c r="K2376" s="566">
        <v>19</v>
      </c>
    </row>
    <row r="2377" spans="10:11" x14ac:dyDescent="0.25">
      <c r="J2377" s="903">
        <f t="shared" si="41"/>
        <v>2373</v>
      </c>
      <c r="K2377" s="566">
        <v>19</v>
      </c>
    </row>
    <row r="2378" spans="10:11" x14ac:dyDescent="0.25">
      <c r="J2378" s="903">
        <f t="shared" si="41"/>
        <v>2374</v>
      </c>
      <c r="K2378" s="566">
        <v>19</v>
      </c>
    </row>
    <row r="2379" spans="10:11" x14ac:dyDescent="0.25">
      <c r="J2379" s="903">
        <f t="shared" si="41"/>
        <v>2375</v>
      </c>
      <c r="K2379" s="566">
        <v>19</v>
      </c>
    </row>
    <row r="2380" spans="10:11" x14ac:dyDescent="0.25">
      <c r="J2380" s="903">
        <f t="shared" si="41"/>
        <v>2376</v>
      </c>
      <c r="K2380" s="566">
        <v>19</v>
      </c>
    </row>
    <row r="2381" spans="10:11" x14ac:dyDescent="0.25">
      <c r="J2381" s="903">
        <f t="shared" si="41"/>
        <v>2377</v>
      </c>
      <c r="K2381" s="566">
        <v>19</v>
      </c>
    </row>
    <row r="2382" spans="10:11" x14ac:dyDescent="0.25">
      <c r="J2382" s="903">
        <f t="shared" si="41"/>
        <v>2378</v>
      </c>
      <c r="K2382" s="566">
        <v>19</v>
      </c>
    </row>
    <row r="2383" spans="10:11" x14ac:dyDescent="0.25">
      <c r="J2383" s="903">
        <f t="shared" si="41"/>
        <v>2379</v>
      </c>
      <c r="K2383" s="566">
        <v>19</v>
      </c>
    </row>
    <row r="2384" spans="10:11" x14ac:dyDescent="0.25">
      <c r="J2384" s="903">
        <f t="shared" si="41"/>
        <v>2380</v>
      </c>
      <c r="K2384" s="566">
        <v>19</v>
      </c>
    </row>
    <row r="2385" spans="10:11" x14ac:dyDescent="0.25">
      <c r="J2385" s="903">
        <f t="shared" si="41"/>
        <v>2381</v>
      </c>
      <c r="K2385" s="566">
        <v>19</v>
      </c>
    </row>
    <row r="2386" spans="10:11" x14ac:dyDescent="0.25">
      <c r="J2386" s="903">
        <f t="shared" si="41"/>
        <v>2382</v>
      </c>
      <c r="K2386" s="566">
        <v>19</v>
      </c>
    </row>
    <row r="2387" spans="10:11" x14ac:dyDescent="0.25">
      <c r="J2387" s="903">
        <f t="shared" si="41"/>
        <v>2383</v>
      </c>
      <c r="K2387" s="566">
        <v>19</v>
      </c>
    </row>
    <row r="2388" spans="10:11" x14ac:dyDescent="0.25">
      <c r="J2388" s="903">
        <f t="shared" si="41"/>
        <v>2384</v>
      </c>
      <c r="K2388" s="566">
        <v>19</v>
      </c>
    </row>
    <row r="2389" spans="10:11" x14ac:dyDescent="0.25">
      <c r="J2389" s="903">
        <f t="shared" ref="J2389:J2452" si="42">J2388+1</f>
        <v>2385</v>
      </c>
      <c r="K2389" s="566">
        <v>19</v>
      </c>
    </row>
    <row r="2390" spans="10:11" x14ac:dyDescent="0.25">
      <c r="J2390" s="903">
        <f t="shared" si="42"/>
        <v>2386</v>
      </c>
      <c r="K2390" s="566">
        <v>19</v>
      </c>
    </row>
    <row r="2391" spans="10:11" x14ac:dyDescent="0.25">
      <c r="J2391" s="903">
        <f t="shared" si="42"/>
        <v>2387</v>
      </c>
      <c r="K2391" s="566">
        <v>19</v>
      </c>
    </row>
    <row r="2392" spans="10:11" x14ac:dyDescent="0.25">
      <c r="J2392" s="903">
        <f t="shared" si="42"/>
        <v>2388</v>
      </c>
      <c r="K2392" s="566">
        <v>19</v>
      </c>
    </row>
    <row r="2393" spans="10:11" x14ac:dyDescent="0.25">
      <c r="J2393" s="903">
        <f t="shared" si="42"/>
        <v>2389</v>
      </c>
      <c r="K2393" s="566">
        <v>19</v>
      </c>
    </row>
    <row r="2394" spans="10:11" x14ac:dyDescent="0.25">
      <c r="J2394" s="903">
        <f t="shared" si="42"/>
        <v>2390</v>
      </c>
      <c r="K2394" s="566">
        <v>19</v>
      </c>
    </row>
    <row r="2395" spans="10:11" x14ac:dyDescent="0.25">
      <c r="J2395" s="903">
        <f t="shared" si="42"/>
        <v>2391</v>
      </c>
      <c r="K2395" s="566">
        <v>19</v>
      </c>
    </row>
    <row r="2396" spans="10:11" x14ac:dyDescent="0.25">
      <c r="J2396" s="903">
        <f t="shared" si="42"/>
        <v>2392</v>
      </c>
      <c r="K2396" s="566">
        <v>19</v>
      </c>
    </row>
    <row r="2397" spans="10:11" x14ac:dyDescent="0.25">
      <c r="J2397" s="903">
        <f t="shared" si="42"/>
        <v>2393</v>
      </c>
      <c r="K2397" s="566">
        <v>19</v>
      </c>
    </row>
    <row r="2398" spans="10:11" x14ac:dyDescent="0.25">
      <c r="J2398" s="903">
        <f t="shared" si="42"/>
        <v>2394</v>
      </c>
      <c r="K2398" s="566">
        <v>19</v>
      </c>
    </row>
    <row r="2399" spans="10:11" x14ac:dyDescent="0.25">
      <c r="J2399" s="903">
        <f t="shared" si="42"/>
        <v>2395</v>
      </c>
      <c r="K2399" s="566">
        <v>19</v>
      </c>
    </row>
    <row r="2400" spans="10:11" x14ac:dyDescent="0.25">
      <c r="J2400" s="903">
        <f t="shared" si="42"/>
        <v>2396</v>
      </c>
      <c r="K2400" s="566">
        <v>19</v>
      </c>
    </row>
    <row r="2401" spans="10:11" x14ac:dyDescent="0.25">
      <c r="J2401" s="903">
        <f t="shared" si="42"/>
        <v>2397</v>
      </c>
      <c r="K2401" s="566">
        <v>19</v>
      </c>
    </row>
    <row r="2402" spans="10:11" x14ac:dyDescent="0.25">
      <c r="J2402" s="903">
        <f t="shared" si="42"/>
        <v>2398</v>
      </c>
      <c r="K2402" s="566">
        <v>19</v>
      </c>
    </row>
    <row r="2403" spans="10:11" x14ac:dyDescent="0.25">
      <c r="J2403" s="903">
        <f t="shared" si="42"/>
        <v>2399</v>
      </c>
      <c r="K2403" s="566">
        <v>19</v>
      </c>
    </row>
    <row r="2404" spans="10:11" x14ac:dyDescent="0.25">
      <c r="J2404" s="903">
        <f t="shared" si="42"/>
        <v>2400</v>
      </c>
      <c r="K2404" s="566">
        <v>19</v>
      </c>
    </row>
    <row r="2405" spans="10:11" x14ac:dyDescent="0.25">
      <c r="J2405" s="903">
        <f t="shared" si="42"/>
        <v>2401</v>
      </c>
      <c r="K2405" s="566">
        <v>19</v>
      </c>
    </row>
    <row r="2406" spans="10:11" x14ac:dyDescent="0.25">
      <c r="J2406" s="903">
        <f t="shared" si="42"/>
        <v>2402</v>
      </c>
      <c r="K2406" s="566">
        <v>19</v>
      </c>
    </row>
    <row r="2407" spans="10:11" x14ac:dyDescent="0.25">
      <c r="J2407" s="903">
        <f t="shared" si="42"/>
        <v>2403</v>
      </c>
      <c r="K2407" s="566">
        <v>19</v>
      </c>
    </row>
    <row r="2408" spans="10:11" x14ac:dyDescent="0.25">
      <c r="J2408" s="903">
        <f t="shared" si="42"/>
        <v>2404</v>
      </c>
      <c r="K2408" s="566">
        <v>19</v>
      </c>
    </row>
    <row r="2409" spans="10:11" x14ac:dyDescent="0.25">
      <c r="J2409" s="903">
        <f t="shared" si="42"/>
        <v>2405</v>
      </c>
      <c r="K2409" s="566">
        <v>19</v>
      </c>
    </row>
    <row r="2410" spans="10:11" x14ac:dyDescent="0.25">
      <c r="J2410" s="903">
        <f t="shared" si="42"/>
        <v>2406</v>
      </c>
      <c r="K2410" s="566">
        <v>19</v>
      </c>
    </row>
    <row r="2411" spans="10:11" x14ac:dyDescent="0.25">
      <c r="J2411" s="903">
        <f t="shared" si="42"/>
        <v>2407</v>
      </c>
      <c r="K2411" s="566">
        <v>19</v>
      </c>
    </row>
    <row r="2412" spans="10:11" x14ac:dyDescent="0.25">
      <c r="J2412" s="903">
        <f t="shared" si="42"/>
        <v>2408</v>
      </c>
      <c r="K2412" s="566">
        <v>19</v>
      </c>
    </row>
    <row r="2413" spans="10:11" x14ac:dyDescent="0.25">
      <c r="J2413" s="903">
        <f t="shared" si="42"/>
        <v>2409</v>
      </c>
      <c r="K2413" s="566">
        <v>19</v>
      </c>
    </row>
    <row r="2414" spans="10:11" x14ac:dyDescent="0.25">
      <c r="J2414" s="903">
        <f t="shared" si="42"/>
        <v>2410</v>
      </c>
      <c r="K2414" s="566">
        <v>19</v>
      </c>
    </row>
    <row r="2415" spans="10:11" x14ac:dyDescent="0.25">
      <c r="J2415" s="903">
        <f t="shared" si="42"/>
        <v>2411</v>
      </c>
      <c r="K2415" s="566">
        <v>19</v>
      </c>
    </row>
    <row r="2416" spans="10:11" x14ac:dyDescent="0.25">
      <c r="J2416" s="903">
        <f t="shared" si="42"/>
        <v>2412</v>
      </c>
      <c r="K2416" s="566">
        <v>19</v>
      </c>
    </row>
    <row r="2417" spans="10:11" x14ac:dyDescent="0.25">
      <c r="J2417" s="903">
        <f t="shared" si="42"/>
        <v>2413</v>
      </c>
      <c r="K2417" s="566">
        <v>19</v>
      </c>
    </row>
    <row r="2418" spans="10:11" x14ac:dyDescent="0.25">
      <c r="J2418" s="903">
        <f t="shared" si="42"/>
        <v>2414</v>
      </c>
      <c r="K2418" s="566">
        <v>19</v>
      </c>
    </row>
    <row r="2419" spans="10:11" x14ac:dyDescent="0.25">
      <c r="J2419" s="903">
        <f t="shared" si="42"/>
        <v>2415</v>
      </c>
      <c r="K2419" s="566">
        <v>19</v>
      </c>
    </row>
    <row r="2420" spans="10:11" x14ac:dyDescent="0.25">
      <c r="J2420" s="903">
        <f t="shared" si="42"/>
        <v>2416</v>
      </c>
      <c r="K2420" s="566">
        <v>19</v>
      </c>
    </row>
    <row r="2421" spans="10:11" x14ac:dyDescent="0.25">
      <c r="J2421" s="903">
        <f t="shared" si="42"/>
        <v>2417</v>
      </c>
      <c r="K2421" s="566">
        <v>19</v>
      </c>
    </row>
    <row r="2422" spans="10:11" x14ac:dyDescent="0.25">
      <c r="J2422" s="903">
        <f t="shared" si="42"/>
        <v>2418</v>
      </c>
      <c r="K2422" s="566">
        <v>19</v>
      </c>
    </row>
    <row r="2423" spans="10:11" x14ac:dyDescent="0.25">
      <c r="J2423" s="903">
        <f t="shared" si="42"/>
        <v>2419</v>
      </c>
      <c r="K2423" s="566">
        <v>19</v>
      </c>
    </row>
    <row r="2424" spans="10:11" x14ac:dyDescent="0.25">
      <c r="J2424" s="903">
        <f t="shared" si="42"/>
        <v>2420</v>
      </c>
      <c r="K2424" s="566">
        <v>19</v>
      </c>
    </row>
    <row r="2425" spans="10:11" x14ac:dyDescent="0.25">
      <c r="J2425" s="903">
        <f t="shared" si="42"/>
        <v>2421</v>
      </c>
      <c r="K2425" s="566">
        <v>19</v>
      </c>
    </row>
    <row r="2426" spans="10:11" x14ac:dyDescent="0.25">
      <c r="J2426" s="903">
        <f t="shared" si="42"/>
        <v>2422</v>
      </c>
      <c r="K2426" s="566">
        <v>19</v>
      </c>
    </row>
    <row r="2427" spans="10:11" x14ac:dyDescent="0.25">
      <c r="J2427" s="903">
        <f t="shared" si="42"/>
        <v>2423</v>
      </c>
      <c r="K2427" s="566">
        <v>19</v>
      </c>
    </row>
    <row r="2428" spans="10:11" x14ac:dyDescent="0.25">
      <c r="J2428" s="903">
        <f t="shared" si="42"/>
        <v>2424</v>
      </c>
      <c r="K2428" s="566">
        <v>19</v>
      </c>
    </row>
    <row r="2429" spans="10:11" x14ac:dyDescent="0.25">
      <c r="J2429" s="903">
        <f t="shared" si="42"/>
        <v>2425</v>
      </c>
      <c r="K2429" s="566">
        <v>19</v>
      </c>
    </row>
    <row r="2430" spans="10:11" x14ac:dyDescent="0.25">
      <c r="J2430" s="903">
        <f t="shared" si="42"/>
        <v>2426</v>
      </c>
      <c r="K2430" s="566">
        <v>19</v>
      </c>
    </row>
    <row r="2431" spans="10:11" x14ac:dyDescent="0.25">
      <c r="J2431" s="903">
        <f t="shared" si="42"/>
        <v>2427</v>
      </c>
      <c r="K2431" s="566">
        <v>19</v>
      </c>
    </row>
    <row r="2432" spans="10:11" x14ac:dyDescent="0.25">
      <c r="J2432" s="903">
        <f t="shared" si="42"/>
        <v>2428</v>
      </c>
      <c r="K2432" s="566">
        <v>19</v>
      </c>
    </row>
    <row r="2433" spans="10:11" x14ac:dyDescent="0.25">
      <c r="J2433" s="903">
        <f t="shared" si="42"/>
        <v>2429</v>
      </c>
      <c r="K2433" s="566">
        <v>19</v>
      </c>
    </row>
    <row r="2434" spans="10:11" x14ac:dyDescent="0.25">
      <c r="J2434" s="903">
        <f t="shared" si="42"/>
        <v>2430</v>
      </c>
      <c r="K2434" s="566">
        <v>19</v>
      </c>
    </row>
    <row r="2435" spans="10:11" x14ac:dyDescent="0.25">
      <c r="J2435" s="903">
        <f t="shared" si="42"/>
        <v>2431</v>
      </c>
      <c r="K2435" s="566">
        <v>19</v>
      </c>
    </row>
    <row r="2436" spans="10:11" x14ac:dyDescent="0.25">
      <c r="J2436" s="903">
        <f t="shared" si="42"/>
        <v>2432</v>
      </c>
      <c r="K2436" s="566">
        <v>19</v>
      </c>
    </row>
    <row r="2437" spans="10:11" x14ac:dyDescent="0.25">
      <c r="J2437" s="903">
        <f t="shared" si="42"/>
        <v>2433</v>
      </c>
      <c r="K2437" s="566">
        <v>19</v>
      </c>
    </row>
    <row r="2438" spans="10:11" x14ac:dyDescent="0.25">
      <c r="J2438" s="903">
        <f t="shared" si="42"/>
        <v>2434</v>
      </c>
      <c r="K2438" s="566">
        <v>19</v>
      </c>
    </row>
    <row r="2439" spans="10:11" x14ac:dyDescent="0.25">
      <c r="J2439" s="903">
        <f t="shared" si="42"/>
        <v>2435</v>
      </c>
      <c r="K2439" s="566">
        <v>19</v>
      </c>
    </row>
    <row r="2440" spans="10:11" x14ac:dyDescent="0.25">
      <c r="J2440" s="903">
        <f t="shared" si="42"/>
        <v>2436</v>
      </c>
      <c r="K2440" s="566">
        <v>19</v>
      </c>
    </row>
    <row r="2441" spans="10:11" x14ac:dyDescent="0.25">
      <c r="J2441" s="903">
        <f t="shared" si="42"/>
        <v>2437</v>
      </c>
      <c r="K2441" s="566">
        <v>19</v>
      </c>
    </row>
    <row r="2442" spans="10:11" x14ac:dyDescent="0.25">
      <c r="J2442" s="903">
        <f t="shared" si="42"/>
        <v>2438</v>
      </c>
      <c r="K2442" s="566">
        <v>19</v>
      </c>
    </row>
    <row r="2443" spans="10:11" x14ac:dyDescent="0.25">
      <c r="J2443" s="903">
        <f t="shared" si="42"/>
        <v>2439</v>
      </c>
      <c r="K2443" s="566">
        <v>19</v>
      </c>
    </row>
    <row r="2444" spans="10:11" x14ac:dyDescent="0.25">
      <c r="J2444" s="903">
        <f t="shared" si="42"/>
        <v>2440</v>
      </c>
      <c r="K2444" s="566">
        <v>19</v>
      </c>
    </row>
    <row r="2445" spans="10:11" x14ac:dyDescent="0.25">
      <c r="J2445" s="903">
        <f t="shared" si="42"/>
        <v>2441</v>
      </c>
      <c r="K2445" s="566">
        <v>19</v>
      </c>
    </row>
    <row r="2446" spans="10:11" x14ac:dyDescent="0.25">
      <c r="J2446" s="903">
        <f t="shared" si="42"/>
        <v>2442</v>
      </c>
      <c r="K2446" s="566">
        <v>19</v>
      </c>
    </row>
    <row r="2447" spans="10:11" x14ac:dyDescent="0.25">
      <c r="J2447" s="903">
        <f t="shared" si="42"/>
        <v>2443</v>
      </c>
      <c r="K2447" s="566">
        <v>19</v>
      </c>
    </row>
    <row r="2448" spans="10:11" x14ac:dyDescent="0.25">
      <c r="J2448" s="903">
        <f t="shared" si="42"/>
        <v>2444</v>
      </c>
      <c r="K2448" s="566">
        <v>19</v>
      </c>
    </row>
    <row r="2449" spans="10:11" x14ac:dyDescent="0.25">
      <c r="J2449" s="903">
        <f t="shared" si="42"/>
        <v>2445</v>
      </c>
      <c r="K2449" s="566">
        <v>19</v>
      </c>
    </row>
    <row r="2450" spans="10:11" x14ac:dyDescent="0.25">
      <c r="J2450" s="903">
        <f t="shared" si="42"/>
        <v>2446</v>
      </c>
      <c r="K2450" s="566">
        <v>19</v>
      </c>
    </row>
    <row r="2451" spans="10:11" x14ac:dyDescent="0.25">
      <c r="J2451" s="903">
        <f t="shared" si="42"/>
        <v>2447</v>
      </c>
      <c r="K2451" s="566">
        <v>19</v>
      </c>
    </row>
    <row r="2452" spans="10:11" x14ac:dyDescent="0.25">
      <c r="J2452" s="903">
        <f t="shared" si="42"/>
        <v>2448</v>
      </c>
      <c r="K2452" s="566">
        <v>19</v>
      </c>
    </row>
    <row r="2453" spans="10:11" x14ac:dyDescent="0.25">
      <c r="J2453" s="903">
        <f t="shared" ref="J2453:J2516" si="43">J2452+1</f>
        <v>2449</v>
      </c>
      <c r="K2453" s="566">
        <v>19</v>
      </c>
    </row>
    <row r="2454" spans="10:11" x14ac:dyDescent="0.25">
      <c r="J2454" s="903">
        <f t="shared" si="43"/>
        <v>2450</v>
      </c>
      <c r="K2454" s="566">
        <v>19</v>
      </c>
    </row>
    <row r="2455" spans="10:11" x14ac:dyDescent="0.25">
      <c r="J2455" s="903">
        <f t="shared" si="43"/>
        <v>2451</v>
      </c>
      <c r="K2455" s="566">
        <v>19</v>
      </c>
    </row>
    <row r="2456" spans="10:11" x14ac:dyDescent="0.25">
      <c r="J2456" s="903">
        <f t="shared" si="43"/>
        <v>2452</v>
      </c>
      <c r="K2456" s="566">
        <v>19</v>
      </c>
    </row>
    <row r="2457" spans="10:11" x14ac:dyDescent="0.25">
      <c r="J2457" s="903">
        <f t="shared" si="43"/>
        <v>2453</v>
      </c>
      <c r="K2457" s="566">
        <v>19</v>
      </c>
    </row>
    <row r="2458" spans="10:11" x14ac:dyDescent="0.25">
      <c r="J2458" s="903">
        <f t="shared" si="43"/>
        <v>2454</v>
      </c>
      <c r="K2458" s="566">
        <v>19</v>
      </c>
    </row>
    <row r="2459" spans="10:11" x14ac:dyDescent="0.25">
      <c r="J2459" s="903">
        <f t="shared" si="43"/>
        <v>2455</v>
      </c>
      <c r="K2459" s="566">
        <v>19</v>
      </c>
    </row>
    <row r="2460" spans="10:11" x14ac:dyDescent="0.25">
      <c r="J2460" s="903">
        <f t="shared" si="43"/>
        <v>2456</v>
      </c>
      <c r="K2460" s="566">
        <v>19</v>
      </c>
    </row>
    <row r="2461" spans="10:11" x14ac:dyDescent="0.25">
      <c r="J2461" s="903">
        <f t="shared" si="43"/>
        <v>2457</v>
      </c>
      <c r="K2461" s="566">
        <v>19</v>
      </c>
    </row>
    <row r="2462" spans="10:11" x14ac:dyDescent="0.25">
      <c r="J2462" s="903">
        <f t="shared" si="43"/>
        <v>2458</v>
      </c>
      <c r="K2462" s="566">
        <v>19</v>
      </c>
    </row>
    <row r="2463" spans="10:11" x14ac:dyDescent="0.25">
      <c r="J2463" s="903">
        <f t="shared" si="43"/>
        <v>2459</v>
      </c>
      <c r="K2463" s="566">
        <v>19</v>
      </c>
    </row>
    <row r="2464" spans="10:11" x14ac:dyDescent="0.25">
      <c r="J2464" s="903">
        <f t="shared" si="43"/>
        <v>2460</v>
      </c>
      <c r="K2464" s="566">
        <v>19</v>
      </c>
    </row>
    <row r="2465" spans="10:11" x14ac:dyDescent="0.25">
      <c r="J2465" s="903">
        <f t="shared" si="43"/>
        <v>2461</v>
      </c>
      <c r="K2465" s="566">
        <v>19</v>
      </c>
    </row>
    <row r="2466" spans="10:11" x14ac:dyDescent="0.25">
      <c r="J2466" s="903">
        <f t="shared" si="43"/>
        <v>2462</v>
      </c>
      <c r="K2466" s="566">
        <v>19</v>
      </c>
    </row>
    <row r="2467" spans="10:11" x14ac:dyDescent="0.25">
      <c r="J2467" s="903">
        <f t="shared" si="43"/>
        <v>2463</v>
      </c>
      <c r="K2467" s="566">
        <v>19</v>
      </c>
    </row>
    <row r="2468" spans="10:11" x14ac:dyDescent="0.25">
      <c r="J2468" s="903">
        <f t="shared" si="43"/>
        <v>2464</v>
      </c>
      <c r="K2468" s="566">
        <v>19</v>
      </c>
    </row>
    <row r="2469" spans="10:11" x14ac:dyDescent="0.25">
      <c r="J2469" s="903">
        <f t="shared" si="43"/>
        <v>2465</v>
      </c>
      <c r="K2469" s="566">
        <v>19</v>
      </c>
    </row>
    <row r="2470" spans="10:11" x14ac:dyDescent="0.25">
      <c r="J2470" s="903">
        <f t="shared" si="43"/>
        <v>2466</v>
      </c>
      <c r="K2470" s="566">
        <v>19</v>
      </c>
    </row>
    <row r="2471" spans="10:11" x14ac:dyDescent="0.25">
      <c r="J2471" s="903">
        <f t="shared" si="43"/>
        <v>2467</v>
      </c>
      <c r="K2471" s="566">
        <v>19</v>
      </c>
    </row>
    <row r="2472" spans="10:11" x14ac:dyDescent="0.25">
      <c r="J2472" s="903">
        <f t="shared" si="43"/>
        <v>2468</v>
      </c>
      <c r="K2472" s="566">
        <v>19</v>
      </c>
    </row>
    <row r="2473" spans="10:11" x14ac:dyDescent="0.25">
      <c r="J2473" s="903">
        <f t="shared" si="43"/>
        <v>2469</v>
      </c>
      <c r="K2473" s="566">
        <v>19</v>
      </c>
    </row>
    <row r="2474" spans="10:11" x14ac:dyDescent="0.25">
      <c r="J2474" s="903">
        <f t="shared" si="43"/>
        <v>2470</v>
      </c>
      <c r="K2474" s="566">
        <v>19</v>
      </c>
    </row>
    <row r="2475" spans="10:11" x14ac:dyDescent="0.25">
      <c r="J2475" s="903">
        <f t="shared" si="43"/>
        <v>2471</v>
      </c>
      <c r="K2475" s="566">
        <v>19</v>
      </c>
    </row>
    <row r="2476" spans="10:11" x14ac:dyDescent="0.25">
      <c r="J2476" s="903">
        <f t="shared" si="43"/>
        <v>2472</v>
      </c>
      <c r="K2476" s="566">
        <v>19</v>
      </c>
    </row>
    <row r="2477" spans="10:11" x14ac:dyDescent="0.25">
      <c r="J2477" s="903">
        <f t="shared" si="43"/>
        <v>2473</v>
      </c>
      <c r="K2477" s="566">
        <v>19</v>
      </c>
    </row>
    <row r="2478" spans="10:11" x14ac:dyDescent="0.25">
      <c r="J2478" s="903">
        <f t="shared" si="43"/>
        <v>2474</v>
      </c>
      <c r="K2478" s="566">
        <v>19</v>
      </c>
    </row>
    <row r="2479" spans="10:11" x14ac:dyDescent="0.25">
      <c r="J2479" s="903">
        <f t="shared" si="43"/>
        <v>2475</v>
      </c>
      <c r="K2479" s="566">
        <v>19</v>
      </c>
    </row>
    <row r="2480" spans="10:11" x14ac:dyDescent="0.25">
      <c r="J2480" s="903">
        <f t="shared" si="43"/>
        <v>2476</v>
      </c>
      <c r="K2480" s="566">
        <v>19</v>
      </c>
    </row>
    <row r="2481" spans="10:11" x14ac:dyDescent="0.25">
      <c r="J2481" s="903">
        <f t="shared" si="43"/>
        <v>2477</v>
      </c>
      <c r="K2481" s="566">
        <v>19</v>
      </c>
    </row>
    <row r="2482" spans="10:11" x14ac:dyDescent="0.25">
      <c r="J2482" s="903">
        <f t="shared" si="43"/>
        <v>2478</v>
      </c>
      <c r="K2482" s="566">
        <v>19</v>
      </c>
    </row>
    <row r="2483" spans="10:11" x14ac:dyDescent="0.25">
      <c r="J2483" s="903">
        <f t="shared" si="43"/>
        <v>2479</v>
      </c>
      <c r="K2483" s="566">
        <v>19</v>
      </c>
    </row>
    <row r="2484" spans="10:11" x14ac:dyDescent="0.25">
      <c r="J2484" s="903">
        <f t="shared" si="43"/>
        <v>2480</v>
      </c>
      <c r="K2484" s="566">
        <v>19</v>
      </c>
    </row>
    <row r="2485" spans="10:11" x14ac:dyDescent="0.25">
      <c r="J2485" s="903">
        <f t="shared" si="43"/>
        <v>2481</v>
      </c>
      <c r="K2485" s="566">
        <v>19</v>
      </c>
    </row>
    <row r="2486" spans="10:11" x14ac:dyDescent="0.25">
      <c r="J2486" s="903">
        <f t="shared" si="43"/>
        <v>2482</v>
      </c>
      <c r="K2486" s="566">
        <v>19</v>
      </c>
    </row>
    <row r="2487" spans="10:11" x14ac:dyDescent="0.25">
      <c r="J2487" s="903">
        <f t="shared" si="43"/>
        <v>2483</v>
      </c>
      <c r="K2487" s="566">
        <v>19</v>
      </c>
    </row>
    <row r="2488" spans="10:11" x14ac:dyDescent="0.25">
      <c r="J2488" s="903">
        <f t="shared" si="43"/>
        <v>2484</v>
      </c>
      <c r="K2488" s="566">
        <v>19</v>
      </c>
    </row>
    <row r="2489" spans="10:11" x14ac:dyDescent="0.25">
      <c r="J2489" s="903">
        <f t="shared" si="43"/>
        <v>2485</v>
      </c>
      <c r="K2489" s="566">
        <v>19</v>
      </c>
    </row>
    <row r="2490" spans="10:11" x14ac:dyDescent="0.25">
      <c r="J2490" s="903">
        <f t="shared" si="43"/>
        <v>2486</v>
      </c>
      <c r="K2490" s="566">
        <v>19</v>
      </c>
    </row>
    <row r="2491" spans="10:11" x14ac:dyDescent="0.25">
      <c r="J2491" s="903">
        <f t="shared" si="43"/>
        <v>2487</v>
      </c>
      <c r="K2491" s="566">
        <v>19</v>
      </c>
    </row>
    <row r="2492" spans="10:11" x14ac:dyDescent="0.25">
      <c r="J2492" s="903">
        <f t="shared" si="43"/>
        <v>2488</v>
      </c>
      <c r="K2492" s="566">
        <v>19</v>
      </c>
    </row>
    <row r="2493" spans="10:11" x14ac:dyDescent="0.25">
      <c r="J2493" s="903">
        <f t="shared" si="43"/>
        <v>2489</v>
      </c>
      <c r="K2493" s="566">
        <v>19</v>
      </c>
    </row>
    <row r="2494" spans="10:11" x14ac:dyDescent="0.25">
      <c r="J2494" s="903">
        <f t="shared" si="43"/>
        <v>2490</v>
      </c>
      <c r="K2494" s="566">
        <v>19</v>
      </c>
    </row>
    <row r="2495" spans="10:11" x14ac:dyDescent="0.25">
      <c r="J2495" s="903">
        <f t="shared" si="43"/>
        <v>2491</v>
      </c>
      <c r="K2495" s="566">
        <v>19</v>
      </c>
    </row>
    <row r="2496" spans="10:11" x14ac:dyDescent="0.25">
      <c r="J2496" s="903">
        <f t="shared" si="43"/>
        <v>2492</v>
      </c>
      <c r="K2496" s="566">
        <v>19</v>
      </c>
    </row>
    <row r="2497" spans="10:11" x14ac:dyDescent="0.25">
      <c r="J2497" s="903">
        <f t="shared" si="43"/>
        <v>2493</v>
      </c>
      <c r="K2497" s="566">
        <v>19</v>
      </c>
    </row>
    <row r="2498" spans="10:11" x14ac:dyDescent="0.25">
      <c r="J2498" s="903">
        <f t="shared" si="43"/>
        <v>2494</v>
      </c>
      <c r="K2498" s="566">
        <v>19</v>
      </c>
    </row>
    <row r="2499" spans="10:11" x14ac:dyDescent="0.25">
      <c r="J2499" s="903">
        <f t="shared" si="43"/>
        <v>2495</v>
      </c>
      <c r="K2499" s="566">
        <v>19</v>
      </c>
    </row>
    <row r="2500" spans="10:11" x14ac:dyDescent="0.25">
      <c r="J2500" s="903">
        <f t="shared" si="43"/>
        <v>2496</v>
      </c>
      <c r="K2500" s="566">
        <v>19</v>
      </c>
    </row>
    <row r="2501" spans="10:11" x14ac:dyDescent="0.25">
      <c r="J2501" s="903">
        <f t="shared" si="43"/>
        <v>2497</v>
      </c>
      <c r="K2501" s="566">
        <v>19</v>
      </c>
    </row>
    <row r="2502" spans="10:11" x14ac:dyDescent="0.25">
      <c r="J2502" s="903">
        <f t="shared" si="43"/>
        <v>2498</v>
      </c>
      <c r="K2502" s="566">
        <v>19</v>
      </c>
    </row>
    <row r="2503" spans="10:11" x14ac:dyDescent="0.25">
      <c r="J2503" s="903">
        <f t="shared" si="43"/>
        <v>2499</v>
      </c>
      <c r="K2503" s="566">
        <v>19</v>
      </c>
    </row>
    <row r="2504" spans="10:11" x14ac:dyDescent="0.25">
      <c r="J2504" s="903">
        <f t="shared" si="43"/>
        <v>2500</v>
      </c>
      <c r="K2504" s="566">
        <v>19</v>
      </c>
    </row>
    <row r="2505" spans="10:11" x14ac:dyDescent="0.25">
      <c r="J2505" s="903">
        <f t="shared" si="43"/>
        <v>2501</v>
      </c>
      <c r="K2505" s="566">
        <v>19</v>
      </c>
    </row>
    <row r="2506" spans="10:11" x14ac:dyDescent="0.25">
      <c r="J2506" s="903">
        <f t="shared" si="43"/>
        <v>2502</v>
      </c>
      <c r="K2506" s="566">
        <v>19</v>
      </c>
    </row>
    <row r="2507" spans="10:11" x14ac:dyDescent="0.25">
      <c r="J2507" s="903">
        <f t="shared" si="43"/>
        <v>2503</v>
      </c>
      <c r="K2507" s="566">
        <v>19</v>
      </c>
    </row>
    <row r="2508" spans="10:11" x14ac:dyDescent="0.25">
      <c r="J2508" s="903">
        <f t="shared" si="43"/>
        <v>2504</v>
      </c>
      <c r="K2508" s="566">
        <v>19</v>
      </c>
    </row>
    <row r="2509" spans="10:11" x14ac:dyDescent="0.25">
      <c r="J2509" s="903">
        <f t="shared" si="43"/>
        <v>2505</v>
      </c>
      <c r="K2509" s="566">
        <v>19</v>
      </c>
    </row>
    <row r="2510" spans="10:11" x14ac:dyDescent="0.25">
      <c r="J2510" s="903">
        <f t="shared" si="43"/>
        <v>2506</v>
      </c>
      <c r="K2510" s="566">
        <v>19</v>
      </c>
    </row>
    <row r="2511" spans="10:11" x14ac:dyDescent="0.25">
      <c r="J2511" s="903">
        <f t="shared" si="43"/>
        <v>2507</v>
      </c>
      <c r="K2511" s="566">
        <v>19</v>
      </c>
    </row>
    <row r="2512" spans="10:11" x14ac:dyDescent="0.25">
      <c r="J2512" s="903">
        <f t="shared" si="43"/>
        <v>2508</v>
      </c>
      <c r="K2512" s="566">
        <v>19</v>
      </c>
    </row>
    <row r="2513" spans="10:11" x14ac:dyDescent="0.25">
      <c r="J2513" s="903">
        <f t="shared" si="43"/>
        <v>2509</v>
      </c>
      <c r="K2513" s="566">
        <v>19</v>
      </c>
    </row>
    <row r="2514" spans="10:11" x14ac:dyDescent="0.25">
      <c r="J2514" s="903">
        <f t="shared" si="43"/>
        <v>2510</v>
      </c>
      <c r="K2514" s="566">
        <v>19</v>
      </c>
    </row>
    <row r="2515" spans="10:11" x14ac:dyDescent="0.25">
      <c r="J2515" s="903">
        <f t="shared" si="43"/>
        <v>2511</v>
      </c>
      <c r="K2515" s="566">
        <v>19</v>
      </c>
    </row>
    <row r="2516" spans="10:11" x14ac:dyDescent="0.25">
      <c r="J2516" s="903">
        <f t="shared" si="43"/>
        <v>2512</v>
      </c>
      <c r="K2516" s="566">
        <v>19</v>
      </c>
    </row>
    <row r="2517" spans="10:11" x14ac:dyDescent="0.25">
      <c r="J2517" s="903">
        <f t="shared" ref="J2517:J2580" si="44">J2516+1</f>
        <v>2513</v>
      </c>
      <c r="K2517" s="566">
        <v>19</v>
      </c>
    </row>
    <row r="2518" spans="10:11" x14ac:dyDescent="0.25">
      <c r="J2518" s="903">
        <f t="shared" si="44"/>
        <v>2514</v>
      </c>
      <c r="K2518" s="566">
        <v>19</v>
      </c>
    </row>
    <row r="2519" spans="10:11" x14ac:dyDescent="0.25">
      <c r="J2519" s="903">
        <f t="shared" si="44"/>
        <v>2515</v>
      </c>
      <c r="K2519" s="566">
        <v>19</v>
      </c>
    </row>
    <row r="2520" spans="10:11" x14ac:dyDescent="0.25">
      <c r="J2520" s="903">
        <f t="shared" si="44"/>
        <v>2516</v>
      </c>
      <c r="K2520" s="566">
        <v>19</v>
      </c>
    </row>
    <row r="2521" spans="10:11" x14ac:dyDescent="0.25">
      <c r="J2521" s="903">
        <f t="shared" si="44"/>
        <v>2517</v>
      </c>
      <c r="K2521" s="566">
        <v>19</v>
      </c>
    </row>
    <row r="2522" spans="10:11" x14ac:dyDescent="0.25">
      <c r="J2522" s="903">
        <f t="shared" si="44"/>
        <v>2518</v>
      </c>
      <c r="K2522" s="566">
        <v>19</v>
      </c>
    </row>
    <row r="2523" spans="10:11" x14ac:dyDescent="0.25">
      <c r="J2523" s="903">
        <f t="shared" si="44"/>
        <v>2519</v>
      </c>
      <c r="K2523" s="566">
        <v>19</v>
      </c>
    </row>
    <row r="2524" spans="10:11" x14ac:dyDescent="0.25">
      <c r="J2524" s="903">
        <f t="shared" si="44"/>
        <v>2520</v>
      </c>
      <c r="K2524" s="566">
        <v>19</v>
      </c>
    </row>
    <row r="2525" spans="10:11" x14ac:dyDescent="0.25">
      <c r="J2525" s="903">
        <f t="shared" si="44"/>
        <v>2521</v>
      </c>
      <c r="K2525" s="566">
        <v>19</v>
      </c>
    </row>
    <row r="2526" spans="10:11" x14ac:dyDescent="0.25">
      <c r="J2526" s="903">
        <f t="shared" si="44"/>
        <v>2522</v>
      </c>
      <c r="K2526" s="566">
        <v>19</v>
      </c>
    </row>
    <row r="2527" spans="10:11" x14ac:dyDescent="0.25">
      <c r="J2527" s="903">
        <f t="shared" si="44"/>
        <v>2523</v>
      </c>
      <c r="K2527" s="566">
        <v>19</v>
      </c>
    </row>
    <row r="2528" spans="10:11" x14ac:dyDescent="0.25">
      <c r="J2528" s="903">
        <f t="shared" si="44"/>
        <v>2524</v>
      </c>
      <c r="K2528" s="566">
        <v>19</v>
      </c>
    </row>
    <row r="2529" spans="10:11" x14ac:dyDescent="0.25">
      <c r="J2529" s="903">
        <f t="shared" si="44"/>
        <v>2525</v>
      </c>
      <c r="K2529" s="566">
        <v>19</v>
      </c>
    </row>
    <row r="2530" spans="10:11" x14ac:dyDescent="0.25">
      <c r="J2530" s="903">
        <f t="shared" si="44"/>
        <v>2526</v>
      </c>
      <c r="K2530" s="566">
        <v>19</v>
      </c>
    </row>
    <row r="2531" spans="10:11" x14ac:dyDescent="0.25">
      <c r="J2531" s="903">
        <f t="shared" si="44"/>
        <v>2527</v>
      </c>
      <c r="K2531" s="566">
        <v>19</v>
      </c>
    </row>
    <row r="2532" spans="10:11" x14ac:dyDescent="0.25">
      <c r="J2532" s="903">
        <f t="shared" si="44"/>
        <v>2528</v>
      </c>
      <c r="K2532" s="566">
        <v>19</v>
      </c>
    </row>
    <row r="2533" spans="10:11" x14ac:dyDescent="0.25">
      <c r="J2533" s="903">
        <f t="shared" si="44"/>
        <v>2529</v>
      </c>
      <c r="K2533" s="566">
        <v>19</v>
      </c>
    </row>
    <row r="2534" spans="10:11" x14ac:dyDescent="0.25">
      <c r="J2534" s="903">
        <f t="shared" si="44"/>
        <v>2530</v>
      </c>
      <c r="K2534" s="566">
        <v>19</v>
      </c>
    </row>
    <row r="2535" spans="10:11" x14ac:dyDescent="0.25">
      <c r="J2535" s="903">
        <f t="shared" si="44"/>
        <v>2531</v>
      </c>
      <c r="K2535" s="566">
        <v>19</v>
      </c>
    </row>
    <row r="2536" spans="10:11" x14ac:dyDescent="0.25">
      <c r="J2536" s="903">
        <f t="shared" si="44"/>
        <v>2532</v>
      </c>
      <c r="K2536" s="566">
        <v>19</v>
      </c>
    </row>
    <row r="2537" spans="10:11" x14ac:dyDescent="0.25">
      <c r="J2537" s="903">
        <f t="shared" si="44"/>
        <v>2533</v>
      </c>
      <c r="K2537" s="566">
        <v>19</v>
      </c>
    </row>
    <row r="2538" spans="10:11" x14ac:dyDescent="0.25">
      <c r="J2538" s="903">
        <f t="shared" si="44"/>
        <v>2534</v>
      </c>
      <c r="K2538" s="566">
        <v>19</v>
      </c>
    </row>
    <row r="2539" spans="10:11" x14ac:dyDescent="0.25">
      <c r="J2539" s="903">
        <f t="shared" si="44"/>
        <v>2535</v>
      </c>
      <c r="K2539" s="566">
        <v>19</v>
      </c>
    </row>
    <row r="2540" spans="10:11" x14ac:dyDescent="0.25">
      <c r="J2540" s="903">
        <f t="shared" si="44"/>
        <v>2536</v>
      </c>
      <c r="K2540" s="566">
        <v>19</v>
      </c>
    </row>
    <row r="2541" spans="10:11" x14ac:dyDescent="0.25">
      <c r="J2541" s="903">
        <f t="shared" si="44"/>
        <v>2537</v>
      </c>
      <c r="K2541" s="566">
        <v>19</v>
      </c>
    </row>
    <row r="2542" spans="10:11" x14ac:dyDescent="0.25">
      <c r="J2542" s="903">
        <f t="shared" si="44"/>
        <v>2538</v>
      </c>
      <c r="K2542" s="566">
        <v>19</v>
      </c>
    </row>
    <row r="2543" spans="10:11" x14ac:dyDescent="0.25">
      <c r="J2543" s="903">
        <f t="shared" si="44"/>
        <v>2539</v>
      </c>
      <c r="K2543" s="566">
        <v>19</v>
      </c>
    </row>
    <row r="2544" spans="10:11" x14ac:dyDescent="0.25">
      <c r="J2544" s="903">
        <f t="shared" si="44"/>
        <v>2540</v>
      </c>
      <c r="K2544" s="566">
        <v>19</v>
      </c>
    </row>
    <row r="2545" spans="10:11" x14ac:dyDescent="0.25">
      <c r="J2545" s="903">
        <f t="shared" si="44"/>
        <v>2541</v>
      </c>
      <c r="K2545" s="566">
        <v>19</v>
      </c>
    </row>
    <row r="2546" spans="10:11" x14ac:dyDescent="0.25">
      <c r="J2546" s="903">
        <f t="shared" si="44"/>
        <v>2542</v>
      </c>
      <c r="K2546" s="566">
        <v>19</v>
      </c>
    </row>
    <row r="2547" spans="10:11" x14ac:dyDescent="0.25">
      <c r="J2547" s="903">
        <f t="shared" si="44"/>
        <v>2543</v>
      </c>
      <c r="K2547" s="566">
        <v>19</v>
      </c>
    </row>
    <row r="2548" spans="10:11" x14ac:dyDescent="0.25">
      <c r="J2548" s="903">
        <f t="shared" si="44"/>
        <v>2544</v>
      </c>
      <c r="K2548" s="566">
        <v>19</v>
      </c>
    </row>
    <row r="2549" spans="10:11" x14ac:dyDescent="0.25">
      <c r="J2549" s="903">
        <f t="shared" si="44"/>
        <v>2545</v>
      </c>
      <c r="K2549" s="566">
        <v>19</v>
      </c>
    </row>
    <row r="2550" spans="10:11" x14ac:dyDescent="0.25">
      <c r="J2550" s="903">
        <f t="shared" si="44"/>
        <v>2546</v>
      </c>
      <c r="K2550" s="566">
        <v>19</v>
      </c>
    </row>
    <row r="2551" spans="10:11" x14ac:dyDescent="0.25">
      <c r="J2551" s="903">
        <f t="shared" si="44"/>
        <v>2547</v>
      </c>
      <c r="K2551" s="566">
        <v>19</v>
      </c>
    </row>
    <row r="2552" spans="10:11" x14ac:dyDescent="0.25">
      <c r="J2552" s="903">
        <f t="shared" si="44"/>
        <v>2548</v>
      </c>
      <c r="K2552" s="566">
        <v>19</v>
      </c>
    </row>
    <row r="2553" spans="10:11" x14ac:dyDescent="0.25">
      <c r="J2553" s="903">
        <f t="shared" si="44"/>
        <v>2549</v>
      </c>
      <c r="K2553" s="566">
        <v>19</v>
      </c>
    </row>
    <row r="2554" spans="10:11" x14ac:dyDescent="0.25">
      <c r="J2554" s="903">
        <f t="shared" si="44"/>
        <v>2550</v>
      </c>
      <c r="K2554" s="566">
        <v>19</v>
      </c>
    </row>
    <row r="2555" spans="10:11" x14ac:dyDescent="0.25">
      <c r="J2555" s="903">
        <f t="shared" si="44"/>
        <v>2551</v>
      </c>
      <c r="K2555" s="566">
        <v>19</v>
      </c>
    </row>
    <row r="2556" spans="10:11" x14ac:dyDescent="0.25">
      <c r="J2556" s="903">
        <f t="shared" si="44"/>
        <v>2552</v>
      </c>
      <c r="K2556" s="566">
        <v>19</v>
      </c>
    </row>
    <row r="2557" spans="10:11" x14ac:dyDescent="0.25">
      <c r="J2557" s="903">
        <f t="shared" si="44"/>
        <v>2553</v>
      </c>
      <c r="K2557" s="566">
        <v>19</v>
      </c>
    </row>
    <row r="2558" spans="10:11" x14ac:dyDescent="0.25">
      <c r="J2558" s="903">
        <f t="shared" si="44"/>
        <v>2554</v>
      </c>
      <c r="K2558" s="566">
        <v>19</v>
      </c>
    </row>
    <row r="2559" spans="10:11" x14ac:dyDescent="0.25">
      <c r="J2559" s="903">
        <f t="shared" si="44"/>
        <v>2555</v>
      </c>
      <c r="K2559" s="566">
        <v>19</v>
      </c>
    </row>
    <row r="2560" spans="10:11" x14ac:dyDescent="0.25">
      <c r="J2560" s="903">
        <f t="shared" si="44"/>
        <v>2556</v>
      </c>
      <c r="K2560" s="566">
        <v>19</v>
      </c>
    </row>
    <row r="2561" spans="10:11" x14ac:dyDescent="0.25">
      <c r="J2561" s="903">
        <f t="shared" si="44"/>
        <v>2557</v>
      </c>
      <c r="K2561" s="566">
        <v>19</v>
      </c>
    </row>
    <row r="2562" spans="10:11" x14ac:dyDescent="0.25">
      <c r="J2562" s="903">
        <f t="shared" si="44"/>
        <v>2558</v>
      </c>
      <c r="K2562" s="566">
        <v>19</v>
      </c>
    </row>
    <row r="2563" spans="10:11" x14ac:dyDescent="0.25">
      <c r="J2563" s="903">
        <f t="shared" si="44"/>
        <v>2559</v>
      </c>
      <c r="K2563" s="566">
        <v>19</v>
      </c>
    </row>
    <row r="2564" spans="10:11" x14ac:dyDescent="0.25">
      <c r="J2564" s="903">
        <f t="shared" si="44"/>
        <v>2560</v>
      </c>
      <c r="K2564" s="566">
        <v>19</v>
      </c>
    </row>
    <row r="2565" spans="10:11" x14ac:dyDescent="0.25">
      <c r="J2565" s="903">
        <f t="shared" si="44"/>
        <v>2561</v>
      </c>
      <c r="K2565" s="566">
        <v>19</v>
      </c>
    </row>
    <row r="2566" spans="10:11" x14ac:dyDescent="0.25">
      <c r="J2566" s="903">
        <f t="shared" si="44"/>
        <v>2562</v>
      </c>
      <c r="K2566" s="566">
        <v>19</v>
      </c>
    </row>
    <row r="2567" spans="10:11" x14ac:dyDescent="0.25">
      <c r="J2567" s="903">
        <f t="shared" si="44"/>
        <v>2563</v>
      </c>
      <c r="K2567" s="566">
        <v>19</v>
      </c>
    </row>
    <row r="2568" spans="10:11" x14ac:dyDescent="0.25">
      <c r="J2568" s="903">
        <f t="shared" si="44"/>
        <v>2564</v>
      </c>
      <c r="K2568" s="566">
        <v>19</v>
      </c>
    </row>
    <row r="2569" spans="10:11" x14ac:dyDescent="0.25">
      <c r="J2569" s="903">
        <f t="shared" si="44"/>
        <v>2565</v>
      </c>
      <c r="K2569" s="566">
        <v>19</v>
      </c>
    </row>
    <row r="2570" spans="10:11" x14ac:dyDescent="0.25">
      <c r="J2570" s="903">
        <f t="shared" si="44"/>
        <v>2566</v>
      </c>
      <c r="K2570" s="566">
        <v>19</v>
      </c>
    </row>
    <row r="2571" spans="10:11" x14ac:dyDescent="0.25">
      <c r="J2571" s="903">
        <f t="shared" si="44"/>
        <v>2567</v>
      </c>
      <c r="K2571" s="566">
        <v>19</v>
      </c>
    </row>
    <row r="2572" spans="10:11" x14ac:dyDescent="0.25">
      <c r="J2572" s="903">
        <f t="shared" si="44"/>
        <v>2568</v>
      </c>
      <c r="K2572" s="566">
        <v>19</v>
      </c>
    </row>
    <row r="2573" spans="10:11" x14ac:dyDescent="0.25">
      <c r="J2573" s="903">
        <f t="shared" si="44"/>
        <v>2569</v>
      </c>
      <c r="K2573" s="566">
        <v>19</v>
      </c>
    </row>
    <row r="2574" spans="10:11" x14ac:dyDescent="0.25">
      <c r="J2574" s="903">
        <f t="shared" si="44"/>
        <v>2570</v>
      </c>
      <c r="K2574" s="566">
        <v>19</v>
      </c>
    </row>
    <row r="2575" spans="10:11" x14ac:dyDescent="0.25">
      <c r="J2575" s="903">
        <f t="shared" si="44"/>
        <v>2571</v>
      </c>
      <c r="K2575" s="566">
        <v>19</v>
      </c>
    </row>
    <row r="2576" spans="10:11" x14ac:dyDescent="0.25">
      <c r="J2576" s="903">
        <f t="shared" si="44"/>
        <v>2572</v>
      </c>
      <c r="K2576" s="566">
        <v>19</v>
      </c>
    </row>
    <row r="2577" spans="10:11" x14ac:dyDescent="0.25">
      <c r="J2577" s="903">
        <f t="shared" si="44"/>
        <v>2573</v>
      </c>
      <c r="K2577" s="566">
        <v>19</v>
      </c>
    </row>
    <row r="2578" spans="10:11" x14ac:dyDescent="0.25">
      <c r="J2578" s="903">
        <f t="shared" si="44"/>
        <v>2574</v>
      </c>
      <c r="K2578" s="566">
        <v>19</v>
      </c>
    </row>
    <row r="2579" spans="10:11" x14ac:dyDescent="0.25">
      <c r="J2579" s="903">
        <f t="shared" si="44"/>
        <v>2575</v>
      </c>
      <c r="K2579" s="566">
        <v>19</v>
      </c>
    </row>
    <row r="2580" spans="10:11" x14ac:dyDescent="0.25">
      <c r="J2580" s="903">
        <f t="shared" si="44"/>
        <v>2576</v>
      </c>
      <c r="K2580" s="566">
        <v>19</v>
      </c>
    </row>
    <row r="2581" spans="10:11" x14ac:dyDescent="0.25">
      <c r="J2581" s="903">
        <f t="shared" ref="J2581:J2644" si="45">J2580+1</f>
        <v>2577</v>
      </c>
      <c r="K2581" s="566">
        <v>19</v>
      </c>
    </row>
    <row r="2582" spans="10:11" x14ac:dyDescent="0.25">
      <c r="J2582" s="903">
        <f t="shared" si="45"/>
        <v>2578</v>
      </c>
      <c r="K2582" s="566">
        <v>19</v>
      </c>
    </row>
    <row r="2583" spans="10:11" x14ac:dyDescent="0.25">
      <c r="J2583" s="903">
        <f t="shared" si="45"/>
        <v>2579</v>
      </c>
      <c r="K2583" s="566">
        <v>19</v>
      </c>
    </row>
    <row r="2584" spans="10:11" x14ac:dyDescent="0.25">
      <c r="J2584" s="903">
        <f t="shared" si="45"/>
        <v>2580</v>
      </c>
      <c r="K2584" s="566">
        <v>19</v>
      </c>
    </row>
    <row r="2585" spans="10:11" x14ac:dyDescent="0.25">
      <c r="J2585" s="903">
        <f t="shared" si="45"/>
        <v>2581</v>
      </c>
      <c r="K2585" s="566">
        <v>19</v>
      </c>
    </row>
    <row r="2586" spans="10:11" x14ac:dyDescent="0.25">
      <c r="J2586" s="903">
        <f t="shared" si="45"/>
        <v>2582</v>
      </c>
      <c r="K2586" s="566">
        <v>19</v>
      </c>
    </row>
    <row r="2587" spans="10:11" x14ac:dyDescent="0.25">
      <c r="J2587" s="903">
        <f t="shared" si="45"/>
        <v>2583</v>
      </c>
      <c r="K2587" s="566">
        <v>19</v>
      </c>
    </row>
    <row r="2588" spans="10:11" x14ac:dyDescent="0.25">
      <c r="J2588" s="903">
        <f t="shared" si="45"/>
        <v>2584</v>
      </c>
      <c r="K2588" s="566">
        <v>19</v>
      </c>
    </row>
    <row r="2589" spans="10:11" x14ac:dyDescent="0.25">
      <c r="J2589" s="903">
        <f t="shared" si="45"/>
        <v>2585</v>
      </c>
      <c r="K2589" s="566">
        <v>19</v>
      </c>
    </row>
    <row r="2590" spans="10:11" x14ac:dyDescent="0.25">
      <c r="J2590" s="903">
        <f t="shared" si="45"/>
        <v>2586</v>
      </c>
      <c r="K2590" s="566">
        <v>19</v>
      </c>
    </row>
    <row r="2591" spans="10:11" x14ac:dyDescent="0.25">
      <c r="J2591" s="903">
        <f t="shared" si="45"/>
        <v>2587</v>
      </c>
      <c r="K2591" s="566">
        <v>19</v>
      </c>
    </row>
    <row r="2592" spans="10:11" x14ac:dyDescent="0.25">
      <c r="J2592" s="903">
        <f t="shared" si="45"/>
        <v>2588</v>
      </c>
      <c r="K2592" s="566">
        <v>19</v>
      </c>
    </row>
    <row r="2593" spans="10:11" x14ac:dyDescent="0.25">
      <c r="J2593" s="903">
        <f t="shared" si="45"/>
        <v>2589</v>
      </c>
      <c r="K2593" s="566">
        <v>19</v>
      </c>
    </row>
    <row r="2594" spans="10:11" x14ac:dyDescent="0.25">
      <c r="J2594" s="903">
        <f t="shared" si="45"/>
        <v>2590</v>
      </c>
      <c r="K2594" s="566">
        <v>19</v>
      </c>
    </row>
    <row r="2595" spans="10:11" x14ac:dyDescent="0.25">
      <c r="J2595" s="903">
        <f t="shared" si="45"/>
        <v>2591</v>
      </c>
      <c r="K2595" s="566">
        <v>19</v>
      </c>
    </row>
    <row r="2596" spans="10:11" x14ac:dyDescent="0.25">
      <c r="J2596" s="903">
        <f t="shared" si="45"/>
        <v>2592</v>
      </c>
      <c r="K2596" s="566">
        <v>19</v>
      </c>
    </row>
    <row r="2597" spans="10:11" x14ac:dyDescent="0.25">
      <c r="J2597" s="903">
        <f t="shared" si="45"/>
        <v>2593</v>
      </c>
      <c r="K2597" s="566">
        <v>19</v>
      </c>
    </row>
    <row r="2598" spans="10:11" x14ac:dyDescent="0.25">
      <c r="J2598" s="903">
        <f t="shared" si="45"/>
        <v>2594</v>
      </c>
      <c r="K2598" s="566">
        <v>19</v>
      </c>
    </row>
    <row r="2599" spans="10:11" x14ac:dyDescent="0.25">
      <c r="J2599" s="903">
        <f t="shared" si="45"/>
        <v>2595</v>
      </c>
      <c r="K2599" s="566">
        <v>19</v>
      </c>
    </row>
    <row r="2600" spans="10:11" x14ac:dyDescent="0.25">
      <c r="J2600" s="903">
        <f t="shared" si="45"/>
        <v>2596</v>
      </c>
      <c r="K2600" s="566">
        <v>19</v>
      </c>
    </row>
    <row r="2601" spans="10:11" x14ac:dyDescent="0.25">
      <c r="J2601" s="903">
        <f t="shared" si="45"/>
        <v>2597</v>
      </c>
      <c r="K2601" s="566">
        <v>19</v>
      </c>
    </row>
    <row r="2602" spans="10:11" x14ac:dyDescent="0.25">
      <c r="J2602" s="903">
        <f t="shared" si="45"/>
        <v>2598</v>
      </c>
      <c r="K2602" s="566">
        <v>19</v>
      </c>
    </row>
    <row r="2603" spans="10:11" x14ac:dyDescent="0.25">
      <c r="J2603" s="903">
        <f t="shared" si="45"/>
        <v>2599</v>
      </c>
      <c r="K2603" s="566">
        <v>19</v>
      </c>
    </row>
    <row r="2604" spans="10:11" x14ac:dyDescent="0.25">
      <c r="J2604" s="903">
        <f t="shared" si="45"/>
        <v>2600</v>
      </c>
      <c r="K2604" s="566">
        <v>19</v>
      </c>
    </row>
    <row r="2605" spans="10:11" x14ac:dyDescent="0.25">
      <c r="J2605" s="903">
        <f t="shared" si="45"/>
        <v>2601</v>
      </c>
      <c r="K2605" s="566">
        <v>19</v>
      </c>
    </row>
    <row r="2606" spans="10:11" x14ac:dyDescent="0.25">
      <c r="J2606" s="903">
        <f t="shared" si="45"/>
        <v>2602</v>
      </c>
      <c r="K2606" s="566">
        <v>19</v>
      </c>
    </row>
    <row r="2607" spans="10:11" x14ac:dyDescent="0.25">
      <c r="J2607" s="903">
        <f t="shared" si="45"/>
        <v>2603</v>
      </c>
      <c r="K2607" s="566">
        <v>19</v>
      </c>
    </row>
    <row r="2608" spans="10:11" x14ac:dyDescent="0.25">
      <c r="J2608" s="903">
        <f t="shared" si="45"/>
        <v>2604</v>
      </c>
      <c r="K2608" s="566">
        <v>19</v>
      </c>
    </row>
    <row r="2609" spans="10:11" x14ac:dyDescent="0.25">
      <c r="J2609" s="903">
        <f t="shared" si="45"/>
        <v>2605</v>
      </c>
      <c r="K2609" s="566">
        <v>19</v>
      </c>
    </row>
    <row r="2610" spans="10:11" x14ac:dyDescent="0.25">
      <c r="J2610" s="903">
        <f t="shared" si="45"/>
        <v>2606</v>
      </c>
      <c r="K2610" s="566">
        <v>19</v>
      </c>
    </row>
    <row r="2611" spans="10:11" x14ac:dyDescent="0.25">
      <c r="J2611" s="903">
        <f t="shared" si="45"/>
        <v>2607</v>
      </c>
      <c r="K2611" s="566">
        <v>19</v>
      </c>
    </row>
    <row r="2612" spans="10:11" x14ac:dyDescent="0.25">
      <c r="J2612" s="903">
        <f t="shared" si="45"/>
        <v>2608</v>
      </c>
      <c r="K2612" s="566">
        <v>19</v>
      </c>
    </row>
    <row r="2613" spans="10:11" x14ac:dyDescent="0.25">
      <c r="J2613" s="903">
        <f t="shared" si="45"/>
        <v>2609</v>
      </c>
      <c r="K2613" s="566">
        <v>19</v>
      </c>
    </row>
    <row r="2614" spans="10:11" x14ac:dyDescent="0.25">
      <c r="J2614" s="903">
        <f t="shared" si="45"/>
        <v>2610</v>
      </c>
      <c r="K2614" s="566">
        <v>19</v>
      </c>
    </row>
    <row r="2615" spans="10:11" x14ac:dyDescent="0.25">
      <c r="J2615" s="903">
        <f t="shared" si="45"/>
        <v>2611</v>
      </c>
      <c r="K2615" s="566">
        <v>19</v>
      </c>
    </row>
    <row r="2616" spans="10:11" x14ac:dyDescent="0.25">
      <c r="J2616" s="903">
        <f t="shared" si="45"/>
        <v>2612</v>
      </c>
      <c r="K2616" s="566">
        <v>19</v>
      </c>
    </row>
    <row r="2617" spans="10:11" x14ac:dyDescent="0.25">
      <c r="J2617" s="903">
        <f t="shared" si="45"/>
        <v>2613</v>
      </c>
      <c r="K2617" s="566">
        <v>19</v>
      </c>
    </row>
    <row r="2618" spans="10:11" x14ac:dyDescent="0.25">
      <c r="J2618" s="903">
        <f t="shared" si="45"/>
        <v>2614</v>
      </c>
      <c r="K2618" s="566">
        <v>19</v>
      </c>
    </row>
    <row r="2619" spans="10:11" x14ac:dyDescent="0.25">
      <c r="J2619" s="903">
        <f t="shared" si="45"/>
        <v>2615</v>
      </c>
      <c r="K2619" s="566">
        <v>19</v>
      </c>
    </row>
    <row r="2620" spans="10:11" x14ac:dyDescent="0.25">
      <c r="J2620" s="903">
        <f t="shared" si="45"/>
        <v>2616</v>
      </c>
      <c r="K2620" s="566">
        <v>19</v>
      </c>
    </row>
    <row r="2621" spans="10:11" x14ac:dyDescent="0.25">
      <c r="J2621" s="903">
        <f t="shared" si="45"/>
        <v>2617</v>
      </c>
      <c r="K2621" s="566">
        <v>19</v>
      </c>
    </row>
    <row r="2622" spans="10:11" x14ac:dyDescent="0.25">
      <c r="J2622" s="903">
        <f t="shared" si="45"/>
        <v>2618</v>
      </c>
      <c r="K2622" s="566">
        <v>19</v>
      </c>
    </row>
    <row r="2623" spans="10:11" x14ac:dyDescent="0.25">
      <c r="J2623" s="903">
        <f t="shared" si="45"/>
        <v>2619</v>
      </c>
      <c r="K2623" s="566">
        <v>19</v>
      </c>
    </row>
    <row r="2624" spans="10:11" x14ac:dyDescent="0.25">
      <c r="J2624" s="903">
        <f t="shared" si="45"/>
        <v>2620</v>
      </c>
      <c r="K2624" s="566">
        <v>19</v>
      </c>
    </row>
    <row r="2625" spans="10:11" x14ac:dyDescent="0.25">
      <c r="J2625" s="903">
        <f t="shared" si="45"/>
        <v>2621</v>
      </c>
      <c r="K2625" s="566">
        <v>19</v>
      </c>
    </row>
    <row r="2626" spans="10:11" x14ac:dyDescent="0.25">
      <c r="J2626" s="903">
        <f t="shared" si="45"/>
        <v>2622</v>
      </c>
      <c r="K2626" s="566">
        <v>19</v>
      </c>
    </row>
    <row r="2627" spans="10:11" x14ac:dyDescent="0.25">
      <c r="J2627" s="903">
        <f t="shared" si="45"/>
        <v>2623</v>
      </c>
      <c r="K2627" s="566">
        <v>19</v>
      </c>
    </row>
    <row r="2628" spans="10:11" x14ac:dyDescent="0.25">
      <c r="J2628" s="903">
        <f t="shared" si="45"/>
        <v>2624</v>
      </c>
      <c r="K2628" s="566">
        <v>19</v>
      </c>
    </row>
    <row r="2629" spans="10:11" x14ac:dyDescent="0.25">
      <c r="J2629" s="903">
        <f t="shared" si="45"/>
        <v>2625</v>
      </c>
      <c r="K2629" s="566">
        <v>19</v>
      </c>
    </row>
    <row r="2630" spans="10:11" x14ac:dyDescent="0.25">
      <c r="J2630" s="903">
        <f t="shared" si="45"/>
        <v>2626</v>
      </c>
      <c r="K2630" s="566">
        <v>19</v>
      </c>
    </row>
    <row r="2631" spans="10:11" x14ac:dyDescent="0.25">
      <c r="J2631" s="903">
        <f t="shared" si="45"/>
        <v>2627</v>
      </c>
      <c r="K2631" s="566">
        <v>19</v>
      </c>
    </row>
    <row r="2632" spans="10:11" x14ac:dyDescent="0.25">
      <c r="J2632" s="903">
        <f t="shared" si="45"/>
        <v>2628</v>
      </c>
      <c r="K2632" s="566">
        <v>19</v>
      </c>
    </row>
    <row r="2633" spans="10:11" x14ac:dyDescent="0.25">
      <c r="J2633" s="903">
        <f t="shared" si="45"/>
        <v>2629</v>
      </c>
      <c r="K2633" s="566">
        <v>19</v>
      </c>
    </row>
    <row r="2634" spans="10:11" x14ac:dyDescent="0.25">
      <c r="J2634" s="903">
        <f t="shared" si="45"/>
        <v>2630</v>
      </c>
      <c r="K2634" s="566">
        <v>19</v>
      </c>
    </row>
    <row r="2635" spans="10:11" x14ac:dyDescent="0.25">
      <c r="J2635" s="903">
        <f t="shared" si="45"/>
        <v>2631</v>
      </c>
      <c r="K2635" s="566">
        <v>19</v>
      </c>
    </row>
    <row r="2636" spans="10:11" x14ac:dyDescent="0.25">
      <c r="J2636" s="903">
        <f t="shared" si="45"/>
        <v>2632</v>
      </c>
      <c r="K2636" s="566">
        <v>19</v>
      </c>
    </row>
    <row r="2637" spans="10:11" x14ac:dyDescent="0.25">
      <c r="J2637" s="903">
        <f t="shared" si="45"/>
        <v>2633</v>
      </c>
      <c r="K2637" s="566">
        <v>19</v>
      </c>
    </row>
    <row r="2638" spans="10:11" x14ac:dyDescent="0.25">
      <c r="J2638" s="903">
        <f t="shared" si="45"/>
        <v>2634</v>
      </c>
      <c r="K2638" s="566">
        <v>19</v>
      </c>
    </row>
    <row r="2639" spans="10:11" x14ac:dyDescent="0.25">
      <c r="J2639" s="903">
        <f t="shared" si="45"/>
        <v>2635</v>
      </c>
      <c r="K2639" s="566">
        <v>19</v>
      </c>
    </row>
    <row r="2640" spans="10:11" x14ac:dyDescent="0.25">
      <c r="J2640" s="903">
        <f t="shared" si="45"/>
        <v>2636</v>
      </c>
      <c r="K2640" s="566">
        <v>19</v>
      </c>
    </row>
    <row r="2641" spans="10:11" x14ac:dyDescent="0.25">
      <c r="J2641" s="903">
        <f t="shared" si="45"/>
        <v>2637</v>
      </c>
      <c r="K2641" s="566">
        <v>19</v>
      </c>
    </row>
    <row r="2642" spans="10:11" x14ac:dyDescent="0.25">
      <c r="J2642" s="903">
        <f t="shared" si="45"/>
        <v>2638</v>
      </c>
      <c r="K2642" s="566">
        <v>19</v>
      </c>
    </row>
    <row r="2643" spans="10:11" x14ac:dyDescent="0.25">
      <c r="J2643" s="903">
        <f t="shared" si="45"/>
        <v>2639</v>
      </c>
      <c r="K2643" s="566">
        <v>19</v>
      </c>
    </row>
    <row r="2644" spans="10:11" x14ac:dyDescent="0.25">
      <c r="J2644" s="903">
        <f t="shared" si="45"/>
        <v>2640</v>
      </c>
      <c r="K2644" s="566">
        <v>19</v>
      </c>
    </row>
    <row r="2645" spans="10:11" x14ac:dyDescent="0.25">
      <c r="J2645" s="903">
        <f t="shared" ref="J2645:J2708" si="46">J2644+1</f>
        <v>2641</v>
      </c>
      <c r="K2645" s="566">
        <v>19</v>
      </c>
    </row>
    <row r="2646" spans="10:11" x14ac:dyDescent="0.25">
      <c r="J2646" s="903">
        <f t="shared" si="46"/>
        <v>2642</v>
      </c>
      <c r="K2646" s="566">
        <v>19</v>
      </c>
    </row>
    <row r="2647" spans="10:11" x14ac:dyDescent="0.25">
      <c r="J2647" s="903">
        <f t="shared" si="46"/>
        <v>2643</v>
      </c>
      <c r="K2647" s="566">
        <v>19</v>
      </c>
    </row>
    <row r="2648" spans="10:11" x14ac:dyDescent="0.25">
      <c r="J2648" s="903">
        <f t="shared" si="46"/>
        <v>2644</v>
      </c>
      <c r="K2648" s="566">
        <v>19</v>
      </c>
    </row>
    <row r="2649" spans="10:11" x14ac:dyDescent="0.25">
      <c r="J2649" s="903">
        <f t="shared" si="46"/>
        <v>2645</v>
      </c>
      <c r="K2649" s="566">
        <v>19</v>
      </c>
    </row>
    <row r="2650" spans="10:11" x14ac:dyDescent="0.25">
      <c r="J2650" s="903">
        <f t="shared" si="46"/>
        <v>2646</v>
      </c>
      <c r="K2650" s="566">
        <v>19</v>
      </c>
    </row>
    <row r="2651" spans="10:11" x14ac:dyDescent="0.25">
      <c r="J2651" s="903">
        <f t="shared" si="46"/>
        <v>2647</v>
      </c>
      <c r="K2651" s="566">
        <v>19</v>
      </c>
    </row>
    <row r="2652" spans="10:11" x14ac:dyDescent="0.25">
      <c r="J2652" s="903">
        <f t="shared" si="46"/>
        <v>2648</v>
      </c>
      <c r="K2652" s="566">
        <v>19</v>
      </c>
    </row>
    <row r="2653" spans="10:11" x14ac:dyDescent="0.25">
      <c r="J2653" s="903">
        <f t="shared" si="46"/>
        <v>2649</v>
      </c>
      <c r="K2653" s="566">
        <v>19</v>
      </c>
    </row>
    <row r="2654" spans="10:11" x14ac:dyDescent="0.25">
      <c r="J2654" s="903">
        <f t="shared" si="46"/>
        <v>2650</v>
      </c>
      <c r="K2654" s="566">
        <v>19</v>
      </c>
    </row>
    <row r="2655" spans="10:11" x14ac:dyDescent="0.25">
      <c r="J2655" s="903">
        <f t="shared" si="46"/>
        <v>2651</v>
      </c>
      <c r="K2655" s="566">
        <v>19</v>
      </c>
    </row>
    <row r="2656" spans="10:11" x14ac:dyDescent="0.25">
      <c r="J2656" s="903">
        <f t="shared" si="46"/>
        <v>2652</v>
      </c>
      <c r="K2656" s="566">
        <v>19</v>
      </c>
    </row>
    <row r="2657" spans="10:11" x14ac:dyDescent="0.25">
      <c r="J2657" s="903">
        <f t="shared" si="46"/>
        <v>2653</v>
      </c>
      <c r="K2657" s="566">
        <v>19</v>
      </c>
    </row>
    <row r="2658" spans="10:11" x14ac:dyDescent="0.25">
      <c r="J2658" s="903">
        <f t="shared" si="46"/>
        <v>2654</v>
      </c>
      <c r="K2658" s="566">
        <v>19</v>
      </c>
    </row>
    <row r="2659" spans="10:11" x14ac:dyDescent="0.25">
      <c r="J2659" s="903">
        <f t="shared" si="46"/>
        <v>2655</v>
      </c>
      <c r="K2659" s="566">
        <v>19</v>
      </c>
    </row>
    <row r="2660" spans="10:11" x14ac:dyDescent="0.25">
      <c r="J2660" s="903">
        <f t="shared" si="46"/>
        <v>2656</v>
      </c>
      <c r="K2660" s="566">
        <v>19</v>
      </c>
    </row>
    <row r="2661" spans="10:11" x14ac:dyDescent="0.25">
      <c r="J2661" s="903">
        <f t="shared" si="46"/>
        <v>2657</v>
      </c>
      <c r="K2661" s="566">
        <v>19</v>
      </c>
    </row>
    <row r="2662" spans="10:11" x14ac:dyDescent="0.25">
      <c r="J2662" s="903">
        <f t="shared" si="46"/>
        <v>2658</v>
      </c>
      <c r="K2662" s="566">
        <v>19</v>
      </c>
    </row>
    <row r="2663" spans="10:11" x14ac:dyDescent="0.25">
      <c r="J2663" s="903">
        <f t="shared" si="46"/>
        <v>2659</v>
      </c>
      <c r="K2663" s="566">
        <v>19</v>
      </c>
    </row>
    <row r="2664" spans="10:11" x14ac:dyDescent="0.25">
      <c r="J2664" s="903">
        <f t="shared" si="46"/>
        <v>2660</v>
      </c>
      <c r="K2664" s="566">
        <v>19</v>
      </c>
    </row>
    <row r="2665" spans="10:11" x14ac:dyDescent="0.25">
      <c r="J2665" s="903">
        <f t="shared" si="46"/>
        <v>2661</v>
      </c>
      <c r="K2665" s="566">
        <v>19</v>
      </c>
    </row>
    <row r="2666" spans="10:11" x14ac:dyDescent="0.25">
      <c r="J2666" s="903">
        <f t="shared" si="46"/>
        <v>2662</v>
      </c>
      <c r="K2666" s="566">
        <v>19</v>
      </c>
    </row>
    <row r="2667" spans="10:11" x14ac:dyDescent="0.25">
      <c r="J2667" s="903">
        <f t="shared" si="46"/>
        <v>2663</v>
      </c>
      <c r="K2667" s="566">
        <v>19</v>
      </c>
    </row>
    <row r="2668" spans="10:11" x14ac:dyDescent="0.25">
      <c r="J2668" s="903">
        <f t="shared" si="46"/>
        <v>2664</v>
      </c>
      <c r="K2668" s="566">
        <v>19</v>
      </c>
    </row>
    <row r="2669" spans="10:11" x14ac:dyDescent="0.25">
      <c r="J2669" s="903">
        <f t="shared" si="46"/>
        <v>2665</v>
      </c>
      <c r="K2669" s="566">
        <v>19</v>
      </c>
    </row>
    <row r="2670" spans="10:11" x14ac:dyDescent="0.25">
      <c r="J2670" s="903">
        <f t="shared" si="46"/>
        <v>2666</v>
      </c>
      <c r="K2670" s="566">
        <v>19</v>
      </c>
    </row>
    <row r="2671" spans="10:11" x14ac:dyDescent="0.25">
      <c r="J2671" s="903">
        <f t="shared" si="46"/>
        <v>2667</v>
      </c>
      <c r="K2671" s="566">
        <v>19</v>
      </c>
    </row>
    <row r="2672" spans="10:11" x14ac:dyDescent="0.25">
      <c r="J2672" s="903">
        <f t="shared" si="46"/>
        <v>2668</v>
      </c>
      <c r="K2672" s="566">
        <v>19</v>
      </c>
    </row>
    <row r="2673" spans="10:11" x14ac:dyDescent="0.25">
      <c r="J2673" s="903">
        <f t="shared" si="46"/>
        <v>2669</v>
      </c>
      <c r="K2673" s="566">
        <v>19</v>
      </c>
    </row>
    <row r="2674" spans="10:11" x14ac:dyDescent="0.25">
      <c r="J2674" s="903">
        <f t="shared" si="46"/>
        <v>2670</v>
      </c>
      <c r="K2674" s="566">
        <v>19</v>
      </c>
    </row>
    <row r="2675" spans="10:11" x14ac:dyDescent="0.25">
      <c r="J2675" s="903">
        <f t="shared" si="46"/>
        <v>2671</v>
      </c>
      <c r="K2675" s="566">
        <v>19</v>
      </c>
    </row>
    <row r="2676" spans="10:11" x14ac:dyDescent="0.25">
      <c r="J2676" s="903">
        <f t="shared" si="46"/>
        <v>2672</v>
      </c>
      <c r="K2676" s="566">
        <v>19</v>
      </c>
    </row>
    <row r="2677" spans="10:11" x14ac:dyDescent="0.25">
      <c r="J2677" s="903">
        <f t="shared" si="46"/>
        <v>2673</v>
      </c>
      <c r="K2677" s="566">
        <v>19</v>
      </c>
    </row>
    <row r="2678" spans="10:11" x14ac:dyDescent="0.25">
      <c r="J2678" s="903">
        <f t="shared" si="46"/>
        <v>2674</v>
      </c>
      <c r="K2678" s="566">
        <v>19</v>
      </c>
    </row>
    <row r="2679" spans="10:11" x14ac:dyDescent="0.25">
      <c r="J2679" s="903">
        <f t="shared" si="46"/>
        <v>2675</v>
      </c>
      <c r="K2679" s="566">
        <v>19</v>
      </c>
    </row>
    <row r="2680" spans="10:11" x14ac:dyDescent="0.25">
      <c r="J2680" s="903">
        <f t="shared" si="46"/>
        <v>2676</v>
      </c>
      <c r="K2680" s="566">
        <v>19</v>
      </c>
    </row>
    <row r="2681" spans="10:11" x14ac:dyDescent="0.25">
      <c r="J2681" s="903">
        <f t="shared" si="46"/>
        <v>2677</v>
      </c>
      <c r="K2681" s="566">
        <v>19</v>
      </c>
    </row>
    <row r="2682" spans="10:11" x14ac:dyDescent="0.25">
      <c r="J2682" s="903">
        <f t="shared" si="46"/>
        <v>2678</v>
      </c>
      <c r="K2682" s="566">
        <v>19</v>
      </c>
    </row>
    <row r="2683" spans="10:11" x14ac:dyDescent="0.25">
      <c r="J2683" s="903">
        <f t="shared" si="46"/>
        <v>2679</v>
      </c>
      <c r="K2683" s="566">
        <v>19</v>
      </c>
    </row>
    <row r="2684" spans="10:11" x14ac:dyDescent="0.25">
      <c r="J2684" s="903">
        <f t="shared" si="46"/>
        <v>2680</v>
      </c>
      <c r="K2684" s="566">
        <v>19</v>
      </c>
    </row>
    <row r="2685" spans="10:11" x14ac:dyDescent="0.25">
      <c r="J2685" s="903">
        <f t="shared" si="46"/>
        <v>2681</v>
      </c>
      <c r="K2685" s="566">
        <v>19</v>
      </c>
    </row>
    <row r="2686" spans="10:11" x14ac:dyDescent="0.25">
      <c r="J2686" s="903">
        <f t="shared" si="46"/>
        <v>2682</v>
      </c>
      <c r="K2686" s="566">
        <v>19</v>
      </c>
    </row>
    <row r="2687" spans="10:11" x14ac:dyDescent="0.25">
      <c r="J2687" s="903">
        <f t="shared" si="46"/>
        <v>2683</v>
      </c>
      <c r="K2687" s="566">
        <v>19</v>
      </c>
    </row>
    <row r="2688" spans="10:11" x14ac:dyDescent="0.25">
      <c r="J2688" s="903">
        <f t="shared" si="46"/>
        <v>2684</v>
      </c>
      <c r="K2688" s="566">
        <v>19</v>
      </c>
    </row>
    <row r="2689" spans="10:11" x14ac:dyDescent="0.25">
      <c r="J2689" s="903">
        <f t="shared" si="46"/>
        <v>2685</v>
      </c>
      <c r="K2689" s="566">
        <v>19</v>
      </c>
    </row>
    <row r="2690" spans="10:11" x14ac:dyDescent="0.25">
      <c r="J2690" s="903">
        <f t="shared" si="46"/>
        <v>2686</v>
      </c>
      <c r="K2690" s="566">
        <v>19</v>
      </c>
    </row>
    <row r="2691" spans="10:11" x14ac:dyDescent="0.25">
      <c r="J2691" s="903">
        <f t="shared" si="46"/>
        <v>2687</v>
      </c>
      <c r="K2691" s="566">
        <v>19</v>
      </c>
    </row>
    <row r="2692" spans="10:11" x14ac:dyDescent="0.25">
      <c r="J2692" s="903">
        <f t="shared" si="46"/>
        <v>2688</v>
      </c>
      <c r="K2692" s="566">
        <v>19</v>
      </c>
    </row>
    <row r="2693" spans="10:11" x14ac:dyDescent="0.25">
      <c r="J2693" s="903">
        <f t="shared" si="46"/>
        <v>2689</v>
      </c>
      <c r="K2693" s="566">
        <v>19</v>
      </c>
    </row>
    <row r="2694" spans="10:11" x14ac:dyDescent="0.25">
      <c r="J2694" s="903">
        <f t="shared" si="46"/>
        <v>2690</v>
      </c>
      <c r="K2694" s="566">
        <v>19</v>
      </c>
    </row>
    <row r="2695" spans="10:11" x14ac:dyDescent="0.25">
      <c r="J2695" s="903">
        <f t="shared" si="46"/>
        <v>2691</v>
      </c>
      <c r="K2695" s="566">
        <v>19</v>
      </c>
    </row>
    <row r="2696" spans="10:11" x14ac:dyDescent="0.25">
      <c r="J2696" s="903">
        <f t="shared" si="46"/>
        <v>2692</v>
      </c>
      <c r="K2696" s="566">
        <v>19</v>
      </c>
    </row>
    <row r="2697" spans="10:11" x14ac:dyDescent="0.25">
      <c r="J2697" s="903">
        <f t="shared" si="46"/>
        <v>2693</v>
      </c>
      <c r="K2697" s="566">
        <v>19</v>
      </c>
    </row>
    <row r="2698" spans="10:11" x14ac:dyDescent="0.25">
      <c r="J2698" s="903">
        <f t="shared" si="46"/>
        <v>2694</v>
      </c>
      <c r="K2698" s="566">
        <v>19</v>
      </c>
    </row>
    <row r="2699" spans="10:11" x14ac:dyDescent="0.25">
      <c r="J2699" s="903">
        <f t="shared" si="46"/>
        <v>2695</v>
      </c>
      <c r="K2699" s="566">
        <v>19</v>
      </c>
    </row>
    <row r="2700" spans="10:11" x14ac:dyDescent="0.25">
      <c r="J2700" s="903">
        <f t="shared" si="46"/>
        <v>2696</v>
      </c>
      <c r="K2700" s="566">
        <v>19</v>
      </c>
    </row>
    <row r="2701" spans="10:11" x14ac:dyDescent="0.25">
      <c r="J2701" s="903">
        <f t="shared" si="46"/>
        <v>2697</v>
      </c>
      <c r="K2701" s="566">
        <v>19</v>
      </c>
    </row>
    <row r="2702" spans="10:11" x14ac:dyDescent="0.25">
      <c r="J2702" s="903">
        <f t="shared" si="46"/>
        <v>2698</v>
      </c>
      <c r="K2702" s="566">
        <v>19</v>
      </c>
    </row>
    <row r="2703" spans="10:11" x14ac:dyDescent="0.25">
      <c r="J2703" s="903">
        <f t="shared" si="46"/>
        <v>2699</v>
      </c>
      <c r="K2703" s="566">
        <v>19</v>
      </c>
    </row>
    <row r="2704" spans="10:11" x14ac:dyDescent="0.25">
      <c r="J2704" s="903">
        <f t="shared" si="46"/>
        <v>2700</v>
      </c>
      <c r="K2704" s="566">
        <v>19</v>
      </c>
    </row>
    <row r="2705" spans="10:11" x14ac:dyDescent="0.25">
      <c r="J2705" s="903">
        <f t="shared" si="46"/>
        <v>2701</v>
      </c>
      <c r="K2705" s="566">
        <v>19</v>
      </c>
    </row>
    <row r="2706" spans="10:11" x14ac:dyDescent="0.25">
      <c r="J2706" s="903">
        <f t="shared" si="46"/>
        <v>2702</v>
      </c>
      <c r="K2706" s="566">
        <v>19</v>
      </c>
    </row>
    <row r="2707" spans="10:11" x14ac:dyDescent="0.25">
      <c r="J2707" s="903">
        <f t="shared" si="46"/>
        <v>2703</v>
      </c>
      <c r="K2707" s="566">
        <v>19</v>
      </c>
    </row>
    <row r="2708" spans="10:11" x14ac:dyDescent="0.25">
      <c r="J2708" s="903">
        <f t="shared" si="46"/>
        <v>2704</v>
      </c>
      <c r="K2708" s="566">
        <v>19</v>
      </c>
    </row>
    <row r="2709" spans="10:11" x14ac:dyDescent="0.25">
      <c r="J2709" s="903">
        <f t="shared" ref="J2709:J2772" si="47">J2708+1</f>
        <v>2705</v>
      </c>
      <c r="K2709" s="566">
        <v>19</v>
      </c>
    </row>
    <row r="2710" spans="10:11" x14ac:dyDescent="0.25">
      <c r="J2710" s="903">
        <f t="shared" si="47"/>
        <v>2706</v>
      </c>
      <c r="K2710" s="566">
        <v>19</v>
      </c>
    </row>
    <row r="2711" spans="10:11" x14ac:dyDescent="0.25">
      <c r="J2711" s="903">
        <f t="shared" si="47"/>
        <v>2707</v>
      </c>
      <c r="K2711" s="566">
        <v>19</v>
      </c>
    </row>
    <row r="2712" spans="10:11" x14ac:dyDescent="0.25">
      <c r="J2712" s="903">
        <f t="shared" si="47"/>
        <v>2708</v>
      </c>
      <c r="K2712" s="566">
        <v>19</v>
      </c>
    </row>
    <row r="2713" spans="10:11" x14ac:dyDescent="0.25">
      <c r="J2713" s="903">
        <f t="shared" si="47"/>
        <v>2709</v>
      </c>
      <c r="K2713" s="566">
        <v>19</v>
      </c>
    </row>
    <row r="2714" spans="10:11" x14ac:dyDescent="0.25">
      <c r="J2714" s="903">
        <f t="shared" si="47"/>
        <v>2710</v>
      </c>
      <c r="K2714" s="566">
        <v>19</v>
      </c>
    </row>
    <row r="2715" spans="10:11" x14ac:dyDescent="0.25">
      <c r="J2715" s="903">
        <f t="shared" si="47"/>
        <v>2711</v>
      </c>
      <c r="K2715" s="566">
        <v>19</v>
      </c>
    </row>
    <row r="2716" spans="10:11" x14ac:dyDescent="0.25">
      <c r="J2716" s="903">
        <f t="shared" si="47"/>
        <v>2712</v>
      </c>
      <c r="K2716" s="566">
        <v>19</v>
      </c>
    </row>
    <row r="2717" spans="10:11" x14ac:dyDescent="0.25">
      <c r="J2717" s="903">
        <f t="shared" si="47"/>
        <v>2713</v>
      </c>
      <c r="K2717" s="566">
        <v>19</v>
      </c>
    </row>
    <row r="2718" spans="10:11" x14ac:dyDescent="0.25">
      <c r="J2718" s="903">
        <f t="shared" si="47"/>
        <v>2714</v>
      </c>
      <c r="K2718" s="566">
        <v>19</v>
      </c>
    </row>
    <row r="2719" spans="10:11" x14ac:dyDescent="0.25">
      <c r="J2719" s="903">
        <f t="shared" si="47"/>
        <v>2715</v>
      </c>
      <c r="K2719" s="566">
        <v>19</v>
      </c>
    </row>
    <row r="2720" spans="10:11" x14ac:dyDescent="0.25">
      <c r="J2720" s="903">
        <f t="shared" si="47"/>
        <v>2716</v>
      </c>
      <c r="K2720" s="566">
        <v>19</v>
      </c>
    </row>
    <row r="2721" spans="10:11" x14ac:dyDescent="0.25">
      <c r="J2721" s="903">
        <f t="shared" si="47"/>
        <v>2717</v>
      </c>
      <c r="K2721" s="566">
        <v>19</v>
      </c>
    </row>
    <row r="2722" spans="10:11" x14ac:dyDescent="0.25">
      <c r="J2722" s="903">
        <f t="shared" si="47"/>
        <v>2718</v>
      </c>
      <c r="K2722" s="566">
        <v>19</v>
      </c>
    </row>
    <row r="2723" spans="10:11" x14ac:dyDescent="0.25">
      <c r="J2723" s="903">
        <f t="shared" si="47"/>
        <v>2719</v>
      </c>
      <c r="K2723" s="566">
        <v>19</v>
      </c>
    </row>
    <row r="2724" spans="10:11" x14ac:dyDescent="0.25">
      <c r="J2724" s="903">
        <f t="shared" si="47"/>
        <v>2720</v>
      </c>
      <c r="K2724" s="566">
        <v>19</v>
      </c>
    </row>
    <row r="2725" spans="10:11" x14ac:dyDescent="0.25">
      <c r="J2725" s="903">
        <f t="shared" si="47"/>
        <v>2721</v>
      </c>
      <c r="K2725" s="566">
        <v>19</v>
      </c>
    </row>
    <row r="2726" spans="10:11" x14ac:dyDescent="0.25">
      <c r="J2726" s="903">
        <f t="shared" si="47"/>
        <v>2722</v>
      </c>
      <c r="K2726" s="566">
        <v>19</v>
      </c>
    </row>
    <row r="2727" spans="10:11" x14ac:dyDescent="0.25">
      <c r="J2727" s="903">
        <f t="shared" si="47"/>
        <v>2723</v>
      </c>
      <c r="K2727" s="566">
        <v>19</v>
      </c>
    </row>
    <row r="2728" spans="10:11" x14ac:dyDescent="0.25">
      <c r="J2728" s="903">
        <f t="shared" si="47"/>
        <v>2724</v>
      </c>
      <c r="K2728" s="566">
        <v>19</v>
      </c>
    </row>
    <row r="2729" spans="10:11" x14ac:dyDescent="0.25">
      <c r="J2729" s="903">
        <f t="shared" si="47"/>
        <v>2725</v>
      </c>
      <c r="K2729" s="566">
        <v>19</v>
      </c>
    </row>
    <row r="2730" spans="10:11" x14ac:dyDescent="0.25">
      <c r="J2730" s="903">
        <f t="shared" si="47"/>
        <v>2726</v>
      </c>
      <c r="K2730" s="566">
        <v>19</v>
      </c>
    </row>
    <row r="2731" spans="10:11" x14ac:dyDescent="0.25">
      <c r="J2731" s="903">
        <f t="shared" si="47"/>
        <v>2727</v>
      </c>
      <c r="K2731" s="566">
        <v>19</v>
      </c>
    </row>
    <row r="2732" spans="10:11" x14ac:dyDescent="0.25">
      <c r="J2732" s="903">
        <f t="shared" si="47"/>
        <v>2728</v>
      </c>
      <c r="K2732" s="566">
        <v>19</v>
      </c>
    </row>
    <row r="2733" spans="10:11" x14ac:dyDescent="0.25">
      <c r="J2733" s="903">
        <f t="shared" si="47"/>
        <v>2729</v>
      </c>
      <c r="K2733" s="566">
        <v>19</v>
      </c>
    </row>
    <row r="2734" spans="10:11" x14ac:dyDescent="0.25">
      <c r="J2734" s="903">
        <f t="shared" si="47"/>
        <v>2730</v>
      </c>
      <c r="K2734" s="566">
        <v>19</v>
      </c>
    </row>
    <row r="2735" spans="10:11" x14ac:dyDescent="0.25">
      <c r="J2735" s="903">
        <f t="shared" si="47"/>
        <v>2731</v>
      </c>
      <c r="K2735" s="566">
        <v>19</v>
      </c>
    </row>
    <row r="2736" spans="10:11" x14ac:dyDescent="0.25">
      <c r="J2736" s="903">
        <f t="shared" si="47"/>
        <v>2732</v>
      </c>
      <c r="K2736" s="566">
        <v>19</v>
      </c>
    </row>
    <row r="2737" spans="10:11" x14ac:dyDescent="0.25">
      <c r="J2737" s="903">
        <f t="shared" si="47"/>
        <v>2733</v>
      </c>
      <c r="K2737" s="566">
        <v>19</v>
      </c>
    </row>
    <row r="2738" spans="10:11" x14ac:dyDescent="0.25">
      <c r="J2738" s="903">
        <f t="shared" si="47"/>
        <v>2734</v>
      </c>
      <c r="K2738" s="566">
        <v>19</v>
      </c>
    </row>
    <row r="2739" spans="10:11" x14ac:dyDescent="0.25">
      <c r="J2739" s="903">
        <f t="shared" si="47"/>
        <v>2735</v>
      </c>
      <c r="K2739" s="566">
        <v>19</v>
      </c>
    </row>
    <row r="2740" spans="10:11" x14ac:dyDescent="0.25">
      <c r="J2740" s="903">
        <f t="shared" si="47"/>
        <v>2736</v>
      </c>
      <c r="K2740" s="566">
        <v>19</v>
      </c>
    </row>
    <row r="2741" spans="10:11" x14ac:dyDescent="0.25">
      <c r="J2741" s="903">
        <f t="shared" si="47"/>
        <v>2737</v>
      </c>
      <c r="K2741" s="566">
        <v>19</v>
      </c>
    </row>
    <row r="2742" spans="10:11" x14ac:dyDescent="0.25">
      <c r="J2742" s="903">
        <f t="shared" si="47"/>
        <v>2738</v>
      </c>
      <c r="K2742" s="566">
        <v>19</v>
      </c>
    </row>
    <row r="2743" spans="10:11" x14ac:dyDescent="0.25">
      <c r="J2743" s="903">
        <f t="shared" si="47"/>
        <v>2739</v>
      </c>
      <c r="K2743" s="566">
        <v>19</v>
      </c>
    </row>
    <row r="2744" spans="10:11" x14ac:dyDescent="0.25">
      <c r="J2744" s="903">
        <f t="shared" si="47"/>
        <v>2740</v>
      </c>
      <c r="K2744" s="566">
        <v>19</v>
      </c>
    </row>
    <row r="2745" spans="10:11" x14ac:dyDescent="0.25">
      <c r="J2745" s="903">
        <f t="shared" si="47"/>
        <v>2741</v>
      </c>
      <c r="K2745" s="566">
        <v>19</v>
      </c>
    </row>
    <row r="2746" spans="10:11" x14ac:dyDescent="0.25">
      <c r="J2746" s="903">
        <f t="shared" si="47"/>
        <v>2742</v>
      </c>
      <c r="K2746" s="566">
        <v>19</v>
      </c>
    </row>
    <row r="2747" spans="10:11" x14ac:dyDescent="0.25">
      <c r="J2747" s="903">
        <f t="shared" si="47"/>
        <v>2743</v>
      </c>
      <c r="K2747" s="566">
        <v>19</v>
      </c>
    </row>
    <row r="2748" spans="10:11" x14ac:dyDescent="0.25">
      <c r="J2748" s="903">
        <f t="shared" si="47"/>
        <v>2744</v>
      </c>
      <c r="K2748" s="566">
        <v>19</v>
      </c>
    </row>
    <row r="2749" spans="10:11" x14ac:dyDescent="0.25">
      <c r="J2749" s="903">
        <f t="shared" si="47"/>
        <v>2745</v>
      </c>
      <c r="K2749" s="566">
        <v>19</v>
      </c>
    </row>
    <row r="2750" spans="10:11" x14ac:dyDescent="0.25">
      <c r="J2750" s="903">
        <f t="shared" si="47"/>
        <v>2746</v>
      </c>
      <c r="K2750" s="566">
        <v>19</v>
      </c>
    </row>
    <row r="2751" spans="10:11" x14ac:dyDescent="0.25">
      <c r="J2751" s="903">
        <f t="shared" si="47"/>
        <v>2747</v>
      </c>
      <c r="K2751" s="566">
        <v>19</v>
      </c>
    </row>
    <row r="2752" spans="10:11" x14ac:dyDescent="0.25">
      <c r="J2752" s="903">
        <f t="shared" si="47"/>
        <v>2748</v>
      </c>
      <c r="K2752" s="566">
        <v>19</v>
      </c>
    </row>
    <row r="2753" spans="10:11" x14ac:dyDescent="0.25">
      <c r="J2753" s="903">
        <f t="shared" si="47"/>
        <v>2749</v>
      </c>
      <c r="K2753" s="566">
        <v>19</v>
      </c>
    </row>
    <row r="2754" spans="10:11" x14ac:dyDescent="0.25">
      <c r="J2754" s="903">
        <f t="shared" si="47"/>
        <v>2750</v>
      </c>
      <c r="K2754" s="566">
        <v>20</v>
      </c>
    </row>
    <row r="2755" spans="10:11" x14ac:dyDescent="0.25">
      <c r="J2755" s="903">
        <f t="shared" si="47"/>
        <v>2751</v>
      </c>
      <c r="K2755" s="566">
        <v>20</v>
      </c>
    </row>
    <row r="2756" spans="10:11" x14ac:dyDescent="0.25">
      <c r="J2756" s="903">
        <f t="shared" si="47"/>
        <v>2752</v>
      </c>
      <c r="K2756" s="566">
        <v>20</v>
      </c>
    </row>
    <row r="2757" spans="10:11" x14ac:dyDescent="0.25">
      <c r="J2757" s="903">
        <f t="shared" si="47"/>
        <v>2753</v>
      </c>
      <c r="K2757" s="566">
        <v>20</v>
      </c>
    </row>
    <row r="2758" spans="10:11" x14ac:dyDescent="0.25">
      <c r="J2758" s="903">
        <f t="shared" si="47"/>
        <v>2754</v>
      </c>
      <c r="K2758" s="566">
        <v>20</v>
      </c>
    </row>
    <row r="2759" spans="10:11" x14ac:dyDescent="0.25">
      <c r="J2759" s="903">
        <f t="shared" si="47"/>
        <v>2755</v>
      </c>
      <c r="K2759" s="566">
        <v>20</v>
      </c>
    </row>
    <row r="2760" spans="10:11" x14ac:dyDescent="0.25">
      <c r="J2760" s="903">
        <f t="shared" si="47"/>
        <v>2756</v>
      </c>
      <c r="K2760" s="566">
        <v>20</v>
      </c>
    </row>
    <row r="2761" spans="10:11" x14ac:dyDescent="0.25">
      <c r="J2761" s="903">
        <f t="shared" si="47"/>
        <v>2757</v>
      </c>
      <c r="K2761" s="566">
        <v>20</v>
      </c>
    </row>
    <row r="2762" spans="10:11" x14ac:dyDescent="0.25">
      <c r="J2762" s="903">
        <f t="shared" si="47"/>
        <v>2758</v>
      </c>
      <c r="K2762" s="566">
        <v>20</v>
      </c>
    </row>
    <row r="2763" spans="10:11" x14ac:dyDescent="0.25">
      <c r="J2763" s="903">
        <f t="shared" si="47"/>
        <v>2759</v>
      </c>
      <c r="K2763" s="566">
        <v>20</v>
      </c>
    </row>
    <row r="2764" spans="10:11" x14ac:dyDescent="0.25">
      <c r="J2764" s="903">
        <f t="shared" si="47"/>
        <v>2760</v>
      </c>
      <c r="K2764" s="566">
        <v>20</v>
      </c>
    </row>
    <row r="2765" spans="10:11" x14ac:dyDescent="0.25">
      <c r="J2765" s="903">
        <f t="shared" si="47"/>
        <v>2761</v>
      </c>
      <c r="K2765" s="566">
        <v>20</v>
      </c>
    </row>
    <row r="2766" spans="10:11" x14ac:dyDescent="0.25">
      <c r="J2766" s="903">
        <f t="shared" si="47"/>
        <v>2762</v>
      </c>
      <c r="K2766" s="566">
        <v>20</v>
      </c>
    </row>
    <row r="2767" spans="10:11" x14ac:dyDescent="0.25">
      <c r="J2767" s="903">
        <f t="shared" si="47"/>
        <v>2763</v>
      </c>
      <c r="K2767" s="566">
        <v>20</v>
      </c>
    </row>
    <row r="2768" spans="10:11" x14ac:dyDescent="0.25">
      <c r="J2768" s="903">
        <f t="shared" si="47"/>
        <v>2764</v>
      </c>
      <c r="K2768" s="566">
        <v>20</v>
      </c>
    </row>
    <row r="2769" spans="10:11" x14ac:dyDescent="0.25">
      <c r="J2769" s="903">
        <f t="shared" si="47"/>
        <v>2765</v>
      </c>
      <c r="K2769" s="566">
        <v>20</v>
      </c>
    </row>
    <row r="2770" spans="10:11" x14ac:dyDescent="0.25">
      <c r="J2770" s="903">
        <f t="shared" si="47"/>
        <v>2766</v>
      </c>
      <c r="K2770" s="566">
        <v>20</v>
      </c>
    </row>
    <row r="2771" spans="10:11" x14ac:dyDescent="0.25">
      <c r="J2771" s="903">
        <f t="shared" si="47"/>
        <v>2767</v>
      </c>
      <c r="K2771" s="566">
        <v>20</v>
      </c>
    </row>
    <row r="2772" spans="10:11" x14ac:dyDescent="0.25">
      <c r="J2772" s="903">
        <f t="shared" si="47"/>
        <v>2768</v>
      </c>
      <c r="K2772" s="566">
        <v>20</v>
      </c>
    </row>
    <row r="2773" spans="10:11" x14ac:dyDescent="0.25">
      <c r="J2773" s="903">
        <f t="shared" ref="J2773:J2836" si="48">J2772+1</f>
        <v>2769</v>
      </c>
      <c r="K2773" s="566">
        <v>20</v>
      </c>
    </row>
    <row r="2774" spans="10:11" x14ac:dyDescent="0.25">
      <c r="J2774" s="903">
        <f t="shared" si="48"/>
        <v>2770</v>
      </c>
      <c r="K2774" s="566">
        <v>20</v>
      </c>
    </row>
    <row r="2775" spans="10:11" x14ac:dyDescent="0.25">
      <c r="J2775" s="903">
        <f t="shared" si="48"/>
        <v>2771</v>
      </c>
      <c r="K2775" s="566">
        <v>20</v>
      </c>
    </row>
    <row r="2776" spans="10:11" x14ac:dyDescent="0.25">
      <c r="J2776" s="903">
        <f t="shared" si="48"/>
        <v>2772</v>
      </c>
      <c r="K2776" s="566">
        <v>20</v>
      </c>
    </row>
    <row r="2777" spans="10:11" x14ac:dyDescent="0.25">
      <c r="J2777" s="903">
        <f t="shared" si="48"/>
        <v>2773</v>
      </c>
      <c r="K2777" s="566">
        <v>20</v>
      </c>
    </row>
    <row r="2778" spans="10:11" x14ac:dyDescent="0.25">
      <c r="J2778" s="903">
        <f t="shared" si="48"/>
        <v>2774</v>
      </c>
      <c r="K2778" s="566">
        <v>20</v>
      </c>
    </row>
    <row r="2779" spans="10:11" x14ac:dyDescent="0.25">
      <c r="J2779" s="903">
        <f t="shared" si="48"/>
        <v>2775</v>
      </c>
      <c r="K2779" s="566">
        <v>20</v>
      </c>
    </row>
    <row r="2780" spans="10:11" x14ac:dyDescent="0.25">
      <c r="J2780" s="903">
        <f t="shared" si="48"/>
        <v>2776</v>
      </c>
      <c r="K2780" s="566">
        <v>20</v>
      </c>
    </row>
    <row r="2781" spans="10:11" x14ac:dyDescent="0.25">
      <c r="J2781" s="903">
        <f t="shared" si="48"/>
        <v>2777</v>
      </c>
      <c r="K2781" s="566">
        <v>20</v>
      </c>
    </row>
    <row r="2782" spans="10:11" x14ac:dyDescent="0.25">
      <c r="J2782" s="903">
        <f t="shared" si="48"/>
        <v>2778</v>
      </c>
      <c r="K2782" s="566">
        <v>20</v>
      </c>
    </row>
    <row r="2783" spans="10:11" x14ac:dyDescent="0.25">
      <c r="J2783" s="903">
        <f t="shared" si="48"/>
        <v>2779</v>
      </c>
      <c r="K2783" s="566">
        <v>20</v>
      </c>
    </row>
    <row r="2784" spans="10:11" x14ac:dyDescent="0.25">
      <c r="J2784" s="903">
        <f t="shared" si="48"/>
        <v>2780</v>
      </c>
      <c r="K2784" s="566">
        <v>20</v>
      </c>
    </row>
    <row r="2785" spans="10:11" x14ac:dyDescent="0.25">
      <c r="J2785" s="903">
        <f t="shared" si="48"/>
        <v>2781</v>
      </c>
      <c r="K2785" s="566">
        <v>20</v>
      </c>
    </row>
    <row r="2786" spans="10:11" x14ac:dyDescent="0.25">
      <c r="J2786" s="903">
        <f t="shared" si="48"/>
        <v>2782</v>
      </c>
      <c r="K2786" s="566">
        <v>20</v>
      </c>
    </row>
    <row r="2787" spans="10:11" x14ac:dyDescent="0.25">
      <c r="J2787" s="903">
        <f t="shared" si="48"/>
        <v>2783</v>
      </c>
      <c r="K2787" s="566">
        <v>20</v>
      </c>
    </row>
    <row r="2788" spans="10:11" x14ac:dyDescent="0.25">
      <c r="J2788" s="903">
        <f t="shared" si="48"/>
        <v>2784</v>
      </c>
      <c r="K2788" s="566">
        <v>20</v>
      </c>
    </row>
    <row r="2789" spans="10:11" x14ac:dyDescent="0.25">
      <c r="J2789" s="903">
        <f t="shared" si="48"/>
        <v>2785</v>
      </c>
      <c r="K2789" s="566">
        <v>20</v>
      </c>
    </row>
    <row r="2790" spans="10:11" x14ac:dyDescent="0.25">
      <c r="J2790" s="903">
        <f t="shared" si="48"/>
        <v>2786</v>
      </c>
      <c r="K2790" s="566">
        <v>20</v>
      </c>
    </row>
    <row r="2791" spans="10:11" x14ac:dyDescent="0.25">
      <c r="J2791" s="903">
        <f t="shared" si="48"/>
        <v>2787</v>
      </c>
      <c r="K2791" s="566">
        <v>20</v>
      </c>
    </row>
    <row r="2792" spans="10:11" x14ac:dyDescent="0.25">
      <c r="J2792" s="903">
        <f t="shared" si="48"/>
        <v>2788</v>
      </c>
      <c r="K2792" s="566">
        <v>20</v>
      </c>
    </row>
    <row r="2793" spans="10:11" x14ac:dyDescent="0.25">
      <c r="J2793" s="903">
        <f t="shared" si="48"/>
        <v>2789</v>
      </c>
      <c r="K2793" s="566">
        <v>20</v>
      </c>
    </row>
    <row r="2794" spans="10:11" x14ac:dyDescent="0.25">
      <c r="J2794" s="903">
        <f t="shared" si="48"/>
        <v>2790</v>
      </c>
      <c r="K2794" s="566">
        <v>20</v>
      </c>
    </row>
    <row r="2795" spans="10:11" x14ac:dyDescent="0.25">
      <c r="J2795" s="903">
        <f t="shared" si="48"/>
        <v>2791</v>
      </c>
      <c r="K2795" s="566">
        <v>20</v>
      </c>
    </row>
    <row r="2796" spans="10:11" x14ac:dyDescent="0.25">
      <c r="J2796" s="903">
        <f t="shared" si="48"/>
        <v>2792</v>
      </c>
      <c r="K2796" s="566">
        <v>20</v>
      </c>
    </row>
    <row r="2797" spans="10:11" x14ac:dyDescent="0.25">
      <c r="J2797" s="903">
        <f t="shared" si="48"/>
        <v>2793</v>
      </c>
      <c r="K2797" s="566">
        <v>20</v>
      </c>
    </row>
    <row r="2798" spans="10:11" x14ac:dyDescent="0.25">
      <c r="J2798" s="903">
        <f t="shared" si="48"/>
        <v>2794</v>
      </c>
      <c r="K2798" s="566">
        <v>20</v>
      </c>
    </row>
    <row r="2799" spans="10:11" x14ac:dyDescent="0.25">
      <c r="J2799" s="903">
        <f t="shared" si="48"/>
        <v>2795</v>
      </c>
      <c r="K2799" s="566">
        <v>20</v>
      </c>
    </row>
    <row r="2800" spans="10:11" x14ac:dyDescent="0.25">
      <c r="J2800" s="903">
        <f t="shared" si="48"/>
        <v>2796</v>
      </c>
      <c r="K2800" s="566">
        <v>20</v>
      </c>
    </row>
    <row r="2801" spans="10:11" x14ac:dyDescent="0.25">
      <c r="J2801" s="903">
        <f t="shared" si="48"/>
        <v>2797</v>
      </c>
      <c r="K2801" s="566">
        <v>20</v>
      </c>
    </row>
    <row r="2802" spans="10:11" x14ac:dyDescent="0.25">
      <c r="J2802" s="903">
        <f t="shared" si="48"/>
        <v>2798</v>
      </c>
      <c r="K2802" s="566">
        <v>20</v>
      </c>
    </row>
    <row r="2803" spans="10:11" x14ac:dyDescent="0.25">
      <c r="J2803" s="903">
        <f t="shared" si="48"/>
        <v>2799</v>
      </c>
      <c r="K2803" s="566">
        <v>20</v>
      </c>
    </row>
    <row r="2804" spans="10:11" x14ac:dyDescent="0.25">
      <c r="J2804" s="903">
        <f t="shared" si="48"/>
        <v>2800</v>
      </c>
      <c r="K2804" s="566">
        <v>20</v>
      </c>
    </row>
    <row r="2805" spans="10:11" x14ac:dyDescent="0.25">
      <c r="J2805" s="903">
        <f t="shared" si="48"/>
        <v>2801</v>
      </c>
      <c r="K2805" s="566">
        <v>20</v>
      </c>
    </row>
    <row r="2806" spans="10:11" x14ac:dyDescent="0.25">
      <c r="J2806" s="903">
        <f t="shared" si="48"/>
        <v>2802</v>
      </c>
      <c r="K2806" s="566">
        <v>20</v>
      </c>
    </row>
    <row r="2807" spans="10:11" x14ac:dyDescent="0.25">
      <c r="J2807" s="903">
        <f t="shared" si="48"/>
        <v>2803</v>
      </c>
      <c r="K2807" s="566">
        <v>20</v>
      </c>
    </row>
    <row r="2808" spans="10:11" x14ac:dyDescent="0.25">
      <c r="J2808" s="903">
        <f t="shared" si="48"/>
        <v>2804</v>
      </c>
      <c r="K2808" s="566">
        <v>20</v>
      </c>
    </row>
    <row r="2809" spans="10:11" x14ac:dyDescent="0.25">
      <c r="J2809" s="903">
        <f t="shared" si="48"/>
        <v>2805</v>
      </c>
      <c r="K2809" s="566">
        <v>20</v>
      </c>
    </row>
    <row r="2810" spans="10:11" x14ac:dyDescent="0.25">
      <c r="J2810" s="903">
        <f t="shared" si="48"/>
        <v>2806</v>
      </c>
      <c r="K2810" s="566">
        <v>20</v>
      </c>
    </row>
    <row r="2811" spans="10:11" x14ac:dyDescent="0.25">
      <c r="J2811" s="903">
        <f t="shared" si="48"/>
        <v>2807</v>
      </c>
      <c r="K2811" s="566">
        <v>20</v>
      </c>
    </row>
    <row r="2812" spans="10:11" x14ac:dyDescent="0.25">
      <c r="J2812" s="903">
        <f t="shared" si="48"/>
        <v>2808</v>
      </c>
      <c r="K2812" s="566">
        <v>20</v>
      </c>
    </row>
    <row r="2813" spans="10:11" x14ac:dyDescent="0.25">
      <c r="J2813" s="903">
        <f t="shared" si="48"/>
        <v>2809</v>
      </c>
      <c r="K2813" s="566">
        <v>20</v>
      </c>
    </row>
    <row r="2814" spans="10:11" x14ac:dyDescent="0.25">
      <c r="J2814" s="903">
        <f t="shared" si="48"/>
        <v>2810</v>
      </c>
      <c r="K2814" s="566">
        <v>20</v>
      </c>
    </row>
    <row r="2815" spans="10:11" x14ac:dyDescent="0.25">
      <c r="J2815" s="903">
        <f t="shared" si="48"/>
        <v>2811</v>
      </c>
      <c r="K2815" s="566">
        <v>20</v>
      </c>
    </row>
    <row r="2816" spans="10:11" x14ac:dyDescent="0.25">
      <c r="J2816" s="903">
        <f t="shared" si="48"/>
        <v>2812</v>
      </c>
      <c r="K2816" s="566">
        <v>20</v>
      </c>
    </row>
    <row r="2817" spans="10:11" x14ac:dyDescent="0.25">
      <c r="J2817" s="903">
        <f t="shared" si="48"/>
        <v>2813</v>
      </c>
      <c r="K2817" s="566">
        <v>20</v>
      </c>
    </row>
    <row r="2818" spans="10:11" x14ac:dyDescent="0.25">
      <c r="J2818" s="903">
        <f t="shared" si="48"/>
        <v>2814</v>
      </c>
      <c r="K2818" s="566">
        <v>20</v>
      </c>
    </row>
    <row r="2819" spans="10:11" x14ac:dyDescent="0.25">
      <c r="J2819" s="903">
        <f t="shared" si="48"/>
        <v>2815</v>
      </c>
      <c r="K2819" s="566">
        <v>20</v>
      </c>
    </row>
    <row r="2820" spans="10:11" x14ac:dyDescent="0.25">
      <c r="J2820" s="903">
        <f t="shared" si="48"/>
        <v>2816</v>
      </c>
      <c r="K2820" s="566">
        <v>20</v>
      </c>
    </row>
    <row r="2821" spans="10:11" x14ac:dyDescent="0.25">
      <c r="J2821" s="903">
        <f t="shared" si="48"/>
        <v>2817</v>
      </c>
      <c r="K2821" s="566">
        <v>20</v>
      </c>
    </row>
    <row r="2822" spans="10:11" x14ac:dyDescent="0.25">
      <c r="J2822" s="903">
        <f t="shared" si="48"/>
        <v>2818</v>
      </c>
      <c r="K2822" s="566">
        <v>20</v>
      </c>
    </row>
    <row r="2823" spans="10:11" x14ac:dyDescent="0.25">
      <c r="J2823" s="903">
        <f t="shared" si="48"/>
        <v>2819</v>
      </c>
      <c r="K2823" s="566">
        <v>20</v>
      </c>
    </row>
    <row r="2824" spans="10:11" x14ac:dyDescent="0.25">
      <c r="J2824" s="903">
        <f t="shared" si="48"/>
        <v>2820</v>
      </c>
      <c r="K2824" s="566">
        <v>20</v>
      </c>
    </row>
    <row r="2825" spans="10:11" x14ac:dyDescent="0.25">
      <c r="J2825" s="903">
        <f t="shared" si="48"/>
        <v>2821</v>
      </c>
      <c r="K2825" s="566">
        <v>20</v>
      </c>
    </row>
    <row r="2826" spans="10:11" x14ac:dyDescent="0.25">
      <c r="J2826" s="903">
        <f t="shared" si="48"/>
        <v>2822</v>
      </c>
      <c r="K2826" s="566">
        <v>20</v>
      </c>
    </row>
    <row r="2827" spans="10:11" x14ac:dyDescent="0.25">
      <c r="J2827" s="903">
        <f t="shared" si="48"/>
        <v>2823</v>
      </c>
      <c r="K2827" s="566">
        <v>20</v>
      </c>
    </row>
    <row r="2828" spans="10:11" x14ac:dyDescent="0.25">
      <c r="J2828" s="903">
        <f t="shared" si="48"/>
        <v>2824</v>
      </c>
      <c r="K2828" s="566">
        <v>20</v>
      </c>
    </row>
    <row r="2829" spans="10:11" x14ac:dyDescent="0.25">
      <c r="J2829" s="903">
        <f t="shared" si="48"/>
        <v>2825</v>
      </c>
      <c r="K2829" s="566">
        <v>20</v>
      </c>
    </row>
    <row r="2830" spans="10:11" x14ac:dyDescent="0.25">
      <c r="J2830" s="903">
        <f t="shared" si="48"/>
        <v>2826</v>
      </c>
      <c r="K2830" s="566">
        <v>20</v>
      </c>
    </row>
    <row r="2831" spans="10:11" x14ac:dyDescent="0.25">
      <c r="J2831" s="903">
        <f t="shared" si="48"/>
        <v>2827</v>
      </c>
      <c r="K2831" s="566">
        <v>20</v>
      </c>
    </row>
    <row r="2832" spans="10:11" x14ac:dyDescent="0.25">
      <c r="J2832" s="903">
        <f t="shared" si="48"/>
        <v>2828</v>
      </c>
      <c r="K2832" s="566">
        <v>20</v>
      </c>
    </row>
    <row r="2833" spans="10:11" x14ac:dyDescent="0.25">
      <c r="J2833" s="903">
        <f t="shared" si="48"/>
        <v>2829</v>
      </c>
      <c r="K2833" s="566">
        <v>20</v>
      </c>
    </row>
    <row r="2834" spans="10:11" x14ac:dyDescent="0.25">
      <c r="J2834" s="903">
        <f t="shared" si="48"/>
        <v>2830</v>
      </c>
      <c r="K2834" s="566">
        <v>20</v>
      </c>
    </row>
    <row r="2835" spans="10:11" x14ac:dyDescent="0.25">
      <c r="J2835" s="903">
        <f t="shared" si="48"/>
        <v>2831</v>
      </c>
      <c r="K2835" s="566">
        <v>20</v>
      </c>
    </row>
    <row r="2836" spans="10:11" x14ac:dyDescent="0.25">
      <c r="J2836" s="903">
        <f t="shared" si="48"/>
        <v>2832</v>
      </c>
      <c r="K2836" s="566">
        <v>20</v>
      </c>
    </row>
    <row r="2837" spans="10:11" x14ac:dyDescent="0.25">
      <c r="J2837" s="903">
        <f t="shared" ref="J2837:J2900" si="49">J2836+1</f>
        <v>2833</v>
      </c>
      <c r="K2837" s="566">
        <v>20</v>
      </c>
    </row>
    <row r="2838" spans="10:11" x14ac:dyDescent="0.25">
      <c r="J2838" s="903">
        <f t="shared" si="49"/>
        <v>2834</v>
      </c>
      <c r="K2838" s="566">
        <v>20</v>
      </c>
    </row>
    <row r="2839" spans="10:11" x14ac:dyDescent="0.25">
      <c r="J2839" s="903">
        <f t="shared" si="49"/>
        <v>2835</v>
      </c>
      <c r="K2839" s="566">
        <v>20</v>
      </c>
    </row>
    <row r="2840" spans="10:11" x14ac:dyDescent="0.25">
      <c r="J2840" s="903">
        <f t="shared" si="49"/>
        <v>2836</v>
      </c>
      <c r="K2840" s="566">
        <v>20</v>
      </c>
    </row>
    <row r="2841" spans="10:11" x14ac:dyDescent="0.25">
      <c r="J2841" s="903">
        <f t="shared" si="49"/>
        <v>2837</v>
      </c>
      <c r="K2841" s="566">
        <v>20</v>
      </c>
    </row>
    <row r="2842" spans="10:11" x14ac:dyDescent="0.25">
      <c r="J2842" s="903">
        <f t="shared" si="49"/>
        <v>2838</v>
      </c>
      <c r="K2842" s="566">
        <v>20</v>
      </c>
    </row>
    <row r="2843" spans="10:11" x14ac:dyDescent="0.25">
      <c r="J2843" s="903">
        <f t="shared" si="49"/>
        <v>2839</v>
      </c>
      <c r="K2843" s="566">
        <v>20</v>
      </c>
    </row>
    <row r="2844" spans="10:11" x14ac:dyDescent="0.25">
      <c r="J2844" s="903">
        <f t="shared" si="49"/>
        <v>2840</v>
      </c>
      <c r="K2844" s="566">
        <v>20</v>
      </c>
    </row>
    <row r="2845" spans="10:11" x14ac:dyDescent="0.25">
      <c r="J2845" s="903">
        <f t="shared" si="49"/>
        <v>2841</v>
      </c>
      <c r="K2845" s="566">
        <v>20</v>
      </c>
    </row>
    <row r="2846" spans="10:11" x14ac:dyDescent="0.25">
      <c r="J2846" s="903">
        <f t="shared" si="49"/>
        <v>2842</v>
      </c>
      <c r="K2846" s="566">
        <v>20</v>
      </c>
    </row>
    <row r="2847" spans="10:11" x14ac:dyDescent="0.25">
      <c r="J2847" s="903">
        <f t="shared" si="49"/>
        <v>2843</v>
      </c>
      <c r="K2847" s="566">
        <v>20</v>
      </c>
    </row>
    <row r="2848" spans="10:11" x14ac:dyDescent="0.25">
      <c r="J2848" s="903">
        <f t="shared" si="49"/>
        <v>2844</v>
      </c>
      <c r="K2848" s="566">
        <v>20</v>
      </c>
    </row>
    <row r="2849" spans="10:11" x14ac:dyDescent="0.25">
      <c r="J2849" s="903">
        <f t="shared" si="49"/>
        <v>2845</v>
      </c>
      <c r="K2849" s="566">
        <v>20</v>
      </c>
    </row>
    <row r="2850" spans="10:11" x14ac:dyDescent="0.25">
      <c r="J2850" s="903">
        <f t="shared" si="49"/>
        <v>2846</v>
      </c>
      <c r="K2850" s="566">
        <v>20</v>
      </c>
    </row>
    <row r="2851" spans="10:11" x14ac:dyDescent="0.25">
      <c r="J2851" s="903">
        <f t="shared" si="49"/>
        <v>2847</v>
      </c>
      <c r="K2851" s="566">
        <v>20</v>
      </c>
    </row>
    <row r="2852" spans="10:11" x14ac:dyDescent="0.25">
      <c r="J2852" s="903">
        <f t="shared" si="49"/>
        <v>2848</v>
      </c>
      <c r="K2852" s="566">
        <v>20</v>
      </c>
    </row>
    <row r="2853" spans="10:11" x14ac:dyDescent="0.25">
      <c r="J2853" s="903">
        <f t="shared" si="49"/>
        <v>2849</v>
      </c>
      <c r="K2853" s="566">
        <v>20</v>
      </c>
    </row>
    <row r="2854" spans="10:11" x14ac:dyDescent="0.25">
      <c r="J2854" s="903">
        <f t="shared" si="49"/>
        <v>2850</v>
      </c>
      <c r="K2854" s="566">
        <v>20</v>
      </c>
    </row>
    <row r="2855" spans="10:11" x14ac:dyDescent="0.25">
      <c r="J2855" s="903">
        <f t="shared" si="49"/>
        <v>2851</v>
      </c>
      <c r="K2855" s="566">
        <v>20</v>
      </c>
    </row>
    <row r="2856" spans="10:11" x14ac:dyDescent="0.25">
      <c r="J2856" s="903">
        <f t="shared" si="49"/>
        <v>2852</v>
      </c>
      <c r="K2856" s="566">
        <v>20</v>
      </c>
    </row>
    <row r="2857" spans="10:11" x14ac:dyDescent="0.25">
      <c r="J2857" s="903">
        <f t="shared" si="49"/>
        <v>2853</v>
      </c>
      <c r="K2857" s="566">
        <v>20</v>
      </c>
    </row>
    <row r="2858" spans="10:11" x14ac:dyDescent="0.25">
      <c r="J2858" s="903">
        <f t="shared" si="49"/>
        <v>2854</v>
      </c>
      <c r="K2858" s="566">
        <v>20</v>
      </c>
    </row>
    <row r="2859" spans="10:11" x14ac:dyDescent="0.25">
      <c r="J2859" s="903">
        <f t="shared" si="49"/>
        <v>2855</v>
      </c>
      <c r="K2859" s="566">
        <v>20</v>
      </c>
    </row>
    <row r="2860" spans="10:11" x14ac:dyDescent="0.25">
      <c r="J2860" s="903">
        <f t="shared" si="49"/>
        <v>2856</v>
      </c>
      <c r="K2860" s="566">
        <v>20</v>
      </c>
    </row>
    <row r="2861" spans="10:11" x14ac:dyDescent="0.25">
      <c r="J2861" s="903">
        <f t="shared" si="49"/>
        <v>2857</v>
      </c>
      <c r="K2861" s="566">
        <v>20</v>
      </c>
    </row>
    <row r="2862" spans="10:11" x14ac:dyDescent="0.25">
      <c r="J2862" s="903">
        <f t="shared" si="49"/>
        <v>2858</v>
      </c>
      <c r="K2862" s="566">
        <v>20</v>
      </c>
    </row>
    <row r="2863" spans="10:11" x14ac:dyDescent="0.25">
      <c r="J2863" s="903">
        <f t="shared" si="49"/>
        <v>2859</v>
      </c>
      <c r="K2863" s="566">
        <v>20</v>
      </c>
    </row>
    <row r="2864" spans="10:11" x14ac:dyDescent="0.25">
      <c r="J2864" s="903">
        <f t="shared" si="49"/>
        <v>2860</v>
      </c>
      <c r="K2864" s="566">
        <v>20</v>
      </c>
    </row>
    <row r="2865" spans="10:11" x14ac:dyDescent="0.25">
      <c r="J2865" s="903">
        <f t="shared" si="49"/>
        <v>2861</v>
      </c>
      <c r="K2865" s="566">
        <v>20</v>
      </c>
    </row>
    <row r="2866" spans="10:11" x14ac:dyDescent="0.25">
      <c r="J2866" s="903">
        <f t="shared" si="49"/>
        <v>2862</v>
      </c>
      <c r="K2866" s="566">
        <v>20</v>
      </c>
    </row>
    <row r="2867" spans="10:11" x14ac:dyDescent="0.25">
      <c r="J2867" s="903">
        <f t="shared" si="49"/>
        <v>2863</v>
      </c>
      <c r="K2867" s="566">
        <v>20</v>
      </c>
    </row>
    <row r="2868" spans="10:11" x14ac:dyDescent="0.25">
      <c r="J2868" s="903">
        <f t="shared" si="49"/>
        <v>2864</v>
      </c>
      <c r="K2868" s="566">
        <v>20</v>
      </c>
    </row>
    <row r="2869" spans="10:11" x14ac:dyDescent="0.25">
      <c r="J2869" s="903">
        <f t="shared" si="49"/>
        <v>2865</v>
      </c>
      <c r="K2869" s="566">
        <v>20</v>
      </c>
    </row>
    <row r="2870" spans="10:11" x14ac:dyDescent="0.25">
      <c r="J2870" s="903">
        <f t="shared" si="49"/>
        <v>2866</v>
      </c>
      <c r="K2870" s="566">
        <v>20</v>
      </c>
    </row>
    <row r="2871" spans="10:11" x14ac:dyDescent="0.25">
      <c r="J2871" s="903">
        <f t="shared" si="49"/>
        <v>2867</v>
      </c>
      <c r="K2871" s="566">
        <v>20</v>
      </c>
    </row>
    <row r="2872" spans="10:11" x14ac:dyDescent="0.25">
      <c r="J2872" s="903">
        <f t="shared" si="49"/>
        <v>2868</v>
      </c>
      <c r="K2872" s="566">
        <v>20</v>
      </c>
    </row>
    <row r="2873" spans="10:11" x14ac:dyDescent="0.25">
      <c r="J2873" s="903">
        <f t="shared" si="49"/>
        <v>2869</v>
      </c>
      <c r="K2873" s="566">
        <v>20</v>
      </c>
    </row>
    <row r="2874" spans="10:11" x14ac:dyDescent="0.25">
      <c r="J2874" s="903">
        <f t="shared" si="49"/>
        <v>2870</v>
      </c>
      <c r="K2874" s="566">
        <v>20</v>
      </c>
    </row>
    <row r="2875" spans="10:11" x14ac:dyDescent="0.25">
      <c r="J2875" s="903">
        <f t="shared" si="49"/>
        <v>2871</v>
      </c>
      <c r="K2875" s="566">
        <v>20</v>
      </c>
    </row>
    <row r="2876" spans="10:11" x14ac:dyDescent="0.25">
      <c r="J2876" s="903">
        <f t="shared" si="49"/>
        <v>2872</v>
      </c>
      <c r="K2876" s="566">
        <v>20</v>
      </c>
    </row>
    <row r="2877" spans="10:11" x14ac:dyDescent="0.25">
      <c r="J2877" s="903">
        <f t="shared" si="49"/>
        <v>2873</v>
      </c>
      <c r="K2877" s="566">
        <v>20</v>
      </c>
    </row>
    <row r="2878" spans="10:11" x14ac:dyDescent="0.25">
      <c r="J2878" s="903">
        <f t="shared" si="49"/>
        <v>2874</v>
      </c>
      <c r="K2878" s="566">
        <v>20</v>
      </c>
    </row>
    <row r="2879" spans="10:11" x14ac:dyDescent="0.25">
      <c r="J2879" s="903">
        <f t="shared" si="49"/>
        <v>2875</v>
      </c>
      <c r="K2879" s="566">
        <v>20</v>
      </c>
    </row>
    <row r="2880" spans="10:11" x14ac:dyDescent="0.25">
      <c r="J2880" s="903">
        <f t="shared" si="49"/>
        <v>2876</v>
      </c>
      <c r="K2880" s="566">
        <v>20</v>
      </c>
    </row>
    <row r="2881" spans="10:11" x14ac:dyDescent="0.25">
      <c r="J2881" s="903">
        <f t="shared" si="49"/>
        <v>2877</v>
      </c>
      <c r="K2881" s="566">
        <v>20</v>
      </c>
    </row>
    <row r="2882" spans="10:11" x14ac:dyDescent="0.25">
      <c r="J2882" s="903">
        <f t="shared" si="49"/>
        <v>2878</v>
      </c>
      <c r="K2882" s="566">
        <v>20</v>
      </c>
    </row>
    <row r="2883" spans="10:11" x14ac:dyDescent="0.25">
      <c r="J2883" s="903">
        <f t="shared" si="49"/>
        <v>2879</v>
      </c>
      <c r="K2883" s="566">
        <v>20</v>
      </c>
    </row>
    <row r="2884" spans="10:11" x14ac:dyDescent="0.25">
      <c r="J2884" s="903">
        <f t="shared" si="49"/>
        <v>2880</v>
      </c>
      <c r="K2884" s="566">
        <v>20</v>
      </c>
    </row>
    <row r="2885" spans="10:11" x14ac:dyDescent="0.25">
      <c r="J2885" s="903">
        <f t="shared" si="49"/>
        <v>2881</v>
      </c>
      <c r="K2885" s="566">
        <v>20</v>
      </c>
    </row>
    <row r="2886" spans="10:11" x14ac:dyDescent="0.25">
      <c r="J2886" s="903">
        <f t="shared" si="49"/>
        <v>2882</v>
      </c>
      <c r="K2886" s="566">
        <v>20</v>
      </c>
    </row>
    <row r="2887" spans="10:11" x14ac:dyDescent="0.25">
      <c r="J2887" s="903">
        <f t="shared" si="49"/>
        <v>2883</v>
      </c>
      <c r="K2887" s="566">
        <v>20</v>
      </c>
    </row>
    <row r="2888" spans="10:11" x14ac:dyDescent="0.25">
      <c r="J2888" s="903">
        <f t="shared" si="49"/>
        <v>2884</v>
      </c>
      <c r="K2888" s="566">
        <v>20</v>
      </c>
    </row>
    <row r="2889" spans="10:11" x14ac:dyDescent="0.25">
      <c r="J2889" s="903">
        <f t="shared" si="49"/>
        <v>2885</v>
      </c>
      <c r="K2889" s="566">
        <v>20</v>
      </c>
    </row>
    <row r="2890" spans="10:11" x14ac:dyDescent="0.25">
      <c r="J2890" s="903">
        <f t="shared" si="49"/>
        <v>2886</v>
      </c>
      <c r="K2890" s="566">
        <v>20</v>
      </c>
    </row>
    <row r="2891" spans="10:11" x14ac:dyDescent="0.25">
      <c r="J2891" s="903">
        <f t="shared" si="49"/>
        <v>2887</v>
      </c>
      <c r="K2891" s="566">
        <v>20</v>
      </c>
    </row>
    <row r="2892" spans="10:11" x14ac:dyDescent="0.25">
      <c r="J2892" s="903">
        <f t="shared" si="49"/>
        <v>2888</v>
      </c>
      <c r="K2892" s="566">
        <v>20</v>
      </c>
    </row>
    <row r="2893" spans="10:11" x14ac:dyDescent="0.25">
      <c r="J2893" s="903">
        <f t="shared" si="49"/>
        <v>2889</v>
      </c>
      <c r="K2893" s="566">
        <v>20</v>
      </c>
    </row>
    <row r="2894" spans="10:11" x14ac:dyDescent="0.25">
      <c r="J2894" s="903">
        <f t="shared" si="49"/>
        <v>2890</v>
      </c>
      <c r="K2894" s="566">
        <v>20</v>
      </c>
    </row>
    <row r="2895" spans="10:11" x14ac:dyDescent="0.25">
      <c r="J2895" s="903">
        <f t="shared" si="49"/>
        <v>2891</v>
      </c>
      <c r="K2895" s="566">
        <v>20</v>
      </c>
    </row>
    <row r="2896" spans="10:11" x14ac:dyDescent="0.25">
      <c r="J2896" s="903">
        <f t="shared" si="49"/>
        <v>2892</v>
      </c>
      <c r="K2896" s="566">
        <v>20</v>
      </c>
    </row>
    <row r="2897" spans="10:11" x14ac:dyDescent="0.25">
      <c r="J2897" s="903">
        <f t="shared" si="49"/>
        <v>2893</v>
      </c>
      <c r="K2897" s="566">
        <v>20</v>
      </c>
    </row>
    <row r="2898" spans="10:11" x14ac:dyDescent="0.25">
      <c r="J2898" s="903">
        <f t="shared" si="49"/>
        <v>2894</v>
      </c>
      <c r="K2898" s="566">
        <v>20</v>
      </c>
    </row>
    <row r="2899" spans="10:11" x14ac:dyDescent="0.25">
      <c r="J2899" s="903">
        <f t="shared" si="49"/>
        <v>2895</v>
      </c>
      <c r="K2899" s="566">
        <v>20</v>
      </c>
    </row>
    <row r="2900" spans="10:11" x14ac:dyDescent="0.25">
      <c r="J2900" s="903">
        <f t="shared" si="49"/>
        <v>2896</v>
      </c>
      <c r="K2900" s="566">
        <v>20</v>
      </c>
    </row>
    <row r="2901" spans="10:11" x14ac:dyDescent="0.25">
      <c r="J2901" s="903">
        <f t="shared" ref="J2901:J2964" si="50">J2900+1</f>
        <v>2897</v>
      </c>
      <c r="K2901" s="566">
        <v>20</v>
      </c>
    </row>
    <row r="2902" spans="10:11" x14ac:dyDescent="0.25">
      <c r="J2902" s="903">
        <f t="shared" si="50"/>
        <v>2898</v>
      </c>
      <c r="K2902" s="566">
        <v>20</v>
      </c>
    </row>
    <row r="2903" spans="10:11" x14ac:dyDescent="0.25">
      <c r="J2903" s="903">
        <f t="shared" si="50"/>
        <v>2899</v>
      </c>
      <c r="K2903" s="566">
        <v>20</v>
      </c>
    </row>
    <row r="2904" spans="10:11" x14ac:dyDescent="0.25">
      <c r="J2904" s="903">
        <f t="shared" si="50"/>
        <v>2900</v>
      </c>
      <c r="K2904" s="566">
        <v>20</v>
      </c>
    </row>
    <row r="2905" spans="10:11" x14ac:dyDescent="0.25">
      <c r="J2905" s="903">
        <f t="shared" si="50"/>
        <v>2901</v>
      </c>
      <c r="K2905" s="566">
        <v>20</v>
      </c>
    </row>
    <row r="2906" spans="10:11" x14ac:dyDescent="0.25">
      <c r="J2906" s="903">
        <f t="shared" si="50"/>
        <v>2902</v>
      </c>
      <c r="K2906" s="566">
        <v>20</v>
      </c>
    </row>
    <row r="2907" spans="10:11" x14ac:dyDescent="0.25">
      <c r="J2907" s="903">
        <f t="shared" si="50"/>
        <v>2903</v>
      </c>
      <c r="K2907" s="566">
        <v>20</v>
      </c>
    </row>
    <row r="2908" spans="10:11" x14ac:dyDescent="0.25">
      <c r="J2908" s="903">
        <f t="shared" si="50"/>
        <v>2904</v>
      </c>
      <c r="K2908" s="566">
        <v>20</v>
      </c>
    </row>
    <row r="2909" spans="10:11" x14ac:dyDescent="0.25">
      <c r="J2909" s="903">
        <f t="shared" si="50"/>
        <v>2905</v>
      </c>
      <c r="K2909" s="566">
        <v>20</v>
      </c>
    </row>
    <row r="2910" spans="10:11" x14ac:dyDescent="0.25">
      <c r="J2910" s="903">
        <f t="shared" si="50"/>
        <v>2906</v>
      </c>
      <c r="K2910" s="566">
        <v>20</v>
      </c>
    </row>
    <row r="2911" spans="10:11" x14ac:dyDescent="0.25">
      <c r="J2911" s="903">
        <f t="shared" si="50"/>
        <v>2907</v>
      </c>
      <c r="K2911" s="566">
        <v>20</v>
      </c>
    </row>
    <row r="2912" spans="10:11" x14ac:dyDescent="0.25">
      <c r="J2912" s="903">
        <f t="shared" si="50"/>
        <v>2908</v>
      </c>
      <c r="K2912" s="566">
        <v>20</v>
      </c>
    </row>
    <row r="2913" spans="10:11" x14ac:dyDescent="0.25">
      <c r="J2913" s="903">
        <f t="shared" si="50"/>
        <v>2909</v>
      </c>
      <c r="K2913" s="566">
        <v>20</v>
      </c>
    </row>
    <row r="2914" spans="10:11" x14ac:dyDescent="0.25">
      <c r="J2914" s="903">
        <f t="shared" si="50"/>
        <v>2910</v>
      </c>
      <c r="K2914" s="566">
        <v>20</v>
      </c>
    </row>
    <row r="2915" spans="10:11" x14ac:dyDescent="0.25">
      <c r="J2915" s="903">
        <f t="shared" si="50"/>
        <v>2911</v>
      </c>
      <c r="K2915" s="566">
        <v>20</v>
      </c>
    </row>
    <row r="2916" spans="10:11" x14ac:dyDescent="0.25">
      <c r="J2916" s="903">
        <f t="shared" si="50"/>
        <v>2912</v>
      </c>
      <c r="K2916" s="566">
        <v>20</v>
      </c>
    </row>
    <row r="2917" spans="10:11" x14ac:dyDescent="0.25">
      <c r="J2917" s="903">
        <f t="shared" si="50"/>
        <v>2913</v>
      </c>
      <c r="K2917" s="566">
        <v>20</v>
      </c>
    </row>
    <row r="2918" spans="10:11" x14ac:dyDescent="0.25">
      <c r="J2918" s="903">
        <f t="shared" si="50"/>
        <v>2914</v>
      </c>
      <c r="K2918" s="566">
        <v>20</v>
      </c>
    </row>
    <row r="2919" spans="10:11" x14ac:dyDescent="0.25">
      <c r="J2919" s="903">
        <f t="shared" si="50"/>
        <v>2915</v>
      </c>
      <c r="K2919" s="566">
        <v>20</v>
      </c>
    </row>
    <row r="2920" spans="10:11" x14ac:dyDescent="0.25">
      <c r="J2920" s="903">
        <f t="shared" si="50"/>
        <v>2916</v>
      </c>
      <c r="K2920" s="566">
        <v>20</v>
      </c>
    </row>
    <row r="2921" spans="10:11" x14ac:dyDescent="0.25">
      <c r="J2921" s="903">
        <f t="shared" si="50"/>
        <v>2917</v>
      </c>
      <c r="K2921" s="566">
        <v>20</v>
      </c>
    </row>
    <row r="2922" spans="10:11" x14ac:dyDescent="0.25">
      <c r="J2922" s="903">
        <f t="shared" si="50"/>
        <v>2918</v>
      </c>
      <c r="K2922" s="566">
        <v>20</v>
      </c>
    </row>
    <row r="2923" spans="10:11" x14ac:dyDescent="0.25">
      <c r="J2923" s="903">
        <f t="shared" si="50"/>
        <v>2919</v>
      </c>
      <c r="K2923" s="566">
        <v>20</v>
      </c>
    </row>
    <row r="2924" spans="10:11" x14ac:dyDescent="0.25">
      <c r="J2924" s="903">
        <f t="shared" si="50"/>
        <v>2920</v>
      </c>
      <c r="K2924" s="566">
        <v>20</v>
      </c>
    </row>
    <row r="2925" spans="10:11" x14ac:dyDescent="0.25">
      <c r="J2925" s="903">
        <f t="shared" si="50"/>
        <v>2921</v>
      </c>
      <c r="K2925" s="566">
        <v>20</v>
      </c>
    </row>
    <row r="2926" spans="10:11" x14ac:dyDescent="0.25">
      <c r="J2926" s="903">
        <f t="shared" si="50"/>
        <v>2922</v>
      </c>
      <c r="K2926" s="566">
        <v>20</v>
      </c>
    </row>
    <row r="2927" spans="10:11" x14ac:dyDescent="0.25">
      <c r="J2927" s="903">
        <f t="shared" si="50"/>
        <v>2923</v>
      </c>
      <c r="K2927" s="566">
        <v>20</v>
      </c>
    </row>
    <row r="2928" spans="10:11" x14ac:dyDescent="0.25">
      <c r="J2928" s="903">
        <f t="shared" si="50"/>
        <v>2924</v>
      </c>
      <c r="K2928" s="566">
        <v>20</v>
      </c>
    </row>
    <row r="2929" spans="10:11" x14ac:dyDescent="0.25">
      <c r="J2929" s="903">
        <f t="shared" si="50"/>
        <v>2925</v>
      </c>
      <c r="K2929" s="566">
        <v>20</v>
      </c>
    </row>
    <row r="2930" spans="10:11" x14ac:dyDescent="0.25">
      <c r="J2930" s="903">
        <f t="shared" si="50"/>
        <v>2926</v>
      </c>
      <c r="K2930" s="566">
        <v>20</v>
      </c>
    </row>
    <row r="2931" spans="10:11" x14ac:dyDescent="0.25">
      <c r="J2931" s="903">
        <f t="shared" si="50"/>
        <v>2927</v>
      </c>
      <c r="K2931" s="566">
        <v>20</v>
      </c>
    </row>
    <row r="2932" spans="10:11" x14ac:dyDescent="0.25">
      <c r="J2932" s="903">
        <f t="shared" si="50"/>
        <v>2928</v>
      </c>
      <c r="K2932" s="566">
        <v>20</v>
      </c>
    </row>
    <row r="2933" spans="10:11" x14ac:dyDescent="0.25">
      <c r="J2933" s="903">
        <f t="shared" si="50"/>
        <v>2929</v>
      </c>
      <c r="K2933" s="566">
        <v>20</v>
      </c>
    </row>
    <row r="2934" spans="10:11" x14ac:dyDescent="0.25">
      <c r="J2934" s="903">
        <f t="shared" si="50"/>
        <v>2930</v>
      </c>
      <c r="K2934" s="566">
        <v>20</v>
      </c>
    </row>
    <row r="2935" spans="10:11" x14ac:dyDescent="0.25">
      <c r="J2935" s="903">
        <f t="shared" si="50"/>
        <v>2931</v>
      </c>
      <c r="K2935" s="566">
        <v>20</v>
      </c>
    </row>
    <row r="2936" spans="10:11" x14ac:dyDescent="0.25">
      <c r="J2936" s="903">
        <f t="shared" si="50"/>
        <v>2932</v>
      </c>
      <c r="K2936" s="566">
        <v>20</v>
      </c>
    </row>
    <row r="2937" spans="10:11" x14ac:dyDescent="0.25">
      <c r="J2937" s="903">
        <f t="shared" si="50"/>
        <v>2933</v>
      </c>
      <c r="K2937" s="566">
        <v>20</v>
      </c>
    </row>
    <row r="2938" spans="10:11" x14ac:dyDescent="0.25">
      <c r="J2938" s="903">
        <f t="shared" si="50"/>
        <v>2934</v>
      </c>
      <c r="K2938" s="566">
        <v>20</v>
      </c>
    </row>
    <row r="2939" spans="10:11" x14ac:dyDescent="0.25">
      <c r="J2939" s="903">
        <f t="shared" si="50"/>
        <v>2935</v>
      </c>
      <c r="K2939" s="566">
        <v>20</v>
      </c>
    </row>
    <row r="2940" spans="10:11" x14ac:dyDescent="0.25">
      <c r="J2940" s="903">
        <f t="shared" si="50"/>
        <v>2936</v>
      </c>
      <c r="K2940" s="566">
        <v>20</v>
      </c>
    </row>
    <row r="2941" spans="10:11" x14ac:dyDescent="0.25">
      <c r="J2941" s="903">
        <f t="shared" si="50"/>
        <v>2937</v>
      </c>
      <c r="K2941" s="566">
        <v>20</v>
      </c>
    </row>
    <row r="2942" spans="10:11" x14ac:dyDescent="0.25">
      <c r="J2942" s="903">
        <f t="shared" si="50"/>
        <v>2938</v>
      </c>
      <c r="K2942" s="566">
        <v>20</v>
      </c>
    </row>
    <row r="2943" spans="10:11" x14ac:dyDescent="0.25">
      <c r="J2943" s="903">
        <f t="shared" si="50"/>
        <v>2939</v>
      </c>
      <c r="K2943" s="566">
        <v>20</v>
      </c>
    </row>
    <row r="2944" spans="10:11" x14ac:dyDescent="0.25">
      <c r="J2944" s="903">
        <f t="shared" si="50"/>
        <v>2940</v>
      </c>
      <c r="K2944" s="566">
        <v>20</v>
      </c>
    </row>
    <row r="2945" spans="10:11" x14ac:dyDescent="0.25">
      <c r="J2945" s="903">
        <f t="shared" si="50"/>
        <v>2941</v>
      </c>
      <c r="K2945" s="566">
        <v>20</v>
      </c>
    </row>
    <row r="2946" spans="10:11" x14ac:dyDescent="0.25">
      <c r="J2946" s="903">
        <f t="shared" si="50"/>
        <v>2942</v>
      </c>
      <c r="K2946" s="566">
        <v>20</v>
      </c>
    </row>
    <row r="2947" spans="10:11" x14ac:dyDescent="0.25">
      <c r="J2947" s="903">
        <f t="shared" si="50"/>
        <v>2943</v>
      </c>
      <c r="K2947" s="566">
        <v>20</v>
      </c>
    </row>
    <row r="2948" spans="10:11" x14ac:dyDescent="0.25">
      <c r="J2948" s="903">
        <f t="shared" si="50"/>
        <v>2944</v>
      </c>
      <c r="K2948" s="566">
        <v>20</v>
      </c>
    </row>
    <row r="2949" spans="10:11" x14ac:dyDescent="0.25">
      <c r="J2949" s="903">
        <f t="shared" si="50"/>
        <v>2945</v>
      </c>
      <c r="K2949" s="566">
        <v>20</v>
      </c>
    </row>
    <row r="2950" spans="10:11" x14ac:dyDescent="0.25">
      <c r="J2950" s="903">
        <f t="shared" si="50"/>
        <v>2946</v>
      </c>
      <c r="K2950" s="566">
        <v>20</v>
      </c>
    </row>
    <row r="2951" spans="10:11" x14ac:dyDescent="0.25">
      <c r="J2951" s="903">
        <f t="shared" si="50"/>
        <v>2947</v>
      </c>
      <c r="K2951" s="566">
        <v>20</v>
      </c>
    </row>
    <row r="2952" spans="10:11" x14ac:dyDescent="0.25">
      <c r="J2952" s="903">
        <f t="shared" si="50"/>
        <v>2948</v>
      </c>
      <c r="K2952" s="566">
        <v>20</v>
      </c>
    </row>
    <row r="2953" spans="10:11" x14ac:dyDescent="0.25">
      <c r="J2953" s="903">
        <f t="shared" si="50"/>
        <v>2949</v>
      </c>
      <c r="K2953" s="566">
        <v>20</v>
      </c>
    </row>
    <row r="2954" spans="10:11" x14ac:dyDescent="0.25">
      <c r="J2954" s="903">
        <f t="shared" si="50"/>
        <v>2950</v>
      </c>
      <c r="K2954" s="566">
        <v>20</v>
      </c>
    </row>
    <row r="2955" spans="10:11" x14ac:dyDescent="0.25">
      <c r="J2955" s="903">
        <f t="shared" si="50"/>
        <v>2951</v>
      </c>
      <c r="K2955" s="566">
        <v>20</v>
      </c>
    </row>
    <row r="2956" spans="10:11" x14ac:dyDescent="0.25">
      <c r="J2956" s="903">
        <f t="shared" si="50"/>
        <v>2952</v>
      </c>
      <c r="K2956" s="566">
        <v>20</v>
      </c>
    </row>
    <row r="2957" spans="10:11" x14ac:dyDescent="0.25">
      <c r="J2957" s="903">
        <f t="shared" si="50"/>
        <v>2953</v>
      </c>
      <c r="K2957" s="566">
        <v>20</v>
      </c>
    </row>
    <row r="2958" spans="10:11" x14ac:dyDescent="0.25">
      <c r="J2958" s="903">
        <f t="shared" si="50"/>
        <v>2954</v>
      </c>
      <c r="K2958" s="566">
        <v>20</v>
      </c>
    </row>
    <row r="2959" spans="10:11" x14ac:dyDescent="0.25">
      <c r="J2959" s="903">
        <f t="shared" si="50"/>
        <v>2955</v>
      </c>
      <c r="K2959" s="566">
        <v>20</v>
      </c>
    </row>
    <row r="2960" spans="10:11" x14ac:dyDescent="0.25">
      <c r="J2960" s="903">
        <f t="shared" si="50"/>
        <v>2956</v>
      </c>
      <c r="K2960" s="566">
        <v>20</v>
      </c>
    </row>
    <row r="2961" spans="10:11" x14ac:dyDescent="0.25">
      <c r="J2961" s="903">
        <f t="shared" si="50"/>
        <v>2957</v>
      </c>
      <c r="K2961" s="566">
        <v>20</v>
      </c>
    </row>
    <row r="2962" spans="10:11" x14ac:dyDescent="0.25">
      <c r="J2962" s="903">
        <f t="shared" si="50"/>
        <v>2958</v>
      </c>
      <c r="K2962" s="566">
        <v>20</v>
      </c>
    </row>
    <row r="2963" spans="10:11" x14ac:dyDescent="0.25">
      <c r="J2963" s="903">
        <f t="shared" si="50"/>
        <v>2959</v>
      </c>
      <c r="K2963" s="566">
        <v>20</v>
      </c>
    </row>
    <row r="2964" spans="10:11" x14ac:dyDescent="0.25">
      <c r="J2964" s="903">
        <f t="shared" si="50"/>
        <v>2960</v>
      </c>
      <c r="K2964" s="566">
        <v>20</v>
      </c>
    </row>
    <row r="2965" spans="10:11" x14ac:dyDescent="0.25">
      <c r="J2965" s="903">
        <f t="shared" ref="J2965:J3028" si="51">J2964+1</f>
        <v>2961</v>
      </c>
      <c r="K2965" s="566">
        <v>20</v>
      </c>
    </row>
    <row r="2966" spans="10:11" x14ac:dyDescent="0.25">
      <c r="J2966" s="903">
        <f t="shared" si="51"/>
        <v>2962</v>
      </c>
      <c r="K2966" s="566">
        <v>20</v>
      </c>
    </row>
    <row r="2967" spans="10:11" x14ac:dyDescent="0.25">
      <c r="J2967" s="903">
        <f t="shared" si="51"/>
        <v>2963</v>
      </c>
      <c r="K2967" s="566">
        <v>20</v>
      </c>
    </row>
    <row r="2968" spans="10:11" x14ac:dyDescent="0.25">
      <c r="J2968" s="903">
        <f t="shared" si="51"/>
        <v>2964</v>
      </c>
      <c r="K2968" s="566">
        <v>20</v>
      </c>
    </row>
    <row r="2969" spans="10:11" x14ac:dyDescent="0.25">
      <c r="J2969" s="903">
        <f t="shared" si="51"/>
        <v>2965</v>
      </c>
      <c r="K2969" s="566">
        <v>20</v>
      </c>
    </row>
    <row r="2970" spans="10:11" x14ac:dyDescent="0.25">
      <c r="J2970" s="903">
        <f t="shared" si="51"/>
        <v>2966</v>
      </c>
      <c r="K2970" s="566">
        <v>20</v>
      </c>
    </row>
    <row r="2971" spans="10:11" x14ac:dyDescent="0.25">
      <c r="J2971" s="903">
        <f t="shared" si="51"/>
        <v>2967</v>
      </c>
      <c r="K2971" s="566">
        <v>20</v>
      </c>
    </row>
    <row r="2972" spans="10:11" x14ac:dyDescent="0.25">
      <c r="J2972" s="903">
        <f t="shared" si="51"/>
        <v>2968</v>
      </c>
      <c r="K2972" s="566">
        <v>20</v>
      </c>
    </row>
    <row r="2973" spans="10:11" x14ac:dyDescent="0.25">
      <c r="J2973" s="903">
        <f t="shared" si="51"/>
        <v>2969</v>
      </c>
      <c r="K2973" s="566">
        <v>20</v>
      </c>
    </row>
    <row r="2974" spans="10:11" x14ac:dyDescent="0.25">
      <c r="J2974" s="903">
        <f t="shared" si="51"/>
        <v>2970</v>
      </c>
      <c r="K2974" s="566">
        <v>20</v>
      </c>
    </row>
    <row r="2975" spans="10:11" x14ac:dyDescent="0.25">
      <c r="J2975" s="903">
        <f t="shared" si="51"/>
        <v>2971</v>
      </c>
      <c r="K2975" s="566">
        <v>20</v>
      </c>
    </row>
    <row r="2976" spans="10:11" x14ac:dyDescent="0.25">
      <c r="J2976" s="903">
        <f t="shared" si="51"/>
        <v>2972</v>
      </c>
      <c r="K2976" s="566">
        <v>20</v>
      </c>
    </row>
    <row r="2977" spans="10:11" x14ac:dyDescent="0.25">
      <c r="J2977" s="903">
        <f t="shared" si="51"/>
        <v>2973</v>
      </c>
      <c r="K2977" s="566">
        <v>20</v>
      </c>
    </row>
    <row r="2978" spans="10:11" x14ac:dyDescent="0.25">
      <c r="J2978" s="903">
        <f t="shared" si="51"/>
        <v>2974</v>
      </c>
      <c r="K2978" s="566">
        <v>20</v>
      </c>
    </row>
    <row r="2979" spans="10:11" x14ac:dyDescent="0.25">
      <c r="J2979" s="903">
        <f t="shared" si="51"/>
        <v>2975</v>
      </c>
      <c r="K2979" s="566">
        <v>20</v>
      </c>
    </row>
    <row r="2980" spans="10:11" x14ac:dyDescent="0.25">
      <c r="J2980" s="903">
        <f t="shared" si="51"/>
        <v>2976</v>
      </c>
      <c r="K2980" s="566">
        <v>20</v>
      </c>
    </row>
    <row r="2981" spans="10:11" x14ac:dyDescent="0.25">
      <c r="J2981" s="903">
        <f t="shared" si="51"/>
        <v>2977</v>
      </c>
      <c r="K2981" s="566">
        <v>20</v>
      </c>
    </row>
    <row r="2982" spans="10:11" x14ac:dyDescent="0.25">
      <c r="J2982" s="903">
        <f t="shared" si="51"/>
        <v>2978</v>
      </c>
      <c r="K2982" s="566">
        <v>20</v>
      </c>
    </row>
    <row r="2983" spans="10:11" x14ac:dyDescent="0.25">
      <c r="J2983" s="903">
        <f t="shared" si="51"/>
        <v>2979</v>
      </c>
      <c r="K2983" s="566">
        <v>20</v>
      </c>
    </row>
    <row r="2984" spans="10:11" x14ac:dyDescent="0.25">
      <c r="J2984" s="903">
        <f t="shared" si="51"/>
        <v>2980</v>
      </c>
      <c r="K2984" s="566">
        <v>20</v>
      </c>
    </row>
    <row r="2985" spans="10:11" x14ac:dyDescent="0.25">
      <c r="J2985" s="903">
        <f t="shared" si="51"/>
        <v>2981</v>
      </c>
      <c r="K2985" s="566">
        <v>20</v>
      </c>
    </row>
    <row r="2986" spans="10:11" x14ac:dyDescent="0.25">
      <c r="J2986" s="903">
        <f t="shared" si="51"/>
        <v>2982</v>
      </c>
      <c r="K2986" s="566">
        <v>20</v>
      </c>
    </row>
    <row r="2987" spans="10:11" x14ac:dyDescent="0.25">
      <c r="J2987" s="903">
        <f t="shared" si="51"/>
        <v>2983</v>
      </c>
      <c r="K2987" s="566">
        <v>20</v>
      </c>
    </row>
    <row r="2988" spans="10:11" x14ac:dyDescent="0.25">
      <c r="J2988" s="903">
        <f t="shared" si="51"/>
        <v>2984</v>
      </c>
      <c r="K2988" s="566">
        <v>20</v>
      </c>
    </row>
    <row r="2989" spans="10:11" x14ac:dyDescent="0.25">
      <c r="J2989" s="903">
        <f t="shared" si="51"/>
        <v>2985</v>
      </c>
      <c r="K2989" s="566">
        <v>20</v>
      </c>
    </row>
    <row r="2990" spans="10:11" x14ac:dyDescent="0.25">
      <c r="J2990" s="903">
        <f t="shared" si="51"/>
        <v>2986</v>
      </c>
      <c r="K2990" s="566">
        <v>20</v>
      </c>
    </row>
    <row r="2991" spans="10:11" x14ac:dyDescent="0.25">
      <c r="J2991" s="903">
        <f t="shared" si="51"/>
        <v>2987</v>
      </c>
      <c r="K2991" s="566">
        <v>20</v>
      </c>
    </row>
    <row r="2992" spans="10:11" x14ac:dyDescent="0.25">
      <c r="J2992" s="903">
        <f t="shared" si="51"/>
        <v>2988</v>
      </c>
      <c r="K2992" s="566">
        <v>20</v>
      </c>
    </row>
    <row r="2993" spans="10:11" x14ac:dyDescent="0.25">
      <c r="J2993" s="903">
        <f t="shared" si="51"/>
        <v>2989</v>
      </c>
      <c r="K2993" s="566">
        <v>20</v>
      </c>
    </row>
    <row r="2994" spans="10:11" x14ac:dyDescent="0.25">
      <c r="J2994" s="903">
        <f t="shared" si="51"/>
        <v>2990</v>
      </c>
      <c r="K2994" s="566">
        <v>20</v>
      </c>
    </row>
    <row r="2995" spans="10:11" x14ac:dyDescent="0.25">
      <c r="J2995" s="903">
        <f t="shared" si="51"/>
        <v>2991</v>
      </c>
      <c r="K2995" s="566">
        <v>20</v>
      </c>
    </row>
    <row r="2996" spans="10:11" x14ac:dyDescent="0.25">
      <c r="J2996" s="903">
        <f t="shared" si="51"/>
        <v>2992</v>
      </c>
      <c r="K2996" s="566">
        <v>20</v>
      </c>
    </row>
    <row r="2997" spans="10:11" x14ac:dyDescent="0.25">
      <c r="J2997" s="903">
        <f t="shared" si="51"/>
        <v>2993</v>
      </c>
      <c r="K2997" s="566">
        <v>20</v>
      </c>
    </row>
    <row r="2998" spans="10:11" x14ac:dyDescent="0.25">
      <c r="J2998" s="903">
        <f t="shared" si="51"/>
        <v>2994</v>
      </c>
      <c r="K2998" s="566">
        <v>20</v>
      </c>
    </row>
    <row r="2999" spans="10:11" x14ac:dyDescent="0.25">
      <c r="J2999" s="903">
        <f t="shared" si="51"/>
        <v>2995</v>
      </c>
      <c r="K2999" s="566">
        <v>20</v>
      </c>
    </row>
    <row r="3000" spans="10:11" x14ac:dyDescent="0.25">
      <c r="J3000" s="903">
        <f t="shared" si="51"/>
        <v>2996</v>
      </c>
      <c r="K3000" s="566">
        <v>20</v>
      </c>
    </row>
    <row r="3001" spans="10:11" x14ac:dyDescent="0.25">
      <c r="J3001" s="903">
        <f t="shared" si="51"/>
        <v>2997</v>
      </c>
      <c r="K3001" s="566">
        <v>20</v>
      </c>
    </row>
    <row r="3002" spans="10:11" x14ac:dyDescent="0.25">
      <c r="J3002" s="903">
        <f t="shared" si="51"/>
        <v>2998</v>
      </c>
      <c r="K3002" s="566">
        <v>20</v>
      </c>
    </row>
    <row r="3003" spans="10:11" x14ac:dyDescent="0.25">
      <c r="J3003" s="903">
        <f t="shared" si="51"/>
        <v>2999</v>
      </c>
      <c r="K3003" s="566">
        <v>20</v>
      </c>
    </row>
    <row r="3004" spans="10:11" x14ac:dyDescent="0.25">
      <c r="J3004" s="903">
        <f t="shared" si="51"/>
        <v>3000</v>
      </c>
      <c r="K3004" s="566">
        <v>20</v>
      </c>
    </row>
    <row r="3005" spans="10:11" x14ac:dyDescent="0.25">
      <c r="J3005" s="903">
        <f t="shared" si="51"/>
        <v>3001</v>
      </c>
      <c r="K3005" s="566">
        <v>20</v>
      </c>
    </row>
    <row r="3006" spans="10:11" x14ac:dyDescent="0.25">
      <c r="J3006" s="903">
        <f t="shared" si="51"/>
        <v>3002</v>
      </c>
      <c r="K3006" s="566">
        <v>20</v>
      </c>
    </row>
    <row r="3007" spans="10:11" x14ac:dyDescent="0.25">
      <c r="J3007" s="903">
        <f t="shared" si="51"/>
        <v>3003</v>
      </c>
      <c r="K3007" s="566">
        <v>20</v>
      </c>
    </row>
    <row r="3008" spans="10:11" x14ac:dyDescent="0.25">
      <c r="J3008" s="903">
        <f t="shared" si="51"/>
        <v>3004</v>
      </c>
      <c r="K3008" s="566">
        <v>20</v>
      </c>
    </row>
    <row r="3009" spans="10:11" x14ac:dyDescent="0.25">
      <c r="J3009" s="903">
        <f t="shared" si="51"/>
        <v>3005</v>
      </c>
      <c r="K3009" s="566">
        <v>20</v>
      </c>
    </row>
    <row r="3010" spans="10:11" x14ac:dyDescent="0.25">
      <c r="J3010" s="903">
        <f t="shared" si="51"/>
        <v>3006</v>
      </c>
      <c r="K3010" s="566">
        <v>20</v>
      </c>
    </row>
    <row r="3011" spans="10:11" x14ac:dyDescent="0.25">
      <c r="J3011" s="903">
        <f t="shared" si="51"/>
        <v>3007</v>
      </c>
      <c r="K3011" s="566">
        <v>20</v>
      </c>
    </row>
    <row r="3012" spans="10:11" x14ac:dyDescent="0.25">
      <c r="J3012" s="903">
        <f t="shared" si="51"/>
        <v>3008</v>
      </c>
      <c r="K3012" s="566">
        <v>20</v>
      </c>
    </row>
    <row r="3013" spans="10:11" x14ac:dyDescent="0.25">
      <c r="J3013" s="903">
        <f t="shared" si="51"/>
        <v>3009</v>
      </c>
      <c r="K3013" s="566">
        <v>20</v>
      </c>
    </row>
    <row r="3014" spans="10:11" x14ac:dyDescent="0.25">
      <c r="J3014" s="903">
        <f t="shared" si="51"/>
        <v>3010</v>
      </c>
      <c r="K3014" s="566">
        <v>20</v>
      </c>
    </row>
    <row r="3015" spans="10:11" x14ac:dyDescent="0.25">
      <c r="J3015" s="903">
        <f t="shared" si="51"/>
        <v>3011</v>
      </c>
      <c r="K3015" s="566">
        <v>20</v>
      </c>
    </row>
    <row r="3016" spans="10:11" x14ac:dyDescent="0.25">
      <c r="J3016" s="903">
        <f t="shared" si="51"/>
        <v>3012</v>
      </c>
      <c r="K3016" s="566">
        <v>20</v>
      </c>
    </row>
    <row r="3017" spans="10:11" x14ac:dyDescent="0.25">
      <c r="J3017" s="903">
        <f t="shared" si="51"/>
        <v>3013</v>
      </c>
      <c r="K3017" s="566">
        <v>20</v>
      </c>
    </row>
    <row r="3018" spans="10:11" x14ac:dyDescent="0.25">
      <c r="J3018" s="903">
        <f t="shared" si="51"/>
        <v>3014</v>
      </c>
      <c r="K3018" s="566">
        <v>20</v>
      </c>
    </row>
    <row r="3019" spans="10:11" x14ac:dyDescent="0.25">
      <c r="J3019" s="903">
        <f t="shared" si="51"/>
        <v>3015</v>
      </c>
      <c r="K3019" s="566">
        <v>20</v>
      </c>
    </row>
    <row r="3020" spans="10:11" x14ac:dyDescent="0.25">
      <c r="J3020" s="903">
        <f t="shared" si="51"/>
        <v>3016</v>
      </c>
      <c r="K3020" s="566">
        <v>20</v>
      </c>
    </row>
    <row r="3021" spans="10:11" x14ac:dyDescent="0.25">
      <c r="J3021" s="903">
        <f t="shared" si="51"/>
        <v>3017</v>
      </c>
      <c r="K3021" s="566">
        <v>20</v>
      </c>
    </row>
    <row r="3022" spans="10:11" x14ac:dyDescent="0.25">
      <c r="J3022" s="903">
        <f t="shared" si="51"/>
        <v>3018</v>
      </c>
      <c r="K3022" s="566">
        <v>20</v>
      </c>
    </row>
    <row r="3023" spans="10:11" x14ac:dyDescent="0.25">
      <c r="J3023" s="903">
        <f t="shared" si="51"/>
        <v>3019</v>
      </c>
      <c r="K3023" s="566">
        <v>20</v>
      </c>
    </row>
    <row r="3024" spans="10:11" x14ac:dyDescent="0.25">
      <c r="J3024" s="903">
        <f t="shared" si="51"/>
        <v>3020</v>
      </c>
      <c r="K3024" s="566">
        <v>20</v>
      </c>
    </row>
    <row r="3025" spans="10:11" x14ac:dyDescent="0.25">
      <c r="J3025" s="903">
        <f t="shared" si="51"/>
        <v>3021</v>
      </c>
      <c r="K3025" s="566">
        <v>20</v>
      </c>
    </row>
    <row r="3026" spans="10:11" x14ac:dyDescent="0.25">
      <c r="J3026" s="903">
        <f t="shared" si="51"/>
        <v>3022</v>
      </c>
      <c r="K3026" s="566">
        <v>20</v>
      </c>
    </row>
    <row r="3027" spans="10:11" x14ac:dyDescent="0.25">
      <c r="J3027" s="903">
        <f t="shared" si="51"/>
        <v>3023</v>
      </c>
      <c r="K3027" s="566">
        <v>20</v>
      </c>
    </row>
    <row r="3028" spans="10:11" x14ac:dyDescent="0.25">
      <c r="J3028" s="903">
        <f t="shared" si="51"/>
        <v>3024</v>
      </c>
      <c r="K3028" s="566">
        <v>20</v>
      </c>
    </row>
    <row r="3029" spans="10:11" x14ac:dyDescent="0.25">
      <c r="J3029" s="903">
        <f t="shared" ref="J3029:J3092" si="52">J3028+1</f>
        <v>3025</v>
      </c>
      <c r="K3029" s="566">
        <v>20</v>
      </c>
    </row>
    <row r="3030" spans="10:11" x14ac:dyDescent="0.25">
      <c r="J3030" s="903">
        <f t="shared" si="52"/>
        <v>3026</v>
      </c>
      <c r="K3030" s="566">
        <v>20</v>
      </c>
    </row>
    <row r="3031" spans="10:11" x14ac:dyDescent="0.25">
      <c r="J3031" s="903">
        <f t="shared" si="52"/>
        <v>3027</v>
      </c>
      <c r="K3031" s="566">
        <v>20</v>
      </c>
    </row>
    <row r="3032" spans="10:11" x14ac:dyDescent="0.25">
      <c r="J3032" s="903">
        <f t="shared" si="52"/>
        <v>3028</v>
      </c>
      <c r="K3032" s="566">
        <v>20</v>
      </c>
    </row>
    <row r="3033" spans="10:11" x14ac:dyDescent="0.25">
      <c r="J3033" s="903">
        <f t="shared" si="52"/>
        <v>3029</v>
      </c>
      <c r="K3033" s="566">
        <v>20</v>
      </c>
    </row>
    <row r="3034" spans="10:11" x14ac:dyDescent="0.25">
      <c r="J3034" s="903">
        <f t="shared" si="52"/>
        <v>3030</v>
      </c>
      <c r="K3034" s="566">
        <v>20</v>
      </c>
    </row>
    <row r="3035" spans="10:11" x14ac:dyDescent="0.25">
      <c r="J3035" s="903">
        <f t="shared" si="52"/>
        <v>3031</v>
      </c>
      <c r="K3035" s="566">
        <v>20</v>
      </c>
    </row>
    <row r="3036" spans="10:11" x14ac:dyDescent="0.25">
      <c r="J3036" s="903">
        <f t="shared" si="52"/>
        <v>3032</v>
      </c>
      <c r="K3036" s="566">
        <v>20</v>
      </c>
    </row>
    <row r="3037" spans="10:11" x14ac:dyDescent="0.25">
      <c r="J3037" s="903">
        <f t="shared" si="52"/>
        <v>3033</v>
      </c>
      <c r="K3037" s="566">
        <v>20</v>
      </c>
    </row>
    <row r="3038" spans="10:11" x14ac:dyDescent="0.25">
      <c r="J3038" s="903">
        <f t="shared" si="52"/>
        <v>3034</v>
      </c>
      <c r="K3038" s="566">
        <v>20</v>
      </c>
    </row>
    <row r="3039" spans="10:11" x14ac:dyDescent="0.25">
      <c r="J3039" s="903">
        <f t="shared" si="52"/>
        <v>3035</v>
      </c>
      <c r="K3039" s="566">
        <v>20</v>
      </c>
    </row>
    <row r="3040" spans="10:11" x14ac:dyDescent="0.25">
      <c r="J3040" s="903">
        <f t="shared" si="52"/>
        <v>3036</v>
      </c>
      <c r="K3040" s="566">
        <v>20</v>
      </c>
    </row>
    <row r="3041" spans="10:11" x14ac:dyDescent="0.25">
      <c r="J3041" s="903">
        <f t="shared" si="52"/>
        <v>3037</v>
      </c>
      <c r="K3041" s="566">
        <v>20</v>
      </c>
    </row>
    <row r="3042" spans="10:11" x14ac:dyDescent="0.25">
      <c r="J3042" s="903">
        <f t="shared" si="52"/>
        <v>3038</v>
      </c>
      <c r="K3042" s="566">
        <v>20</v>
      </c>
    </row>
    <row r="3043" spans="10:11" x14ac:dyDescent="0.25">
      <c r="J3043" s="903">
        <f t="shared" si="52"/>
        <v>3039</v>
      </c>
      <c r="K3043" s="566">
        <v>20</v>
      </c>
    </row>
    <row r="3044" spans="10:11" x14ac:dyDescent="0.25">
      <c r="J3044" s="903">
        <f t="shared" si="52"/>
        <v>3040</v>
      </c>
      <c r="K3044" s="566">
        <v>20</v>
      </c>
    </row>
    <row r="3045" spans="10:11" x14ac:dyDescent="0.25">
      <c r="J3045" s="903">
        <f t="shared" si="52"/>
        <v>3041</v>
      </c>
      <c r="K3045" s="566">
        <v>20</v>
      </c>
    </row>
    <row r="3046" spans="10:11" x14ac:dyDescent="0.25">
      <c r="J3046" s="903">
        <f t="shared" si="52"/>
        <v>3042</v>
      </c>
      <c r="K3046" s="566">
        <v>20</v>
      </c>
    </row>
    <row r="3047" spans="10:11" x14ac:dyDescent="0.25">
      <c r="J3047" s="903">
        <f t="shared" si="52"/>
        <v>3043</v>
      </c>
      <c r="K3047" s="566">
        <v>20</v>
      </c>
    </row>
    <row r="3048" spans="10:11" x14ac:dyDescent="0.25">
      <c r="J3048" s="903">
        <f t="shared" si="52"/>
        <v>3044</v>
      </c>
      <c r="K3048" s="566">
        <v>20</v>
      </c>
    </row>
    <row r="3049" spans="10:11" x14ac:dyDescent="0.25">
      <c r="J3049" s="903">
        <f t="shared" si="52"/>
        <v>3045</v>
      </c>
      <c r="K3049" s="566">
        <v>20</v>
      </c>
    </row>
    <row r="3050" spans="10:11" x14ac:dyDescent="0.25">
      <c r="J3050" s="903">
        <f t="shared" si="52"/>
        <v>3046</v>
      </c>
      <c r="K3050" s="566">
        <v>20</v>
      </c>
    </row>
    <row r="3051" spans="10:11" x14ac:dyDescent="0.25">
      <c r="J3051" s="903">
        <f t="shared" si="52"/>
        <v>3047</v>
      </c>
      <c r="K3051" s="566">
        <v>20</v>
      </c>
    </row>
    <row r="3052" spans="10:11" x14ac:dyDescent="0.25">
      <c r="J3052" s="903">
        <f t="shared" si="52"/>
        <v>3048</v>
      </c>
      <c r="K3052" s="566">
        <v>20</v>
      </c>
    </row>
    <row r="3053" spans="10:11" x14ac:dyDescent="0.25">
      <c r="J3053" s="903">
        <f t="shared" si="52"/>
        <v>3049</v>
      </c>
      <c r="K3053" s="566">
        <v>20</v>
      </c>
    </row>
    <row r="3054" spans="10:11" x14ac:dyDescent="0.25">
      <c r="J3054" s="903">
        <f t="shared" si="52"/>
        <v>3050</v>
      </c>
      <c r="K3054" s="566">
        <v>20</v>
      </c>
    </row>
    <row r="3055" spans="10:11" x14ac:dyDescent="0.25">
      <c r="J3055" s="903">
        <f t="shared" si="52"/>
        <v>3051</v>
      </c>
      <c r="K3055" s="566">
        <v>20</v>
      </c>
    </row>
    <row r="3056" spans="10:11" x14ac:dyDescent="0.25">
      <c r="J3056" s="903">
        <f t="shared" si="52"/>
        <v>3052</v>
      </c>
      <c r="K3056" s="566">
        <v>20</v>
      </c>
    </row>
    <row r="3057" spans="10:11" x14ac:dyDescent="0.25">
      <c r="J3057" s="903">
        <f t="shared" si="52"/>
        <v>3053</v>
      </c>
      <c r="K3057" s="566">
        <v>20</v>
      </c>
    </row>
    <row r="3058" spans="10:11" x14ac:dyDescent="0.25">
      <c r="J3058" s="903">
        <f t="shared" si="52"/>
        <v>3054</v>
      </c>
      <c r="K3058" s="566">
        <v>20</v>
      </c>
    </row>
    <row r="3059" spans="10:11" x14ac:dyDescent="0.25">
      <c r="J3059" s="903">
        <f t="shared" si="52"/>
        <v>3055</v>
      </c>
      <c r="K3059" s="566">
        <v>20</v>
      </c>
    </row>
    <row r="3060" spans="10:11" x14ac:dyDescent="0.25">
      <c r="J3060" s="903">
        <f t="shared" si="52"/>
        <v>3056</v>
      </c>
      <c r="K3060" s="566">
        <v>20</v>
      </c>
    </row>
    <row r="3061" spans="10:11" x14ac:dyDescent="0.25">
      <c r="J3061" s="903">
        <f t="shared" si="52"/>
        <v>3057</v>
      </c>
      <c r="K3061" s="566">
        <v>20</v>
      </c>
    </row>
    <row r="3062" spans="10:11" x14ac:dyDescent="0.25">
      <c r="J3062" s="903">
        <f t="shared" si="52"/>
        <v>3058</v>
      </c>
      <c r="K3062" s="566">
        <v>20</v>
      </c>
    </row>
    <row r="3063" spans="10:11" x14ac:dyDescent="0.25">
      <c r="J3063" s="903">
        <f t="shared" si="52"/>
        <v>3059</v>
      </c>
      <c r="K3063" s="566">
        <v>20</v>
      </c>
    </row>
    <row r="3064" spans="10:11" x14ac:dyDescent="0.25">
      <c r="J3064" s="903">
        <f t="shared" si="52"/>
        <v>3060</v>
      </c>
      <c r="K3064" s="566">
        <v>20</v>
      </c>
    </row>
    <row r="3065" spans="10:11" x14ac:dyDescent="0.25">
      <c r="J3065" s="903">
        <f t="shared" si="52"/>
        <v>3061</v>
      </c>
      <c r="K3065" s="566">
        <v>20</v>
      </c>
    </row>
    <row r="3066" spans="10:11" x14ac:dyDescent="0.25">
      <c r="J3066" s="903">
        <f t="shared" si="52"/>
        <v>3062</v>
      </c>
      <c r="K3066" s="566">
        <v>20</v>
      </c>
    </row>
    <row r="3067" spans="10:11" x14ac:dyDescent="0.25">
      <c r="J3067" s="903">
        <f t="shared" si="52"/>
        <v>3063</v>
      </c>
      <c r="K3067" s="566">
        <v>20</v>
      </c>
    </row>
    <row r="3068" spans="10:11" x14ac:dyDescent="0.25">
      <c r="J3068" s="903">
        <f t="shared" si="52"/>
        <v>3064</v>
      </c>
      <c r="K3068" s="566">
        <v>20</v>
      </c>
    </row>
    <row r="3069" spans="10:11" x14ac:dyDescent="0.25">
      <c r="J3069" s="903">
        <f t="shared" si="52"/>
        <v>3065</v>
      </c>
      <c r="K3069" s="566">
        <v>20</v>
      </c>
    </row>
    <row r="3070" spans="10:11" x14ac:dyDescent="0.25">
      <c r="J3070" s="903">
        <f t="shared" si="52"/>
        <v>3066</v>
      </c>
      <c r="K3070" s="566">
        <v>20</v>
      </c>
    </row>
    <row r="3071" spans="10:11" x14ac:dyDescent="0.25">
      <c r="J3071" s="903">
        <f t="shared" si="52"/>
        <v>3067</v>
      </c>
      <c r="K3071" s="566">
        <v>20</v>
      </c>
    </row>
    <row r="3072" spans="10:11" x14ac:dyDescent="0.25">
      <c r="J3072" s="903">
        <f t="shared" si="52"/>
        <v>3068</v>
      </c>
      <c r="K3072" s="566">
        <v>20</v>
      </c>
    </row>
    <row r="3073" spans="10:11" x14ac:dyDescent="0.25">
      <c r="J3073" s="903">
        <f t="shared" si="52"/>
        <v>3069</v>
      </c>
      <c r="K3073" s="566">
        <v>20</v>
      </c>
    </row>
    <row r="3074" spans="10:11" x14ac:dyDescent="0.25">
      <c r="J3074" s="903">
        <f t="shared" si="52"/>
        <v>3070</v>
      </c>
      <c r="K3074" s="566">
        <v>20</v>
      </c>
    </row>
    <row r="3075" spans="10:11" x14ac:dyDescent="0.25">
      <c r="J3075" s="903">
        <f t="shared" si="52"/>
        <v>3071</v>
      </c>
      <c r="K3075" s="566">
        <v>20</v>
      </c>
    </row>
    <row r="3076" spans="10:11" x14ac:dyDescent="0.25">
      <c r="J3076" s="903">
        <f t="shared" si="52"/>
        <v>3072</v>
      </c>
      <c r="K3076" s="566">
        <v>20</v>
      </c>
    </row>
    <row r="3077" spans="10:11" x14ac:dyDescent="0.25">
      <c r="J3077" s="903">
        <f t="shared" si="52"/>
        <v>3073</v>
      </c>
      <c r="K3077" s="566">
        <v>20</v>
      </c>
    </row>
    <row r="3078" spans="10:11" x14ac:dyDescent="0.25">
      <c r="J3078" s="903">
        <f t="shared" si="52"/>
        <v>3074</v>
      </c>
      <c r="K3078" s="566">
        <v>20</v>
      </c>
    </row>
    <row r="3079" spans="10:11" x14ac:dyDescent="0.25">
      <c r="J3079" s="903">
        <f t="shared" si="52"/>
        <v>3075</v>
      </c>
      <c r="K3079" s="566">
        <v>20</v>
      </c>
    </row>
    <row r="3080" spans="10:11" x14ac:dyDescent="0.25">
      <c r="J3080" s="903">
        <f t="shared" si="52"/>
        <v>3076</v>
      </c>
      <c r="K3080" s="566">
        <v>20</v>
      </c>
    </row>
    <row r="3081" spans="10:11" x14ac:dyDescent="0.25">
      <c r="J3081" s="903">
        <f t="shared" si="52"/>
        <v>3077</v>
      </c>
      <c r="K3081" s="566">
        <v>20</v>
      </c>
    </row>
    <row r="3082" spans="10:11" x14ac:dyDescent="0.25">
      <c r="J3082" s="903">
        <f t="shared" si="52"/>
        <v>3078</v>
      </c>
      <c r="K3082" s="566">
        <v>20</v>
      </c>
    </row>
    <row r="3083" spans="10:11" x14ac:dyDescent="0.25">
      <c r="J3083" s="903">
        <f t="shared" si="52"/>
        <v>3079</v>
      </c>
      <c r="K3083" s="566">
        <v>20</v>
      </c>
    </row>
    <row r="3084" spans="10:11" x14ac:dyDescent="0.25">
      <c r="J3084" s="903">
        <f t="shared" si="52"/>
        <v>3080</v>
      </c>
      <c r="K3084" s="566">
        <v>20</v>
      </c>
    </row>
    <row r="3085" spans="10:11" x14ac:dyDescent="0.25">
      <c r="J3085" s="903">
        <f t="shared" si="52"/>
        <v>3081</v>
      </c>
      <c r="K3085" s="566">
        <v>20</v>
      </c>
    </row>
    <row r="3086" spans="10:11" x14ac:dyDescent="0.25">
      <c r="J3086" s="903">
        <f t="shared" si="52"/>
        <v>3082</v>
      </c>
      <c r="K3086" s="566">
        <v>20</v>
      </c>
    </row>
    <row r="3087" spans="10:11" x14ac:dyDescent="0.25">
      <c r="J3087" s="903">
        <f t="shared" si="52"/>
        <v>3083</v>
      </c>
      <c r="K3087" s="566">
        <v>20</v>
      </c>
    </row>
    <row r="3088" spans="10:11" x14ac:dyDescent="0.25">
      <c r="J3088" s="903">
        <f t="shared" si="52"/>
        <v>3084</v>
      </c>
      <c r="K3088" s="566">
        <v>20</v>
      </c>
    </row>
    <row r="3089" spans="10:11" x14ac:dyDescent="0.25">
      <c r="J3089" s="903">
        <f t="shared" si="52"/>
        <v>3085</v>
      </c>
      <c r="K3089" s="566">
        <v>20</v>
      </c>
    </row>
    <row r="3090" spans="10:11" x14ac:dyDescent="0.25">
      <c r="J3090" s="903">
        <f t="shared" si="52"/>
        <v>3086</v>
      </c>
      <c r="K3090" s="566">
        <v>20</v>
      </c>
    </row>
    <row r="3091" spans="10:11" x14ac:dyDescent="0.25">
      <c r="J3091" s="903">
        <f t="shared" si="52"/>
        <v>3087</v>
      </c>
      <c r="K3091" s="566">
        <v>20</v>
      </c>
    </row>
    <row r="3092" spans="10:11" x14ac:dyDescent="0.25">
      <c r="J3092" s="903">
        <f t="shared" si="52"/>
        <v>3088</v>
      </c>
      <c r="K3092" s="566">
        <v>20</v>
      </c>
    </row>
    <row r="3093" spans="10:11" x14ac:dyDescent="0.25">
      <c r="J3093" s="903">
        <f t="shared" ref="J3093:J3155" si="53">J3092+1</f>
        <v>3089</v>
      </c>
      <c r="K3093" s="566">
        <v>20</v>
      </c>
    </row>
    <row r="3094" spans="10:11" x14ac:dyDescent="0.25">
      <c r="J3094" s="903">
        <f t="shared" si="53"/>
        <v>3090</v>
      </c>
      <c r="K3094" s="566">
        <v>20</v>
      </c>
    </row>
    <row r="3095" spans="10:11" x14ac:dyDescent="0.25">
      <c r="J3095" s="903">
        <f t="shared" si="53"/>
        <v>3091</v>
      </c>
      <c r="K3095" s="566">
        <v>20</v>
      </c>
    </row>
    <row r="3096" spans="10:11" x14ac:dyDescent="0.25">
      <c r="J3096" s="903">
        <f t="shared" si="53"/>
        <v>3092</v>
      </c>
      <c r="K3096" s="566">
        <v>20</v>
      </c>
    </row>
    <row r="3097" spans="10:11" x14ac:dyDescent="0.25">
      <c r="J3097" s="903">
        <f t="shared" si="53"/>
        <v>3093</v>
      </c>
      <c r="K3097" s="566">
        <v>20</v>
      </c>
    </row>
    <row r="3098" spans="10:11" x14ac:dyDescent="0.25">
      <c r="J3098" s="903">
        <f t="shared" si="53"/>
        <v>3094</v>
      </c>
      <c r="K3098" s="566">
        <v>20</v>
      </c>
    </row>
    <row r="3099" spans="10:11" x14ac:dyDescent="0.25">
      <c r="J3099" s="903">
        <f t="shared" si="53"/>
        <v>3095</v>
      </c>
      <c r="K3099" s="566">
        <v>20</v>
      </c>
    </row>
    <row r="3100" spans="10:11" x14ac:dyDescent="0.25">
      <c r="J3100" s="903">
        <f t="shared" si="53"/>
        <v>3096</v>
      </c>
      <c r="K3100" s="566">
        <v>20</v>
      </c>
    </row>
    <row r="3101" spans="10:11" x14ac:dyDescent="0.25">
      <c r="J3101" s="903">
        <f t="shared" si="53"/>
        <v>3097</v>
      </c>
      <c r="K3101" s="566">
        <v>20</v>
      </c>
    </row>
    <row r="3102" spans="10:11" x14ac:dyDescent="0.25">
      <c r="J3102" s="903">
        <f t="shared" si="53"/>
        <v>3098</v>
      </c>
      <c r="K3102" s="566">
        <v>20</v>
      </c>
    </row>
    <row r="3103" spans="10:11" x14ac:dyDescent="0.25">
      <c r="J3103" s="903">
        <f t="shared" si="53"/>
        <v>3099</v>
      </c>
      <c r="K3103" s="566">
        <v>20</v>
      </c>
    </row>
    <row r="3104" spans="10:11" x14ac:dyDescent="0.25">
      <c r="J3104" s="903">
        <f t="shared" si="53"/>
        <v>3100</v>
      </c>
      <c r="K3104" s="566">
        <v>20</v>
      </c>
    </row>
    <row r="3105" spans="10:11" x14ac:dyDescent="0.25">
      <c r="J3105" s="903">
        <f t="shared" si="53"/>
        <v>3101</v>
      </c>
      <c r="K3105" s="566">
        <v>20</v>
      </c>
    </row>
    <row r="3106" spans="10:11" x14ac:dyDescent="0.25">
      <c r="J3106" s="903">
        <f t="shared" si="53"/>
        <v>3102</v>
      </c>
      <c r="K3106" s="566">
        <v>20</v>
      </c>
    </row>
    <row r="3107" spans="10:11" x14ac:dyDescent="0.25">
      <c r="J3107" s="903">
        <f t="shared" si="53"/>
        <v>3103</v>
      </c>
      <c r="K3107" s="566">
        <v>20</v>
      </c>
    </row>
    <row r="3108" spans="10:11" x14ac:dyDescent="0.25">
      <c r="J3108" s="903">
        <f t="shared" si="53"/>
        <v>3104</v>
      </c>
      <c r="K3108" s="566">
        <v>20</v>
      </c>
    </row>
    <row r="3109" spans="10:11" x14ac:dyDescent="0.25">
      <c r="J3109" s="903">
        <f t="shared" si="53"/>
        <v>3105</v>
      </c>
      <c r="K3109" s="566">
        <v>20</v>
      </c>
    </row>
    <row r="3110" spans="10:11" x14ac:dyDescent="0.25">
      <c r="J3110" s="903">
        <f t="shared" si="53"/>
        <v>3106</v>
      </c>
      <c r="K3110" s="566">
        <v>20</v>
      </c>
    </row>
    <row r="3111" spans="10:11" x14ac:dyDescent="0.25">
      <c r="J3111" s="903">
        <f t="shared" si="53"/>
        <v>3107</v>
      </c>
      <c r="K3111" s="566">
        <v>20</v>
      </c>
    </row>
    <row r="3112" spans="10:11" x14ac:dyDescent="0.25">
      <c r="J3112" s="903">
        <f t="shared" si="53"/>
        <v>3108</v>
      </c>
      <c r="K3112" s="566">
        <v>20</v>
      </c>
    </row>
    <row r="3113" spans="10:11" x14ac:dyDescent="0.25">
      <c r="J3113" s="903">
        <f t="shared" si="53"/>
        <v>3109</v>
      </c>
      <c r="K3113" s="566">
        <v>20</v>
      </c>
    </row>
    <row r="3114" spans="10:11" x14ac:dyDescent="0.25">
      <c r="J3114" s="903">
        <f t="shared" si="53"/>
        <v>3110</v>
      </c>
      <c r="K3114" s="566">
        <v>20</v>
      </c>
    </row>
    <row r="3115" spans="10:11" x14ac:dyDescent="0.25">
      <c r="J3115" s="903">
        <f t="shared" si="53"/>
        <v>3111</v>
      </c>
      <c r="K3115" s="566">
        <v>20</v>
      </c>
    </row>
    <row r="3116" spans="10:11" x14ac:dyDescent="0.25">
      <c r="J3116" s="903">
        <f t="shared" si="53"/>
        <v>3112</v>
      </c>
      <c r="K3116" s="566">
        <v>20</v>
      </c>
    </row>
    <row r="3117" spans="10:11" x14ac:dyDescent="0.25">
      <c r="J3117" s="903">
        <f t="shared" si="53"/>
        <v>3113</v>
      </c>
      <c r="K3117" s="566">
        <v>20</v>
      </c>
    </row>
    <row r="3118" spans="10:11" x14ac:dyDescent="0.25">
      <c r="J3118" s="903">
        <f t="shared" si="53"/>
        <v>3114</v>
      </c>
      <c r="K3118" s="566">
        <v>20</v>
      </c>
    </row>
    <row r="3119" spans="10:11" x14ac:dyDescent="0.25">
      <c r="J3119" s="903">
        <f t="shared" si="53"/>
        <v>3115</v>
      </c>
      <c r="K3119" s="566">
        <v>20</v>
      </c>
    </row>
    <row r="3120" spans="10:11" x14ac:dyDescent="0.25">
      <c r="J3120" s="903">
        <f t="shared" si="53"/>
        <v>3116</v>
      </c>
      <c r="K3120" s="566">
        <v>20</v>
      </c>
    </row>
    <row r="3121" spans="10:11" x14ac:dyDescent="0.25">
      <c r="J3121" s="903">
        <f t="shared" si="53"/>
        <v>3117</v>
      </c>
      <c r="K3121" s="566">
        <v>20</v>
      </c>
    </row>
    <row r="3122" spans="10:11" x14ac:dyDescent="0.25">
      <c r="J3122" s="903">
        <f t="shared" si="53"/>
        <v>3118</v>
      </c>
      <c r="K3122" s="566">
        <v>20</v>
      </c>
    </row>
    <row r="3123" spans="10:11" x14ac:dyDescent="0.25">
      <c r="J3123" s="903">
        <f t="shared" si="53"/>
        <v>3119</v>
      </c>
      <c r="K3123" s="566">
        <v>20</v>
      </c>
    </row>
    <row r="3124" spans="10:11" x14ac:dyDescent="0.25">
      <c r="J3124" s="903">
        <f t="shared" si="53"/>
        <v>3120</v>
      </c>
      <c r="K3124" s="566">
        <v>20</v>
      </c>
    </row>
    <row r="3125" spans="10:11" x14ac:dyDescent="0.25">
      <c r="J3125" s="903">
        <f t="shared" si="53"/>
        <v>3121</v>
      </c>
      <c r="K3125" s="566">
        <v>20</v>
      </c>
    </row>
    <row r="3126" spans="10:11" x14ac:dyDescent="0.25">
      <c r="J3126" s="903">
        <f t="shared" si="53"/>
        <v>3122</v>
      </c>
      <c r="K3126" s="566">
        <v>20</v>
      </c>
    </row>
    <row r="3127" spans="10:11" x14ac:dyDescent="0.25">
      <c r="J3127" s="903">
        <f t="shared" si="53"/>
        <v>3123</v>
      </c>
      <c r="K3127" s="566">
        <v>20</v>
      </c>
    </row>
    <row r="3128" spans="10:11" x14ac:dyDescent="0.25">
      <c r="J3128" s="903">
        <f t="shared" si="53"/>
        <v>3124</v>
      </c>
      <c r="K3128" s="566">
        <v>20</v>
      </c>
    </row>
    <row r="3129" spans="10:11" x14ac:dyDescent="0.25">
      <c r="J3129" s="903">
        <f t="shared" si="53"/>
        <v>3125</v>
      </c>
      <c r="K3129" s="566">
        <v>20</v>
      </c>
    </row>
    <row r="3130" spans="10:11" x14ac:dyDescent="0.25">
      <c r="J3130" s="903">
        <f t="shared" si="53"/>
        <v>3126</v>
      </c>
      <c r="K3130" s="566">
        <v>20</v>
      </c>
    </row>
    <row r="3131" spans="10:11" x14ac:dyDescent="0.25">
      <c r="J3131" s="903">
        <f t="shared" si="53"/>
        <v>3127</v>
      </c>
      <c r="K3131" s="566">
        <v>20</v>
      </c>
    </row>
    <row r="3132" spans="10:11" x14ac:dyDescent="0.25">
      <c r="J3132" s="903">
        <f t="shared" si="53"/>
        <v>3128</v>
      </c>
      <c r="K3132" s="566">
        <v>20</v>
      </c>
    </row>
    <row r="3133" spans="10:11" x14ac:dyDescent="0.25">
      <c r="J3133" s="903">
        <f t="shared" si="53"/>
        <v>3129</v>
      </c>
      <c r="K3133" s="566">
        <v>20</v>
      </c>
    </row>
    <row r="3134" spans="10:11" x14ac:dyDescent="0.25">
      <c r="J3134" s="903">
        <f t="shared" si="53"/>
        <v>3130</v>
      </c>
      <c r="K3134" s="566">
        <v>20</v>
      </c>
    </row>
    <row r="3135" spans="10:11" x14ac:dyDescent="0.25">
      <c r="J3135" s="903">
        <f t="shared" si="53"/>
        <v>3131</v>
      </c>
      <c r="K3135" s="566">
        <v>20</v>
      </c>
    </row>
    <row r="3136" spans="10:11" x14ac:dyDescent="0.25">
      <c r="J3136" s="903">
        <f t="shared" si="53"/>
        <v>3132</v>
      </c>
      <c r="K3136" s="566">
        <v>20</v>
      </c>
    </row>
    <row r="3137" spans="10:11" x14ac:dyDescent="0.25">
      <c r="J3137" s="903">
        <f t="shared" si="53"/>
        <v>3133</v>
      </c>
      <c r="K3137" s="566">
        <v>20</v>
      </c>
    </row>
    <row r="3138" spans="10:11" x14ac:dyDescent="0.25">
      <c r="J3138" s="903">
        <f t="shared" si="53"/>
        <v>3134</v>
      </c>
      <c r="K3138" s="566">
        <v>20</v>
      </c>
    </row>
    <row r="3139" spans="10:11" x14ac:dyDescent="0.25">
      <c r="J3139" s="903">
        <f t="shared" si="53"/>
        <v>3135</v>
      </c>
      <c r="K3139" s="566">
        <v>20</v>
      </c>
    </row>
    <row r="3140" spans="10:11" x14ac:dyDescent="0.25">
      <c r="J3140" s="903">
        <f t="shared" si="53"/>
        <v>3136</v>
      </c>
      <c r="K3140" s="566">
        <v>20</v>
      </c>
    </row>
    <row r="3141" spans="10:11" x14ac:dyDescent="0.25">
      <c r="J3141" s="903">
        <f t="shared" si="53"/>
        <v>3137</v>
      </c>
      <c r="K3141" s="566">
        <v>20</v>
      </c>
    </row>
    <row r="3142" spans="10:11" x14ac:dyDescent="0.25">
      <c r="J3142" s="903">
        <f t="shared" si="53"/>
        <v>3138</v>
      </c>
      <c r="K3142" s="566">
        <v>20</v>
      </c>
    </row>
    <row r="3143" spans="10:11" x14ac:dyDescent="0.25">
      <c r="J3143" s="903">
        <f t="shared" si="53"/>
        <v>3139</v>
      </c>
      <c r="K3143" s="566">
        <v>20</v>
      </c>
    </row>
    <row r="3144" spans="10:11" x14ac:dyDescent="0.25">
      <c r="J3144" s="903">
        <f t="shared" si="53"/>
        <v>3140</v>
      </c>
      <c r="K3144" s="566">
        <v>20</v>
      </c>
    </row>
    <row r="3145" spans="10:11" x14ac:dyDescent="0.25">
      <c r="J3145" s="903">
        <f t="shared" si="53"/>
        <v>3141</v>
      </c>
      <c r="K3145" s="566">
        <v>20</v>
      </c>
    </row>
    <row r="3146" spans="10:11" x14ac:dyDescent="0.25">
      <c r="J3146" s="903">
        <f t="shared" si="53"/>
        <v>3142</v>
      </c>
      <c r="K3146" s="566">
        <v>20</v>
      </c>
    </row>
    <row r="3147" spans="10:11" x14ac:dyDescent="0.25">
      <c r="J3147" s="903">
        <f t="shared" si="53"/>
        <v>3143</v>
      </c>
      <c r="K3147" s="566">
        <v>20</v>
      </c>
    </row>
    <row r="3148" spans="10:11" x14ac:dyDescent="0.25">
      <c r="J3148" s="903">
        <f t="shared" si="53"/>
        <v>3144</v>
      </c>
      <c r="K3148" s="566">
        <v>20</v>
      </c>
    </row>
    <row r="3149" spans="10:11" x14ac:dyDescent="0.25">
      <c r="J3149" s="903">
        <f t="shared" si="53"/>
        <v>3145</v>
      </c>
      <c r="K3149" s="566">
        <v>20</v>
      </c>
    </row>
    <row r="3150" spans="10:11" x14ac:dyDescent="0.25">
      <c r="J3150" s="903">
        <f t="shared" si="53"/>
        <v>3146</v>
      </c>
      <c r="K3150" s="566">
        <v>20</v>
      </c>
    </row>
    <row r="3151" spans="10:11" x14ac:dyDescent="0.25">
      <c r="J3151" s="903">
        <f t="shared" si="53"/>
        <v>3147</v>
      </c>
      <c r="K3151" s="566">
        <v>20</v>
      </c>
    </row>
    <row r="3152" spans="10:11" x14ac:dyDescent="0.25">
      <c r="J3152" s="903">
        <f t="shared" si="53"/>
        <v>3148</v>
      </c>
      <c r="K3152" s="566">
        <v>20</v>
      </c>
    </row>
    <row r="3153" spans="10:11" x14ac:dyDescent="0.25">
      <c r="J3153" s="903">
        <f t="shared" si="53"/>
        <v>3149</v>
      </c>
      <c r="K3153" s="566">
        <v>20</v>
      </c>
    </row>
    <row r="3154" spans="10:11" x14ac:dyDescent="0.25">
      <c r="J3154" s="903">
        <f t="shared" si="53"/>
        <v>3150</v>
      </c>
      <c r="K3154" s="566">
        <v>20</v>
      </c>
    </row>
    <row r="3155" spans="10:11" x14ac:dyDescent="0.25">
      <c r="J3155" s="903">
        <f t="shared" si="53"/>
        <v>3151</v>
      </c>
      <c r="K3155" s="566">
        <v>20</v>
      </c>
    </row>
  </sheetData>
  <conditionalFormatting sqref="B27:C52 F56:H101 F105:H150 F154:H199 F203:H248 F252:H297 F301:H346 F350:H395 F399:H444 F448:H493 F497:H542 F546:H591 F595:H640 F644:H689 F693:H738 F742:H787 F791:H836 F840:H885 F889:H934 F938:H983 F987:H1032 F1036:H1081 F1085:H1130 F1134:H1179 F1183:H1228 F1232:H1277 F1281:H1326 F1330:H1375 F1379:H1424 F1428:H1473 F1477:H1522 F1526:H1571 F1575:H1620 F1624:H1669 F1673:H1718 F1722:H1767 F1771:H1816 F1820:H1865 F1869:H1914 F1918:H1963 F1967:H2012 F2016:H2061 F2065:H2110 F2114:H2159 F2163:H2208 F2212:H2257 F2261:H2306 F2310:H2355 F2359:H2404 F2408:H2453 F2457:H2502 F2506:H2551 F2555:H2600 F2604:H2649 F2653:H2698 F2702:H2747 F2751:H2796 F2800:H2845 F2849:H2894 F2898:H2943 F2947:H2992 F2996:H3041 F3045:H3090 F3094:H3139 F3143:H3154 F6:H51 J5:K64 J65:J77 K65:K183">
    <cfRule type="cellIs" dxfId="20" priority="11" operator="lessThan">
      <formula>0</formula>
    </cfRule>
  </conditionalFormatting>
  <conditionalFormatting sqref="J79:J183 J184:K3155">
    <cfRule type="cellIs" dxfId="19" priority="9" operator="lessThan">
      <formula>0</formula>
    </cfRule>
  </conditionalFormatting>
  <conditionalFormatting sqref="J78">
    <cfRule type="cellIs" dxfId="18" priority="7" operator="lessThan">
      <formula>0</formula>
    </cfRule>
  </conditionalFormatting>
  <conditionalFormatting sqref="B6:C8">
    <cfRule type="cellIs" dxfId="17" priority="1" operator="lessThan">
      <formula>0</formula>
    </cfRule>
  </conditionalFormatting>
  <conditionalFormatting sqref="B9:C26">
    <cfRule type="cellIs" dxfId="16" priority="2" operator="lessThan">
      <formula>0</formula>
    </cfRule>
  </conditionalFormatting>
  <pageMargins left="0.7" right="0.7" top="0.75" bottom="0.75" header="0.3" footer="0.3"/>
  <pageSetup paperSize="9" scale="10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PK112"/>
  <sheetViews>
    <sheetView zoomScale="68" zoomScaleNormal="68" zoomScalePageLayoutView="85" workbookViewId="0">
      <pane xSplit="3" ySplit="3" topLeftCell="AY20" activePane="bottomRight" state="frozen"/>
      <selection activeCell="T18" sqref="T18"/>
      <selection pane="topRight" activeCell="T18" sqref="T18"/>
      <selection pane="bottomLeft" activeCell="T18" sqref="T18"/>
      <selection pane="bottomRight" activeCell="BD36" sqref="BD36"/>
    </sheetView>
  </sheetViews>
  <sheetFormatPr defaultColWidth="11.7109375" defaultRowHeight="12.75" x14ac:dyDescent="0.2"/>
  <cols>
    <col min="1" max="1" width="2.42578125" style="2" customWidth="1"/>
    <col min="2" max="2" width="31.7109375" style="2" customWidth="1"/>
    <col min="3" max="4" width="4.28515625" style="2" customWidth="1"/>
    <col min="5" max="16384" width="11.7109375" style="2"/>
  </cols>
  <sheetData>
    <row r="1" spans="1:124" ht="12.75" customHeight="1" x14ac:dyDescent="0.2">
      <c r="A1" s="1344" t="s">
        <v>298</v>
      </c>
      <c r="B1" s="1344"/>
      <c r="C1" s="1344"/>
      <c r="D1" s="745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42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42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42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87"/>
      <c r="AZ1" s="842"/>
      <c r="BA1" s="887"/>
      <c r="BB1" s="887"/>
      <c r="BC1" s="887"/>
      <c r="BD1" s="887"/>
      <c r="BE1" s="887"/>
      <c r="BF1" s="887"/>
      <c r="BG1" s="887"/>
      <c r="BH1" s="887"/>
      <c r="BI1" s="887"/>
      <c r="BJ1" s="887"/>
      <c r="BK1" s="887"/>
      <c r="BL1" s="842"/>
      <c r="BM1" s="887"/>
      <c r="BN1" s="887"/>
      <c r="BO1" s="887"/>
      <c r="BP1" s="887"/>
      <c r="BQ1" s="887"/>
      <c r="BR1" s="887"/>
      <c r="BS1" s="887"/>
      <c r="BT1" s="887"/>
      <c r="BU1" s="887"/>
      <c r="BV1" s="887"/>
      <c r="BW1" s="887"/>
      <c r="BX1" s="842"/>
      <c r="BY1" s="887"/>
      <c r="BZ1" s="887"/>
      <c r="CA1" s="887"/>
      <c r="CB1" s="887"/>
      <c r="CC1" s="887"/>
      <c r="CD1" s="887"/>
      <c r="CE1" s="887"/>
      <c r="CF1" s="887"/>
      <c r="CG1" s="887"/>
      <c r="CH1" s="887"/>
      <c r="CI1" s="887"/>
      <c r="CJ1" s="842"/>
      <c r="CK1" s="887"/>
      <c r="CL1" s="887"/>
      <c r="CM1" s="887"/>
      <c r="CN1" s="887"/>
      <c r="CO1" s="887"/>
      <c r="CP1" s="887"/>
      <c r="CQ1" s="887"/>
      <c r="CR1" s="887"/>
      <c r="CS1" s="887"/>
      <c r="CT1" s="887"/>
      <c r="CU1" s="887"/>
      <c r="CV1" s="842"/>
      <c r="CW1" s="887"/>
      <c r="CX1" s="887"/>
      <c r="CY1" s="887"/>
      <c r="CZ1" s="887"/>
      <c r="DA1" s="887"/>
      <c r="DB1" s="887"/>
      <c r="DC1" s="887"/>
      <c r="DD1" s="887"/>
      <c r="DE1" s="887"/>
      <c r="DF1" s="887"/>
      <c r="DG1" s="887"/>
      <c r="DH1" s="842"/>
      <c r="DI1" s="887"/>
      <c r="DJ1" s="887"/>
      <c r="DK1" s="887"/>
      <c r="DL1" s="887"/>
      <c r="DM1" s="887"/>
      <c r="DN1" s="887"/>
      <c r="DO1" s="887"/>
      <c r="DP1" s="887"/>
      <c r="DQ1" s="887"/>
      <c r="DR1" s="887"/>
      <c r="DS1" s="887"/>
      <c r="DT1" s="842"/>
    </row>
    <row r="2" spans="1:124" ht="39" customHeight="1" x14ac:dyDescent="0.2">
      <c r="A2" s="1344"/>
      <c r="B2" s="1344"/>
      <c r="C2" s="1344"/>
      <c r="D2" s="745"/>
      <c r="E2" s="1334" t="s">
        <v>454</v>
      </c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5"/>
      <c r="Q2" s="1340" t="s">
        <v>455</v>
      </c>
      <c r="R2" s="1340"/>
      <c r="S2" s="1340"/>
      <c r="T2" s="1340"/>
      <c r="U2" s="1340"/>
      <c r="V2" s="1340"/>
      <c r="W2" s="1340"/>
      <c r="X2" s="1340"/>
      <c r="Y2" s="1340"/>
      <c r="Z2" s="1340"/>
      <c r="AA2" s="1340"/>
      <c r="AB2" s="1341"/>
      <c r="AC2" s="1340" t="s">
        <v>456</v>
      </c>
      <c r="AD2" s="1340"/>
      <c r="AE2" s="1340"/>
      <c r="AF2" s="1340"/>
      <c r="AG2" s="1340"/>
      <c r="AH2" s="1340"/>
      <c r="AI2" s="1340"/>
      <c r="AJ2" s="1340"/>
      <c r="AK2" s="1340"/>
      <c r="AL2" s="1340"/>
      <c r="AM2" s="1340"/>
      <c r="AN2" s="1341"/>
      <c r="AO2" s="1340" t="s">
        <v>457</v>
      </c>
      <c r="AP2" s="1340"/>
      <c r="AQ2" s="1340"/>
      <c r="AR2" s="1340"/>
      <c r="AS2" s="1340"/>
      <c r="AT2" s="1340"/>
      <c r="AU2" s="1340"/>
      <c r="AV2" s="1340"/>
      <c r="AW2" s="1340"/>
      <c r="AX2" s="1340"/>
      <c r="AY2" s="1340"/>
      <c r="AZ2" s="1341"/>
      <c r="BA2" s="1340" t="s">
        <v>458</v>
      </c>
      <c r="BB2" s="1340"/>
      <c r="BC2" s="1340"/>
      <c r="BD2" s="1340"/>
      <c r="BE2" s="1340"/>
      <c r="BF2" s="1340"/>
      <c r="BG2" s="1340"/>
      <c r="BH2" s="1340"/>
      <c r="BI2" s="1340"/>
      <c r="BJ2" s="1340"/>
      <c r="BK2" s="1340"/>
      <c r="BL2" s="1341"/>
      <c r="BM2" s="1340" t="s">
        <v>459</v>
      </c>
      <c r="BN2" s="1340"/>
      <c r="BO2" s="1340"/>
      <c r="BP2" s="1340"/>
      <c r="BQ2" s="1340"/>
      <c r="BR2" s="1340"/>
      <c r="BS2" s="1340"/>
      <c r="BT2" s="1340"/>
      <c r="BU2" s="1340"/>
      <c r="BV2" s="1340"/>
      <c r="BW2" s="1340"/>
      <c r="BX2" s="1341"/>
      <c r="BY2" s="1340" t="s">
        <v>460</v>
      </c>
      <c r="BZ2" s="1340"/>
      <c r="CA2" s="1340"/>
      <c r="CB2" s="1340"/>
      <c r="CC2" s="1340"/>
      <c r="CD2" s="1340"/>
      <c r="CE2" s="1340"/>
      <c r="CF2" s="1340"/>
      <c r="CG2" s="1340"/>
      <c r="CH2" s="1340"/>
      <c r="CI2" s="1340"/>
      <c r="CJ2" s="1341"/>
      <c r="CK2" s="1340" t="s">
        <v>461</v>
      </c>
      <c r="CL2" s="1340"/>
      <c r="CM2" s="1340"/>
      <c r="CN2" s="1340"/>
      <c r="CO2" s="1340"/>
      <c r="CP2" s="1340"/>
      <c r="CQ2" s="1340"/>
      <c r="CR2" s="1340"/>
      <c r="CS2" s="1340"/>
      <c r="CT2" s="1340"/>
      <c r="CU2" s="1340"/>
      <c r="CV2" s="1341"/>
      <c r="CW2" s="1340" t="s">
        <v>462</v>
      </c>
      <c r="CX2" s="1340"/>
      <c r="CY2" s="1340"/>
      <c r="CZ2" s="1340"/>
      <c r="DA2" s="1340"/>
      <c r="DB2" s="1340"/>
      <c r="DC2" s="1340"/>
      <c r="DD2" s="1340"/>
      <c r="DE2" s="1340"/>
      <c r="DF2" s="1340"/>
      <c r="DG2" s="1340"/>
      <c r="DH2" s="1341"/>
      <c r="DI2" s="1340" t="s">
        <v>463</v>
      </c>
      <c r="DJ2" s="1340"/>
      <c r="DK2" s="1340"/>
      <c r="DL2" s="1340"/>
      <c r="DM2" s="1340"/>
      <c r="DN2" s="1340"/>
      <c r="DO2" s="1340"/>
      <c r="DP2" s="1340"/>
      <c r="DQ2" s="1340"/>
      <c r="DR2" s="1340"/>
      <c r="DS2" s="1340"/>
      <c r="DT2" s="1341"/>
    </row>
    <row r="3" spans="1:124" ht="18.75" customHeight="1" x14ac:dyDescent="0.25">
      <c r="A3" s="1344"/>
      <c r="B3" s="1344"/>
      <c r="C3" s="1344"/>
      <c r="D3" s="745"/>
      <c r="E3" s="840" t="s">
        <v>174</v>
      </c>
      <c r="F3" s="840" t="s">
        <v>175</v>
      </c>
      <c r="G3" s="840" t="s">
        <v>176</v>
      </c>
      <c r="H3" s="840" t="s">
        <v>177</v>
      </c>
      <c r="I3" s="840" t="s">
        <v>166</v>
      </c>
      <c r="J3" s="840" t="s">
        <v>167</v>
      </c>
      <c r="K3" s="840" t="s">
        <v>168</v>
      </c>
      <c r="L3" s="840" t="s">
        <v>169</v>
      </c>
      <c r="M3" s="840" t="s">
        <v>170</v>
      </c>
      <c r="N3" s="840" t="s">
        <v>171</v>
      </c>
      <c r="O3" s="840" t="s">
        <v>172</v>
      </c>
      <c r="P3" s="682" t="s">
        <v>173</v>
      </c>
      <c r="Q3" s="891" t="s">
        <v>174</v>
      </c>
      <c r="R3" s="891" t="s">
        <v>175</v>
      </c>
      <c r="S3" s="891" t="s">
        <v>176</v>
      </c>
      <c r="T3" s="891" t="s">
        <v>177</v>
      </c>
      <c r="U3" s="891" t="s">
        <v>166</v>
      </c>
      <c r="V3" s="891" t="s">
        <v>167</v>
      </c>
      <c r="W3" s="891" t="s">
        <v>168</v>
      </c>
      <c r="X3" s="891" t="s">
        <v>169</v>
      </c>
      <c r="Y3" s="891" t="s">
        <v>170</v>
      </c>
      <c r="Z3" s="891" t="s">
        <v>171</v>
      </c>
      <c r="AA3" s="891" t="s">
        <v>172</v>
      </c>
      <c r="AB3" s="846" t="s">
        <v>173</v>
      </c>
      <c r="AC3" s="891" t="s">
        <v>174</v>
      </c>
      <c r="AD3" s="891" t="s">
        <v>175</v>
      </c>
      <c r="AE3" s="891" t="s">
        <v>176</v>
      </c>
      <c r="AF3" s="891" t="s">
        <v>177</v>
      </c>
      <c r="AG3" s="891" t="s">
        <v>166</v>
      </c>
      <c r="AH3" s="891" t="s">
        <v>167</v>
      </c>
      <c r="AI3" s="891" t="s">
        <v>168</v>
      </c>
      <c r="AJ3" s="891" t="s">
        <v>169</v>
      </c>
      <c r="AK3" s="891" t="s">
        <v>170</v>
      </c>
      <c r="AL3" s="891" t="s">
        <v>171</v>
      </c>
      <c r="AM3" s="891" t="s">
        <v>172</v>
      </c>
      <c r="AN3" s="846" t="s">
        <v>173</v>
      </c>
      <c r="AO3" s="891" t="s">
        <v>174</v>
      </c>
      <c r="AP3" s="891" t="s">
        <v>175</v>
      </c>
      <c r="AQ3" s="891" t="s">
        <v>176</v>
      </c>
      <c r="AR3" s="891" t="s">
        <v>177</v>
      </c>
      <c r="AS3" s="891" t="s">
        <v>166</v>
      </c>
      <c r="AT3" s="891" t="s">
        <v>167</v>
      </c>
      <c r="AU3" s="891" t="s">
        <v>168</v>
      </c>
      <c r="AV3" s="891" t="s">
        <v>169</v>
      </c>
      <c r="AW3" s="891" t="s">
        <v>170</v>
      </c>
      <c r="AX3" s="891" t="s">
        <v>171</v>
      </c>
      <c r="AY3" s="891" t="s">
        <v>172</v>
      </c>
      <c r="AZ3" s="846" t="s">
        <v>173</v>
      </c>
      <c r="BA3" s="891" t="s">
        <v>174</v>
      </c>
      <c r="BB3" s="891" t="s">
        <v>175</v>
      </c>
      <c r="BC3" s="891" t="s">
        <v>176</v>
      </c>
      <c r="BD3" s="891" t="s">
        <v>177</v>
      </c>
      <c r="BE3" s="891" t="s">
        <v>166</v>
      </c>
      <c r="BF3" s="891" t="s">
        <v>167</v>
      </c>
      <c r="BG3" s="891" t="s">
        <v>168</v>
      </c>
      <c r="BH3" s="891" t="s">
        <v>169</v>
      </c>
      <c r="BI3" s="891" t="s">
        <v>170</v>
      </c>
      <c r="BJ3" s="891" t="s">
        <v>171</v>
      </c>
      <c r="BK3" s="891" t="s">
        <v>172</v>
      </c>
      <c r="BL3" s="846" t="s">
        <v>173</v>
      </c>
      <c r="BM3" s="891" t="s">
        <v>174</v>
      </c>
      <c r="BN3" s="891" t="s">
        <v>175</v>
      </c>
      <c r="BO3" s="891" t="s">
        <v>176</v>
      </c>
      <c r="BP3" s="891" t="s">
        <v>177</v>
      </c>
      <c r="BQ3" s="891" t="s">
        <v>166</v>
      </c>
      <c r="BR3" s="891" t="s">
        <v>167</v>
      </c>
      <c r="BS3" s="891" t="s">
        <v>168</v>
      </c>
      <c r="BT3" s="891" t="s">
        <v>169</v>
      </c>
      <c r="BU3" s="891" t="s">
        <v>170</v>
      </c>
      <c r="BV3" s="891" t="s">
        <v>171</v>
      </c>
      <c r="BW3" s="891" t="s">
        <v>172</v>
      </c>
      <c r="BX3" s="846" t="s">
        <v>173</v>
      </c>
      <c r="BY3" s="891" t="s">
        <v>174</v>
      </c>
      <c r="BZ3" s="891" t="s">
        <v>175</v>
      </c>
      <c r="CA3" s="891" t="s">
        <v>176</v>
      </c>
      <c r="CB3" s="891" t="s">
        <v>177</v>
      </c>
      <c r="CC3" s="891" t="s">
        <v>166</v>
      </c>
      <c r="CD3" s="891" t="s">
        <v>167</v>
      </c>
      <c r="CE3" s="891" t="s">
        <v>168</v>
      </c>
      <c r="CF3" s="891" t="s">
        <v>169</v>
      </c>
      <c r="CG3" s="891" t="s">
        <v>170</v>
      </c>
      <c r="CH3" s="891" t="s">
        <v>171</v>
      </c>
      <c r="CI3" s="891" t="s">
        <v>172</v>
      </c>
      <c r="CJ3" s="846" t="s">
        <v>173</v>
      </c>
      <c r="CK3" s="891" t="s">
        <v>174</v>
      </c>
      <c r="CL3" s="891" t="s">
        <v>175</v>
      </c>
      <c r="CM3" s="891" t="s">
        <v>176</v>
      </c>
      <c r="CN3" s="891" t="s">
        <v>177</v>
      </c>
      <c r="CO3" s="891" t="s">
        <v>166</v>
      </c>
      <c r="CP3" s="891" t="s">
        <v>167</v>
      </c>
      <c r="CQ3" s="891" t="s">
        <v>168</v>
      </c>
      <c r="CR3" s="891" t="s">
        <v>169</v>
      </c>
      <c r="CS3" s="891" t="s">
        <v>170</v>
      </c>
      <c r="CT3" s="891" t="s">
        <v>171</v>
      </c>
      <c r="CU3" s="891" t="s">
        <v>172</v>
      </c>
      <c r="CV3" s="846" t="s">
        <v>173</v>
      </c>
      <c r="CW3" s="891" t="s">
        <v>174</v>
      </c>
      <c r="CX3" s="891" t="s">
        <v>175</v>
      </c>
      <c r="CY3" s="891" t="s">
        <v>176</v>
      </c>
      <c r="CZ3" s="891" t="s">
        <v>177</v>
      </c>
      <c r="DA3" s="891" t="s">
        <v>166</v>
      </c>
      <c r="DB3" s="891" t="s">
        <v>167</v>
      </c>
      <c r="DC3" s="891" t="s">
        <v>168</v>
      </c>
      <c r="DD3" s="891" t="s">
        <v>169</v>
      </c>
      <c r="DE3" s="891" t="s">
        <v>170</v>
      </c>
      <c r="DF3" s="891" t="s">
        <v>171</v>
      </c>
      <c r="DG3" s="891" t="s">
        <v>172</v>
      </c>
      <c r="DH3" s="846" t="s">
        <v>173</v>
      </c>
      <c r="DI3" s="891" t="s">
        <v>174</v>
      </c>
      <c r="DJ3" s="891" t="s">
        <v>175</v>
      </c>
      <c r="DK3" s="891" t="s">
        <v>176</v>
      </c>
      <c r="DL3" s="891" t="s">
        <v>177</v>
      </c>
      <c r="DM3" s="891" t="s">
        <v>166</v>
      </c>
      <c r="DN3" s="891" t="s">
        <v>167</v>
      </c>
      <c r="DO3" s="891" t="s">
        <v>168</v>
      </c>
      <c r="DP3" s="891" t="s">
        <v>169</v>
      </c>
      <c r="DQ3" s="891" t="s">
        <v>170</v>
      </c>
      <c r="DR3" s="891" t="s">
        <v>171</v>
      </c>
      <c r="DS3" s="891" t="s">
        <v>172</v>
      </c>
      <c r="DT3" s="846" t="s">
        <v>173</v>
      </c>
    </row>
    <row r="4" spans="1:124" ht="18.75" customHeight="1" x14ac:dyDescent="0.25">
      <c r="A4" s="519"/>
      <c r="B4" s="519"/>
      <c r="C4" s="519"/>
      <c r="D4" s="745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682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46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46"/>
      <c r="AO4" s="891"/>
      <c r="AP4" s="891"/>
      <c r="AQ4" s="891"/>
      <c r="AR4" s="891"/>
      <c r="AS4" s="891"/>
      <c r="AT4" s="891"/>
      <c r="AU4" s="891"/>
      <c r="AV4" s="891"/>
      <c r="AW4" s="891"/>
      <c r="AX4" s="891"/>
      <c r="AY4" s="891"/>
      <c r="AZ4" s="846"/>
      <c r="BA4" s="891"/>
      <c r="BB4" s="891"/>
      <c r="BC4" s="891"/>
      <c r="BD4" s="891"/>
      <c r="BE4" s="891"/>
      <c r="BF4" s="891"/>
      <c r="BG4" s="891"/>
      <c r="BH4" s="891"/>
      <c r="BI4" s="891"/>
      <c r="BJ4" s="891"/>
      <c r="BK4" s="891"/>
      <c r="BL4" s="846"/>
      <c r="BM4" s="891"/>
      <c r="BN4" s="891"/>
      <c r="BO4" s="891"/>
      <c r="BP4" s="891"/>
      <c r="BQ4" s="891"/>
      <c r="BR4" s="891"/>
      <c r="BS4" s="891"/>
      <c r="BT4" s="891"/>
      <c r="BU4" s="891"/>
      <c r="BV4" s="891"/>
      <c r="BW4" s="891"/>
      <c r="BX4" s="846"/>
      <c r="BY4" s="891"/>
      <c r="BZ4" s="891"/>
      <c r="CA4" s="891"/>
      <c r="CB4" s="891"/>
      <c r="CC4" s="891"/>
      <c r="CD4" s="891"/>
      <c r="CE4" s="891"/>
      <c r="CF4" s="891"/>
      <c r="CG4" s="891"/>
      <c r="CH4" s="891"/>
      <c r="CI4" s="891"/>
      <c r="CJ4" s="846"/>
      <c r="CK4" s="891"/>
      <c r="CL4" s="891"/>
      <c r="CM4" s="891"/>
      <c r="CN4" s="891"/>
      <c r="CO4" s="891"/>
      <c r="CP4" s="891"/>
      <c r="CQ4" s="891"/>
      <c r="CR4" s="891"/>
      <c r="CS4" s="891"/>
      <c r="CT4" s="891"/>
      <c r="CU4" s="891"/>
      <c r="CV4" s="846"/>
      <c r="CW4" s="891"/>
      <c r="CX4" s="891"/>
      <c r="CY4" s="891"/>
      <c r="CZ4" s="891"/>
      <c r="DA4" s="891"/>
      <c r="DB4" s="891"/>
      <c r="DC4" s="891"/>
      <c r="DD4" s="891"/>
      <c r="DE4" s="891"/>
      <c r="DF4" s="891"/>
      <c r="DG4" s="891"/>
      <c r="DH4" s="846"/>
      <c r="DI4" s="891"/>
      <c r="DJ4" s="891"/>
      <c r="DK4" s="891"/>
      <c r="DL4" s="891"/>
      <c r="DM4" s="891"/>
      <c r="DN4" s="891"/>
      <c r="DO4" s="891"/>
      <c r="DP4" s="891"/>
      <c r="DQ4" s="891"/>
      <c r="DR4" s="891"/>
      <c r="DS4" s="891"/>
      <c r="DT4" s="846"/>
    </row>
    <row r="5" spans="1:124" ht="18.75" customHeight="1" x14ac:dyDescent="0.3">
      <c r="A5" s="744"/>
      <c r="B5" s="159" t="s">
        <v>556</v>
      </c>
      <c r="C5" s="744"/>
      <c r="D5" s="745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682"/>
      <c r="Q5" s="891"/>
      <c r="R5" s="891"/>
      <c r="S5" s="891"/>
      <c r="T5" s="891"/>
      <c r="U5" s="891"/>
      <c r="V5" s="891"/>
      <c r="W5" s="891"/>
      <c r="X5" s="891"/>
      <c r="Y5" s="891"/>
      <c r="Z5" s="891"/>
      <c r="AA5" s="891"/>
      <c r="AB5" s="846"/>
      <c r="AC5" s="891"/>
      <c r="AD5" s="891"/>
      <c r="AE5" s="891"/>
      <c r="AF5" s="891"/>
      <c r="AG5" s="891"/>
      <c r="AH5" s="891"/>
      <c r="AI5" s="891"/>
      <c r="AJ5" s="891"/>
      <c r="AK5" s="891"/>
      <c r="AL5" s="891"/>
      <c r="AM5" s="891"/>
      <c r="AN5" s="846"/>
      <c r="AO5" s="891"/>
      <c r="AP5" s="891"/>
      <c r="AQ5" s="891"/>
      <c r="AR5" s="891"/>
      <c r="AS5" s="891"/>
      <c r="AT5" s="891"/>
      <c r="AU5" s="891"/>
      <c r="AV5" s="891"/>
      <c r="AW5" s="891"/>
      <c r="AX5" s="891"/>
      <c r="AY5" s="891"/>
      <c r="AZ5" s="846"/>
      <c r="BA5" s="891"/>
      <c r="BB5" s="891"/>
      <c r="BC5" s="891"/>
      <c r="BD5" s="891"/>
      <c r="BE5" s="891"/>
      <c r="BF5" s="891"/>
      <c r="BG5" s="891"/>
      <c r="BH5" s="891"/>
      <c r="BI5" s="891"/>
      <c r="BJ5" s="891"/>
      <c r="BK5" s="891"/>
      <c r="BL5" s="846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46"/>
      <c r="BY5" s="891"/>
      <c r="BZ5" s="891"/>
      <c r="CA5" s="891"/>
      <c r="CB5" s="891"/>
      <c r="CC5" s="891"/>
      <c r="CD5" s="891"/>
      <c r="CE5" s="891"/>
      <c r="CF5" s="891"/>
      <c r="CG5" s="891"/>
      <c r="CH5" s="891"/>
      <c r="CI5" s="891"/>
      <c r="CJ5" s="846"/>
      <c r="CK5" s="891"/>
      <c r="CL5" s="891"/>
      <c r="CM5" s="891"/>
      <c r="CN5" s="891"/>
      <c r="CO5" s="891"/>
      <c r="CP5" s="891"/>
      <c r="CQ5" s="891"/>
      <c r="CR5" s="891"/>
      <c r="CS5" s="891"/>
      <c r="CT5" s="891"/>
      <c r="CU5" s="891"/>
      <c r="CV5" s="846"/>
      <c r="CW5" s="891"/>
      <c r="CX5" s="891"/>
      <c r="CY5" s="891"/>
      <c r="CZ5" s="891"/>
      <c r="DA5" s="891"/>
      <c r="DB5" s="891"/>
      <c r="DC5" s="891"/>
      <c r="DD5" s="891"/>
      <c r="DE5" s="891"/>
      <c r="DF5" s="891"/>
      <c r="DG5" s="891"/>
      <c r="DH5" s="846"/>
      <c r="DI5" s="891"/>
      <c r="DJ5" s="891"/>
      <c r="DK5" s="891"/>
      <c r="DL5" s="891"/>
      <c r="DM5" s="891"/>
      <c r="DN5" s="891"/>
      <c r="DO5" s="891"/>
      <c r="DP5" s="891"/>
      <c r="DQ5" s="891"/>
      <c r="DR5" s="891"/>
      <c r="DS5" s="891"/>
      <c r="DT5" s="846"/>
    </row>
    <row r="6" spans="1:124" ht="18.75" customHeight="1" x14ac:dyDescent="0.25">
      <c r="A6" s="744"/>
      <c r="B6" s="754" t="s">
        <v>559</v>
      </c>
      <c r="C6" s="944">
        <v>0.02</v>
      </c>
      <c r="D6" s="522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>
        <f>'Production Calcs'!E4</f>
        <v>480</v>
      </c>
      <c r="P6" s="881">
        <f>O6*(1+($C$6/100))^30</f>
        <v>482.8883676114686</v>
      </c>
      <c r="Q6" s="527">
        <f t="shared" ref="Q6:CB6" si="0">P6*(1+($C$6/100))^30</f>
        <v>485.79411578014339</v>
      </c>
      <c r="R6" s="527">
        <f t="shared" si="0"/>
        <v>488.7173490923546</v>
      </c>
      <c r="S6" s="527">
        <f t="shared" si="0"/>
        <v>491.65817276377362</v>
      </c>
      <c r="T6" s="527">
        <f t="shared" si="0"/>
        <v>494.61669264320011</v>
      </c>
      <c r="U6" s="527">
        <f t="shared" si="0"/>
        <v>497.59301521637161</v>
      </c>
      <c r="V6" s="527">
        <f t="shared" si="0"/>
        <v>500.58724760979652</v>
      </c>
      <c r="W6" s="527">
        <f t="shared" si="0"/>
        <v>503.59949759460972</v>
      </c>
      <c r="X6" s="527">
        <f t="shared" si="0"/>
        <v>506.62987359045161</v>
      </c>
      <c r="Y6" s="527">
        <f t="shared" si="0"/>
        <v>509.6784846693705</v>
      </c>
      <c r="Z6" s="527">
        <f t="shared" si="0"/>
        <v>512.74544055974843</v>
      </c>
      <c r="AA6" s="527">
        <f t="shared" si="0"/>
        <v>515.83085165025045</v>
      </c>
      <c r="AB6" s="760">
        <f t="shared" si="0"/>
        <v>518.93482899379808</v>
      </c>
      <c r="AC6" s="527">
        <f t="shared" si="0"/>
        <v>522.0574843115661</v>
      </c>
      <c r="AD6" s="527">
        <f t="shared" si="0"/>
        <v>525.19892999700426</v>
      </c>
      <c r="AE6" s="527">
        <f t="shared" si="0"/>
        <v>528.35927911988199</v>
      </c>
      <c r="AF6" s="527">
        <f t="shared" si="0"/>
        <v>531.53864543035854</v>
      </c>
      <c r="AG6" s="527">
        <f t="shared" si="0"/>
        <v>534.73714336307717</v>
      </c>
      <c r="AH6" s="527">
        <f t="shared" si="0"/>
        <v>537.95488804128365</v>
      </c>
      <c r="AI6" s="527">
        <f t="shared" si="0"/>
        <v>541.19199528097045</v>
      </c>
      <c r="AJ6" s="527">
        <f t="shared" si="0"/>
        <v>544.44858159504463</v>
      </c>
      <c r="AK6" s="527">
        <f t="shared" si="0"/>
        <v>547.72476419752195</v>
      </c>
      <c r="AL6" s="527">
        <f t="shared" si="0"/>
        <v>551.02066100774562</v>
      </c>
      <c r="AM6" s="527">
        <f t="shared" si="0"/>
        <v>554.33639065463058</v>
      </c>
      <c r="AN6" s="760">
        <f t="shared" si="0"/>
        <v>557.67207248093314</v>
      </c>
      <c r="AO6" s="527">
        <f t="shared" si="0"/>
        <v>561.02782654754662</v>
      </c>
      <c r="AP6" s="527">
        <f t="shared" si="0"/>
        <v>564.40377363782272</v>
      </c>
      <c r="AQ6" s="527">
        <f t="shared" si="0"/>
        <v>567.80003526191888</v>
      </c>
      <c r="AR6" s="527">
        <f t="shared" si="0"/>
        <v>571.21673366117147</v>
      </c>
      <c r="AS6" s="527">
        <f t="shared" si="0"/>
        <v>574.65399181249609</v>
      </c>
      <c r="AT6" s="527">
        <f t="shared" si="0"/>
        <v>578.11193343281343</v>
      </c>
      <c r="AU6" s="527">
        <f t="shared" si="0"/>
        <v>581.59068298350257</v>
      </c>
      <c r="AV6" s="527">
        <f t="shared" si="0"/>
        <v>585.09036567488056</v>
      </c>
      <c r="AW6" s="527">
        <f t="shared" si="0"/>
        <v>588.61110747070893</v>
      </c>
      <c r="AX6" s="527">
        <f t="shared" si="0"/>
        <v>592.15303509272781</v>
      </c>
      <c r="AY6" s="527">
        <f t="shared" si="0"/>
        <v>595.71627602521664</v>
      </c>
      <c r="AZ6" s="760">
        <f t="shared" si="0"/>
        <v>599.30095851958311</v>
      </c>
      <c r="BA6" s="527">
        <f t="shared" si="0"/>
        <v>602.90721159897896</v>
      </c>
      <c r="BB6" s="527">
        <f t="shared" si="0"/>
        <v>606.5351650629442</v>
      </c>
      <c r="BC6" s="527">
        <f t="shared" si="0"/>
        <v>610.18494949207866</v>
      </c>
      <c r="BD6" s="527">
        <f t="shared" si="0"/>
        <v>613.85669625274227</v>
      </c>
      <c r="BE6" s="527">
        <f t="shared" si="0"/>
        <v>617.55053750178297</v>
      </c>
      <c r="BF6" s="527">
        <f t="shared" si="0"/>
        <v>621.2666061912937</v>
      </c>
      <c r="BG6" s="527">
        <f t="shared" si="0"/>
        <v>625.00503607339772</v>
      </c>
      <c r="BH6" s="527">
        <f t="shared" si="0"/>
        <v>628.76596170506264</v>
      </c>
      <c r="BI6" s="527">
        <f t="shared" si="0"/>
        <v>632.5495184529434</v>
      </c>
      <c r="BJ6" s="527">
        <f t="shared" si="0"/>
        <v>636.3558424982549</v>
      </c>
      <c r="BK6" s="527">
        <f t="shared" si="0"/>
        <v>640.18507084167311</v>
      </c>
      <c r="BL6" s="760">
        <f t="shared" si="0"/>
        <v>644.03734130826649</v>
      </c>
      <c r="BM6" s="527">
        <f t="shared" si="0"/>
        <v>647.91279255245638</v>
      </c>
      <c r="BN6" s="527">
        <f t="shared" si="0"/>
        <v>651.81156406300784</v>
      </c>
      <c r="BO6" s="527">
        <f t="shared" si="0"/>
        <v>655.73379616805005</v>
      </c>
      <c r="BP6" s="527">
        <f t="shared" si="0"/>
        <v>659.67963004012745</v>
      </c>
      <c r="BQ6" s="527">
        <f t="shared" si="0"/>
        <v>663.64920770128049</v>
      </c>
      <c r="BR6" s="527">
        <f t="shared" si="0"/>
        <v>667.6426720281579</v>
      </c>
      <c r="BS6" s="527">
        <f t="shared" si="0"/>
        <v>671.66016675715889</v>
      </c>
      <c r="BT6" s="527">
        <f t="shared" si="0"/>
        <v>675.70183648960676</v>
      </c>
      <c r="BU6" s="527">
        <f t="shared" si="0"/>
        <v>679.76782669695342</v>
      </c>
      <c r="BV6" s="527">
        <f t="shared" si="0"/>
        <v>683.85828372601566</v>
      </c>
      <c r="BW6" s="527">
        <f t="shared" si="0"/>
        <v>687.97335480424215</v>
      </c>
      <c r="BX6" s="760">
        <f t="shared" si="0"/>
        <v>692.11318804501286</v>
      </c>
      <c r="BY6" s="527">
        <f t="shared" si="0"/>
        <v>696.27793245297005</v>
      </c>
      <c r="BZ6" s="527">
        <f t="shared" si="0"/>
        <v>700.46773792938143</v>
      </c>
      <c r="CA6" s="527">
        <f t="shared" si="0"/>
        <v>704.68275527753531</v>
      </c>
      <c r="CB6" s="527">
        <f t="shared" si="0"/>
        <v>708.92313620816878</v>
      </c>
      <c r="CC6" s="527">
        <f t="shared" ref="CC6:DT6" si="1">CB6*(1+($C$6/100))^30</f>
        <v>713.18903334492791</v>
      </c>
      <c r="CD6" s="527">
        <f t="shared" si="1"/>
        <v>717.48060022986135</v>
      </c>
      <c r="CE6" s="527">
        <f t="shared" si="1"/>
        <v>721.79799132894664</v>
      </c>
      <c r="CF6" s="527">
        <f t="shared" si="1"/>
        <v>726.14136203764997</v>
      </c>
      <c r="CG6" s="527">
        <f t="shared" si="1"/>
        <v>730.51086868651919</v>
      </c>
      <c r="CH6" s="527">
        <f t="shared" si="1"/>
        <v>734.90666854681069</v>
      </c>
      <c r="CI6" s="527">
        <f t="shared" si="1"/>
        <v>739.32891983615002</v>
      </c>
      <c r="CJ6" s="760">
        <f t="shared" si="1"/>
        <v>743.77778172422666</v>
      </c>
      <c r="CK6" s="527">
        <f t="shared" si="1"/>
        <v>748.25341433852293</v>
      </c>
      <c r="CL6" s="527">
        <f t="shared" si="1"/>
        <v>752.75597877007749</v>
      </c>
      <c r="CM6" s="527">
        <f t="shared" si="1"/>
        <v>757.28563707928333</v>
      </c>
      <c r="CN6" s="527">
        <f t="shared" si="1"/>
        <v>761.84255230172118</v>
      </c>
      <c r="CO6" s="527">
        <f t="shared" si="1"/>
        <v>766.42688845402711</v>
      </c>
      <c r="CP6" s="527">
        <f t="shared" si="1"/>
        <v>771.03881053979637</v>
      </c>
      <c r="CQ6" s="527">
        <f t="shared" si="1"/>
        <v>775.67848455552223</v>
      </c>
      <c r="CR6" s="527">
        <f t="shared" si="1"/>
        <v>780.34607749657062</v>
      </c>
      <c r="CS6" s="527">
        <f t="shared" si="1"/>
        <v>785.04175736319075</v>
      </c>
      <c r="CT6" s="527">
        <f t="shared" si="1"/>
        <v>789.76569316656207</v>
      </c>
      <c r="CU6" s="527">
        <f t="shared" si="1"/>
        <v>794.51805493487734</v>
      </c>
      <c r="CV6" s="760">
        <f t="shared" si="1"/>
        <v>799.29901371946255</v>
      </c>
      <c r="CW6" s="527">
        <f t="shared" si="1"/>
        <v>804.10874160093351</v>
      </c>
      <c r="CX6" s="527">
        <f t="shared" si="1"/>
        <v>808.94741169538952</v>
      </c>
      <c r="CY6" s="527">
        <f t="shared" si="1"/>
        <v>813.81519816064429</v>
      </c>
      <c r="CZ6" s="527">
        <f t="shared" si="1"/>
        <v>818.71227620249442</v>
      </c>
      <c r="DA6" s="527">
        <f t="shared" si="1"/>
        <v>823.63882208102564</v>
      </c>
      <c r="DB6" s="527">
        <f t="shared" si="1"/>
        <v>828.59501311695681</v>
      </c>
      <c r="DC6" s="527">
        <f t="shared" si="1"/>
        <v>833.58102769802224</v>
      </c>
      <c r="DD6" s="527">
        <f t="shared" si="1"/>
        <v>838.59704528539237</v>
      </c>
      <c r="DE6" s="527">
        <f t="shared" si="1"/>
        <v>843.6432464201331</v>
      </c>
      <c r="DF6" s="527">
        <f t="shared" si="1"/>
        <v>848.71981272970413</v>
      </c>
      <c r="DG6" s="527">
        <f t="shared" si="1"/>
        <v>853.8269269344961</v>
      </c>
      <c r="DH6" s="760">
        <f t="shared" si="1"/>
        <v>858.96477285440722</v>
      </c>
      <c r="DI6" s="527">
        <f t="shared" si="1"/>
        <v>864.13353541545962</v>
      </c>
      <c r="DJ6" s="527">
        <f t="shared" si="1"/>
        <v>869.33340065645518</v>
      </c>
      <c r="DK6" s="527">
        <f t="shared" si="1"/>
        <v>874.56455573567177</v>
      </c>
      <c r="DL6" s="527">
        <f t="shared" si="1"/>
        <v>879.82718893759954</v>
      </c>
      <c r="DM6" s="527">
        <f t="shared" si="1"/>
        <v>885.12148967971791</v>
      </c>
      <c r="DN6" s="527">
        <f t="shared" si="1"/>
        <v>890.44764851931313</v>
      </c>
      <c r="DO6" s="527">
        <f t="shared" si="1"/>
        <v>895.80585716033715</v>
      </c>
      <c r="DP6" s="527">
        <f t="shared" si="1"/>
        <v>901.19630846030748</v>
      </c>
      <c r="DQ6" s="527">
        <f t="shared" si="1"/>
        <v>906.61919643724866</v>
      </c>
      <c r="DR6" s="527">
        <f t="shared" si="1"/>
        <v>912.07471627667576</v>
      </c>
      <c r="DS6" s="527">
        <f t="shared" si="1"/>
        <v>917.56306433861937</v>
      </c>
      <c r="DT6" s="760">
        <f t="shared" si="1"/>
        <v>923.08443816469332</v>
      </c>
    </row>
    <row r="7" spans="1:124" ht="18.75" customHeight="1" x14ac:dyDescent="0.25">
      <c r="A7" s="745"/>
      <c r="B7" s="110"/>
      <c r="C7" s="110"/>
      <c r="D7" s="110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7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61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61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61"/>
      <c r="BA7" s="750"/>
      <c r="BB7" s="750"/>
      <c r="BC7" s="750"/>
      <c r="BD7" s="750"/>
      <c r="BE7" s="750"/>
      <c r="BF7" s="750"/>
      <c r="BG7" s="750"/>
      <c r="BH7" s="750"/>
      <c r="BI7" s="750"/>
      <c r="BJ7" s="750"/>
      <c r="BK7" s="750"/>
      <c r="BL7" s="761"/>
      <c r="BM7" s="750"/>
      <c r="BN7" s="750"/>
      <c r="BO7" s="750"/>
      <c r="BP7" s="750"/>
      <c r="BQ7" s="750"/>
      <c r="BR7" s="750"/>
      <c r="BS7" s="750"/>
      <c r="BT7" s="750"/>
      <c r="BU7" s="750"/>
      <c r="BV7" s="750"/>
      <c r="BW7" s="750"/>
      <c r="BX7" s="761"/>
      <c r="BY7" s="750"/>
      <c r="BZ7" s="750"/>
      <c r="CA7" s="750"/>
      <c r="CB7" s="750"/>
      <c r="CC7" s="750"/>
      <c r="CD7" s="750"/>
      <c r="CE7" s="750"/>
      <c r="CF7" s="750"/>
      <c r="CG7" s="750"/>
      <c r="CH7" s="750"/>
      <c r="CI7" s="750"/>
      <c r="CJ7" s="761"/>
      <c r="CK7" s="750"/>
      <c r="CL7" s="750"/>
      <c r="CM7" s="750"/>
      <c r="CN7" s="750"/>
      <c r="CO7" s="750"/>
      <c r="CP7" s="750"/>
      <c r="CQ7" s="750"/>
      <c r="CR7" s="750"/>
      <c r="CS7" s="750"/>
      <c r="CT7" s="750"/>
      <c r="CU7" s="750"/>
      <c r="CV7" s="761"/>
      <c r="CW7" s="750"/>
      <c r="CX7" s="750"/>
      <c r="CY7" s="750"/>
      <c r="CZ7" s="750"/>
      <c r="DA7" s="750"/>
      <c r="DB7" s="750"/>
      <c r="DC7" s="750"/>
      <c r="DD7" s="750"/>
      <c r="DE7" s="750"/>
      <c r="DF7" s="750"/>
      <c r="DG7" s="750"/>
      <c r="DH7" s="761"/>
      <c r="DI7" s="750"/>
      <c r="DJ7" s="750"/>
      <c r="DK7" s="750"/>
      <c r="DL7" s="750"/>
      <c r="DM7" s="750"/>
      <c r="DN7" s="750"/>
      <c r="DO7" s="750"/>
      <c r="DP7" s="750"/>
      <c r="DQ7" s="750"/>
      <c r="DR7" s="750"/>
      <c r="DS7" s="750"/>
      <c r="DT7" s="761"/>
    </row>
    <row r="8" spans="1:124" ht="18.75" customHeight="1" x14ac:dyDescent="0.3">
      <c r="B8" s="159" t="s">
        <v>1380</v>
      </c>
      <c r="C8" s="123"/>
      <c r="D8" s="123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682"/>
      <c r="Q8" s="889"/>
      <c r="R8" s="889"/>
      <c r="S8" s="889"/>
      <c r="T8" s="889" t="s">
        <v>692</v>
      </c>
      <c r="U8" s="889"/>
      <c r="V8" s="889"/>
      <c r="W8" s="889"/>
      <c r="X8" s="889"/>
      <c r="Y8" s="889"/>
      <c r="Z8" s="889"/>
      <c r="AA8" s="889"/>
      <c r="AB8" s="726"/>
      <c r="AC8" s="889"/>
      <c r="AD8" s="889"/>
      <c r="AE8" s="876"/>
      <c r="AF8" s="876"/>
      <c r="AG8" s="876"/>
      <c r="AH8" s="876"/>
      <c r="AI8" s="876"/>
      <c r="AJ8" s="876"/>
      <c r="AK8" s="876"/>
      <c r="AL8" s="876"/>
      <c r="AM8" s="889"/>
      <c r="AN8" s="726"/>
      <c r="AO8" s="889"/>
      <c r="AP8" s="889"/>
      <c r="AQ8" s="889"/>
      <c r="AR8" s="889"/>
      <c r="AS8" s="889"/>
      <c r="AT8" s="889"/>
      <c r="AU8" s="889"/>
      <c r="AV8" s="889"/>
      <c r="AW8" s="889"/>
      <c r="AX8" s="889"/>
      <c r="AY8" s="889"/>
      <c r="AZ8" s="726"/>
      <c r="BA8" s="889"/>
      <c r="BB8" s="889"/>
      <c r="BC8" s="889"/>
      <c r="BD8" s="889"/>
      <c r="BE8" s="889"/>
      <c r="BF8" s="889"/>
      <c r="BG8" s="889"/>
      <c r="BH8" s="889"/>
      <c r="BI8" s="889"/>
      <c r="BJ8" s="889"/>
      <c r="BK8" s="889"/>
      <c r="BL8" s="726"/>
      <c r="BM8" s="889"/>
      <c r="BN8" s="889"/>
      <c r="BO8" s="889"/>
      <c r="BP8" s="889"/>
      <c r="BQ8" s="889"/>
      <c r="BR8" s="889"/>
      <c r="BS8" s="889"/>
      <c r="BT8" s="889"/>
      <c r="BU8" s="889"/>
      <c r="BV8" s="889"/>
      <c r="BW8" s="889"/>
      <c r="BX8" s="726"/>
      <c r="BY8" s="889"/>
      <c r="BZ8" s="889"/>
      <c r="CA8" s="889"/>
      <c r="CB8" s="889"/>
      <c r="CC8" s="889"/>
      <c r="CD8" s="889"/>
      <c r="CE8" s="889"/>
      <c r="CF8" s="889"/>
      <c r="CG8" s="889"/>
      <c r="CH8" s="889"/>
      <c r="CI8" s="889"/>
      <c r="CJ8" s="726"/>
      <c r="CK8" s="889"/>
      <c r="CL8" s="889"/>
      <c r="CM8" s="889"/>
      <c r="CN8" s="889"/>
      <c r="CO8" s="889"/>
      <c r="CP8" s="889"/>
      <c r="CQ8" s="889"/>
      <c r="CR8" s="889"/>
      <c r="CS8" s="889"/>
      <c r="CT8" s="889"/>
      <c r="CU8" s="889"/>
      <c r="CV8" s="726"/>
      <c r="CW8" s="889"/>
      <c r="CX8" s="889"/>
      <c r="CY8" s="889"/>
      <c r="CZ8" s="889"/>
      <c r="DA8" s="889"/>
      <c r="DB8" s="889"/>
      <c r="DC8" s="889"/>
      <c r="DD8" s="889"/>
      <c r="DE8" s="889"/>
      <c r="DF8" s="889"/>
      <c r="DG8" s="889"/>
      <c r="DH8" s="726"/>
      <c r="DI8" s="889"/>
      <c r="DJ8" s="889"/>
      <c r="DK8" s="889"/>
      <c r="DL8" s="889"/>
      <c r="DM8" s="889"/>
      <c r="DN8" s="889"/>
      <c r="DO8" s="889"/>
      <c r="DP8" s="889"/>
      <c r="DQ8" s="889"/>
      <c r="DR8" s="889"/>
      <c r="DS8" s="889"/>
      <c r="DT8" s="726"/>
    </row>
    <row r="9" spans="1:124" s="265" customFormat="1" ht="15" x14ac:dyDescent="0.25">
      <c r="B9" s="754" t="s">
        <v>381</v>
      </c>
      <c r="C9" s="522"/>
      <c r="D9" s="522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>
        <f>'Batch 1'!D65</f>
        <v>386.21357635521116</v>
      </c>
      <c r="P9" s="498">
        <f>'Batch 1'!E65</f>
        <v>774.59921166435799</v>
      </c>
      <c r="Q9" s="527">
        <f>'Batch 1'!F65</f>
        <v>1727.4126660341183</v>
      </c>
      <c r="R9" s="527">
        <f>'Batch 1'!G65</f>
        <v>2876.193717819373</v>
      </c>
      <c r="S9" s="527">
        <f>'Batch 1'!H65</f>
        <v>4877.6637748177809</v>
      </c>
      <c r="T9" s="527">
        <f>'Batch 1'!I65</f>
        <v>7582.4464486942707</v>
      </c>
      <c r="U9" s="527">
        <f>'Batch 1'!J65</f>
        <v>10947.557448285772</v>
      </c>
      <c r="V9" s="527">
        <f>'Batch 1'!K65</f>
        <v>14777.566715740049</v>
      </c>
      <c r="W9" s="527">
        <f>'Batch 1'!L65</f>
        <v>18282.157217645108</v>
      </c>
      <c r="X9" s="527">
        <f>'Batch 1'!M65</f>
        <v>21761.054398516255</v>
      </c>
      <c r="Y9" s="527">
        <f>'Batch 1'!N65</f>
        <v>25755.143841784902</v>
      </c>
      <c r="Z9" s="527">
        <f>'Batch 1'!O65</f>
        <v>30122.001244316016</v>
      </c>
      <c r="AA9" s="527">
        <f>'Batch 1'!P65</f>
        <v>34375.647769436408</v>
      </c>
      <c r="AB9" s="760">
        <f>'Batch 1'!Q65</f>
        <v>38586.761355000403</v>
      </c>
      <c r="AC9" s="527">
        <f>'Batch 1'!R65</f>
        <v>43862.779575090302</v>
      </c>
      <c r="AD9" s="527">
        <f>'Batch 1'!S65</f>
        <v>49652.295512299097</v>
      </c>
      <c r="AE9" s="527">
        <f>'Batch 1'!T65</f>
        <v>56330.349550382169</v>
      </c>
      <c r="AF9" s="527">
        <f>'Batch 1'!U65</f>
        <v>63642.857595308109</v>
      </c>
      <c r="AG9" s="527">
        <f>'Batch 1'!V65</f>
        <v>72060.625299458508</v>
      </c>
      <c r="AH9" s="527">
        <f>'Batch 1'!W65</f>
        <v>80989.361514584467</v>
      </c>
      <c r="AI9" s="527">
        <f>'Batch 1'!X65</f>
        <v>90676.224074173966</v>
      </c>
      <c r="AJ9" s="527">
        <f>'Batch 1'!Y65</f>
        <v>101158.92376415871</v>
      </c>
      <c r="AK9" s="527">
        <f>'Batch 1'!Z65</f>
        <v>112259.74651758214</v>
      </c>
      <c r="AL9" s="527">
        <f>'Batch 1'!AA65</f>
        <v>80200.522208424445</v>
      </c>
      <c r="AM9" s="527">
        <f>'Batch 1'!AB65</f>
        <v>39517.058399403235</v>
      </c>
      <c r="AN9" s="760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760"/>
      <c r="BA9" s="527"/>
      <c r="BB9" s="527"/>
      <c r="BC9" s="527"/>
      <c r="BD9" s="527"/>
      <c r="BE9" s="527"/>
      <c r="BF9" s="527"/>
      <c r="BG9" s="527"/>
      <c r="BH9" s="527"/>
      <c r="BI9" s="527"/>
      <c r="BJ9" s="527"/>
      <c r="BK9" s="527"/>
      <c r="BL9" s="760"/>
      <c r="BM9" s="527"/>
      <c r="BN9" s="527"/>
      <c r="BO9" s="527"/>
      <c r="BP9" s="527"/>
      <c r="BQ9" s="527"/>
      <c r="BR9" s="527"/>
      <c r="BS9" s="527"/>
      <c r="BT9" s="527"/>
      <c r="BU9" s="527"/>
      <c r="BV9" s="527"/>
      <c r="BW9" s="312"/>
      <c r="BX9" s="313"/>
      <c r="BY9" s="28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3"/>
      <c r="CK9" s="28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3"/>
      <c r="CW9" s="28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3"/>
      <c r="DI9" s="28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3"/>
    </row>
    <row r="10" spans="1:124" s="265" customFormat="1" ht="15" x14ac:dyDescent="0.25">
      <c r="B10" s="754" t="s">
        <v>382</v>
      </c>
      <c r="C10" s="522"/>
      <c r="D10" s="522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98"/>
      <c r="Q10" s="527"/>
      <c r="R10" s="527">
        <f>Batch2!D65</f>
        <v>374.93951993042316</v>
      </c>
      <c r="S10" s="527">
        <f>Batch2!E65</f>
        <v>818.33650829608689</v>
      </c>
      <c r="T10" s="527">
        <f>Batch2!F65</f>
        <v>1774.7943355500429</v>
      </c>
      <c r="U10" s="527">
        <f>Batch2!G65</f>
        <v>3009.8285746996035</v>
      </c>
      <c r="V10" s="527">
        <f>Batch2!H65</f>
        <v>5104.2917298193124</v>
      </c>
      <c r="W10" s="527">
        <f>Batch2!I65</f>
        <v>7934.7450924523491</v>
      </c>
      <c r="X10" s="527">
        <f>Batch2!J65</f>
        <v>11456.207218197287</v>
      </c>
      <c r="Y10" s="527">
        <f>Batch2!K65</f>
        <v>15309.276297160888</v>
      </c>
      <c r="Z10" s="527">
        <f>Batch2!L65</f>
        <v>19076.072781425817</v>
      </c>
      <c r="AA10" s="527">
        <f>Batch2!M65</f>
        <v>22706.04352455803</v>
      </c>
      <c r="AB10" s="760">
        <f>Batch2!N65</f>
        <v>26569.819916727836</v>
      </c>
      <c r="AC10" s="527">
        <f>Batch2!O65</f>
        <v>31074.807949411279</v>
      </c>
      <c r="AD10" s="527">
        <f>Batch2!P65</f>
        <v>35309.935494588819</v>
      </c>
      <c r="AE10" s="527">
        <f>Batch2!Q65</f>
        <v>40137.909039860402</v>
      </c>
      <c r="AF10" s="527">
        <f>Batch2!R65</f>
        <v>45434.850572732939</v>
      </c>
      <c r="AG10" s="527">
        <f>Batch2!S65</f>
        <v>51648.301138268471</v>
      </c>
      <c r="AH10" s="527">
        <f>Batch2!T65</f>
        <v>58594.810708830191</v>
      </c>
      <c r="AI10" s="527">
        <f>Batch2!U65</f>
        <v>66075.307655533747</v>
      </c>
      <c r="AJ10" s="527">
        <f>Batch2!V65</f>
        <v>74814.805092329523</v>
      </c>
      <c r="AK10" s="527">
        <f>Batch2!W65</f>
        <v>83763.149921808974</v>
      </c>
      <c r="AL10" s="527">
        <f>Batch2!X65</f>
        <v>93446.657971275461</v>
      </c>
      <c r="AM10" s="527">
        <f>Batch2!Y65</f>
        <v>104249.63595748162</v>
      </c>
      <c r="AN10" s="760">
        <f>Batch2!Z65</f>
        <v>114874.0103877619</v>
      </c>
      <c r="AO10" s="527">
        <f>Batch2!AA65</f>
        <v>82068.202602181569</v>
      </c>
      <c r="AP10" s="527">
        <f>Batch2!AB65</f>
        <v>40287.447879136133</v>
      </c>
      <c r="AQ10" s="527">
        <f>Batch2!AC65</f>
        <v>0</v>
      </c>
      <c r="AR10" s="527"/>
      <c r="AS10" s="527"/>
      <c r="AT10" s="527"/>
      <c r="AU10" s="527"/>
      <c r="AV10" s="527"/>
      <c r="AW10" s="527"/>
      <c r="AX10" s="527"/>
      <c r="AY10" s="527"/>
      <c r="AZ10" s="760"/>
      <c r="BA10" s="527"/>
      <c r="BB10" s="527"/>
      <c r="BC10" s="527"/>
      <c r="BD10" s="527"/>
      <c r="BE10" s="527"/>
      <c r="BF10" s="527"/>
      <c r="BG10" s="527"/>
      <c r="BH10" s="527"/>
      <c r="BI10" s="527"/>
      <c r="BJ10" s="527"/>
      <c r="BK10" s="527"/>
      <c r="BL10" s="760"/>
      <c r="BM10" s="527"/>
      <c r="BN10" s="527"/>
      <c r="BO10" s="527"/>
      <c r="BP10" s="527"/>
      <c r="BQ10" s="527"/>
      <c r="BR10" s="527"/>
      <c r="BS10" s="527"/>
      <c r="BT10" s="527"/>
      <c r="BU10" s="527"/>
      <c r="BV10" s="527"/>
      <c r="BW10" s="312"/>
      <c r="BX10" s="313"/>
      <c r="BY10" s="28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3"/>
      <c r="CK10" s="28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3"/>
      <c r="CW10" s="28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3"/>
      <c r="DI10" s="28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3"/>
    </row>
    <row r="11" spans="1:124" s="265" customFormat="1" ht="15" x14ac:dyDescent="0.25">
      <c r="B11" s="754" t="s">
        <v>383</v>
      </c>
      <c r="C11" s="522"/>
      <c r="D11" s="522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98"/>
      <c r="Q11" s="527"/>
      <c r="R11" s="527"/>
      <c r="S11" s="527"/>
      <c r="T11" s="527"/>
      <c r="U11" s="527">
        <f>Batch3!D65</f>
        <v>386.21357635521116</v>
      </c>
      <c r="V11" s="527">
        <f>Batch3!E65</f>
        <v>842.9430687640421</v>
      </c>
      <c r="W11" s="527">
        <f>Batch3!F65</f>
        <v>1828.1606264256973</v>
      </c>
      <c r="X11" s="527">
        <f>Batch3!G65</f>
        <v>3100.3311101122463</v>
      </c>
      <c r="Y11" s="527">
        <f>Batch3!H65</f>
        <v>5162.1439609663485</v>
      </c>
      <c r="Z11" s="527">
        <f>Batch3!I65</f>
        <v>8149.3210943607801</v>
      </c>
      <c r="AA11" s="527">
        <f>Batch3!J65</f>
        <v>11766.0126515506</v>
      </c>
      <c r="AB11" s="760">
        <f>Batch3!K65</f>
        <v>15409.882288173772</v>
      </c>
      <c r="AC11" s="527">
        <f>Batch3!L65</f>
        <v>19201.432541714763</v>
      </c>
      <c r="AD11" s="527">
        <f>Batch3!M65</f>
        <v>22725.721282784547</v>
      </c>
      <c r="AE11" s="527">
        <f>Batch3!N65</f>
        <v>27050.180741411074</v>
      </c>
      <c r="AF11" s="527">
        <f>Batch3!O65</f>
        <v>31475.147800830189</v>
      </c>
      <c r="AG11" s="527">
        <f>Batch3!P65</f>
        <v>35919.877484782242</v>
      </c>
      <c r="AH11" s="527">
        <f>Batch3!Q65</f>
        <v>40831.249194099044</v>
      </c>
      <c r="AI11" s="527">
        <f>Batch3!R65</f>
        <v>46220.628759994775</v>
      </c>
      <c r="AJ11" s="527">
        <f>Batch3!S65</f>
        <v>52541.538552543985</v>
      </c>
      <c r="AK11" s="527">
        <f>Batch3!T65</f>
        <v>59362.203192919136</v>
      </c>
      <c r="AL11" s="527">
        <f>Batch3!U65</f>
        <v>67213.787106106058</v>
      </c>
      <c r="AM11" s="527">
        <f>Batch3!V65</f>
        <v>76103.866334998689</v>
      </c>
      <c r="AN11" s="760">
        <f>Batch3!W65</f>
        <v>84555.756368881193</v>
      </c>
      <c r="AO11" s="527">
        <f>Batch3!X65</f>
        <v>94330.894340544357</v>
      </c>
      <c r="AP11" s="527">
        <f>Batch3!Y65</f>
        <v>104858.60422648006</v>
      </c>
      <c r="AQ11" s="527">
        <f>Batch3!Z65</f>
        <v>116777.78678344676</v>
      </c>
      <c r="AR11" s="527">
        <f>Batch3!AA65</f>
        <v>83133.692056832893</v>
      </c>
      <c r="AS11" s="527">
        <f>Batch3!AB65</f>
        <v>40962.313879083267</v>
      </c>
      <c r="AT11" s="527">
        <f>Batch3!AC65</f>
        <v>0</v>
      </c>
      <c r="AU11" s="527">
        <f>Batch3!AD65</f>
        <v>0</v>
      </c>
      <c r="AV11" s="527">
        <f>Batch3!AE65</f>
        <v>0</v>
      </c>
      <c r="AW11" s="527">
        <f>Batch3!AF65</f>
        <v>0</v>
      </c>
      <c r="AX11" s="527">
        <f>Batch3!AG65</f>
        <v>0</v>
      </c>
      <c r="AY11" s="527">
        <f>Batch3!AH65</f>
        <v>0</v>
      </c>
      <c r="AZ11" s="760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760"/>
      <c r="BM11" s="527"/>
      <c r="BN11" s="527"/>
      <c r="BO11" s="527"/>
      <c r="BP11" s="527"/>
      <c r="BQ11" s="527"/>
      <c r="BR11" s="527"/>
      <c r="BS11" s="527"/>
      <c r="BT11" s="527"/>
      <c r="BU11" s="527"/>
      <c r="BV11" s="527"/>
      <c r="BW11" s="312"/>
      <c r="BX11" s="313"/>
      <c r="BY11" s="28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3"/>
      <c r="CK11" s="28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3"/>
      <c r="CW11" s="28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3"/>
      <c r="DI11" s="28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3"/>
    </row>
    <row r="12" spans="1:124" s="265" customFormat="1" ht="15" x14ac:dyDescent="0.25">
      <c r="B12" s="754" t="s">
        <v>492</v>
      </c>
      <c r="C12" s="522"/>
      <c r="D12" s="522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98"/>
      <c r="Q12" s="527"/>
      <c r="R12" s="527"/>
      <c r="S12" s="527"/>
      <c r="T12" s="527"/>
      <c r="U12" s="527"/>
      <c r="V12" s="527"/>
      <c r="W12" s="527"/>
      <c r="X12" s="527">
        <f>Batch4!D65</f>
        <v>386.21357635521116</v>
      </c>
      <c r="Y12" s="527">
        <f>Batch4!E65</f>
        <v>819.51677207586727</v>
      </c>
      <c r="Z12" s="527">
        <f>Batch4!F65</f>
        <v>1827.5820976753873</v>
      </c>
      <c r="AA12" s="527">
        <f>Batch4!G65</f>
        <v>3099.3499979185176</v>
      </c>
      <c r="AB12" s="760">
        <f>Batch4!H65</f>
        <v>4974.4980987861909</v>
      </c>
      <c r="AC12" s="527">
        <f>Batch4!I65</f>
        <v>7853.0902270123961</v>
      </c>
      <c r="AD12" s="527">
        <f>Batch4!J65</f>
        <v>11197.104213948423</v>
      </c>
      <c r="AE12" s="527">
        <f>Batch4!K65</f>
        <v>15114.417560843807</v>
      </c>
      <c r="AF12" s="527">
        <f>Batch4!L65</f>
        <v>18698.894304849327</v>
      </c>
      <c r="AG12" s="527">
        <f>Batch4!M65</f>
        <v>22257.092055154364</v>
      </c>
      <c r="AH12" s="527">
        <f>Batch4!N65</f>
        <v>26492.376430147819</v>
      </c>
      <c r="AI12" s="527">
        <f>Batch4!O65</f>
        <v>30826.095829281872</v>
      </c>
      <c r="AJ12" s="527">
        <f>Batch4!P65</f>
        <v>35179.170326016902</v>
      </c>
      <c r="AK12" s="527">
        <f>Batch4!Q65</f>
        <v>39821.714316208876</v>
      </c>
      <c r="AL12" s="527">
        <f>Batch4!R65</f>
        <v>45266.589265795861</v>
      </c>
      <c r="AM12" s="527">
        <f>Batch4!S65</f>
        <v>51457.029228246603</v>
      </c>
      <c r="AN12" s="760">
        <f>Batch4!T65</f>
        <v>57658.077261380313</v>
      </c>
      <c r="AO12" s="527">
        <f>Batch4!U65</f>
        <v>65412.879969103866</v>
      </c>
      <c r="AP12" s="527">
        <f>Batch4!V65</f>
        <v>73763.804615238565</v>
      </c>
      <c r="AQ12" s="527">
        <f>Batch4!W65</f>
        <v>82903.574786487763</v>
      </c>
      <c r="AR12" s="527">
        <f>Batch4!X65</f>
        <v>92155.949525014817</v>
      </c>
      <c r="AS12" s="527">
        <f>Batch4!Y65</f>
        <v>102809.71409648494</v>
      </c>
      <c r="AT12" s="527">
        <f>Batch4!Z65</f>
        <v>114496.00116834835</v>
      </c>
      <c r="AU12" s="527">
        <f>Batch4!AA65</f>
        <v>81509.296973741715</v>
      </c>
      <c r="AV12" s="527">
        <f>Batch4!AB65</f>
        <v>40161.928624790307</v>
      </c>
      <c r="AW12" s="527">
        <f>Batch4!AC65</f>
        <v>0</v>
      </c>
      <c r="AX12" s="527">
        <f>Batch4!AD65</f>
        <v>0</v>
      </c>
      <c r="AY12" s="527">
        <f>Batch4!AE65</f>
        <v>0</v>
      </c>
      <c r="AZ12" s="760">
        <f>Batch4!AF65</f>
        <v>0</v>
      </c>
      <c r="BA12" s="527"/>
      <c r="BB12" s="527"/>
      <c r="BC12" s="527"/>
      <c r="BD12" s="527"/>
      <c r="BE12" s="527"/>
      <c r="BF12" s="527"/>
      <c r="BG12" s="527"/>
      <c r="BH12" s="527"/>
      <c r="BI12" s="527"/>
      <c r="BJ12" s="527"/>
      <c r="BK12" s="527"/>
      <c r="BL12" s="760"/>
      <c r="BM12" s="527"/>
      <c r="BN12" s="527"/>
      <c r="BO12" s="527"/>
      <c r="BP12" s="527"/>
      <c r="BQ12" s="527"/>
      <c r="BR12" s="527"/>
      <c r="BS12" s="527"/>
      <c r="BT12" s="527"/>
      <c r="BU12" s="527"/>
      <c r="BV12" s="527"/>
      <c r="BW12" s="312"/>
      <c r="BX12" s="313"/>
      <c r="BY12" s="28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3"/>
      <c r="CK12" s="28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3"/>
      <c r="CW12" s="28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3"/>
      <c r="DI12" s="28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3"/>
    </row>
    <row r="13" spans="1:124" s="265" customFormat="1" ht="15" x14ac:dyDescent="0.25">
      <c r="B13" s="524" t="s">
        <v>370</v>
      </c>
      <c r="C13" s="525"/>
      <c r="D13" s="525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>
        <f>SUM(O9:O12)</f>
        <v>386.21357635521116</v>
      </c>
      <c r="P13" s="498">
        <f>SUM(P9:P12)</f>
        <v>774.59921166435799</v>
      </c>
      <c r="Q13" s="527">
        <f>SUM(Q9:Q12)</f>
        <v>1727.4126660341183</v>
      </c>
      <c r="R13" s="527">
        <f t="shared" ref="R13:W13" si="2">SUM(R9:R12)</f>
        <v>3251.1332377497961</v>
      </c>
      <c r="S13" s="527">
        <f t="shared" si="2"/>
        <v>5696.0002831138681</v>
      </c>
      <c r="T13" s="527">
        <f t="shared" si="2"/>
        <v>9357.2407842443135</v>
      </c>
      <c r="U13" s="527">
        <f t="shared" si="2"/>
        <v>14343.599599340585</v>
      </c>
      <c r="V13" s="527">
        <f t="shared" si="2"/>
        <v>20724.801514323404</v>
      </c>
      <c r="W13" s="527">
        <f t="shared" si="2"/>
        <v>28045.062936523158</v>
      </c>
      <c r="X13" s="527">
        <f t="shared" ref="X13" si="3">SUM(X9:X12)</f>
        <v>36703.806303181002</v>
      </c>
      <c r="Y13" s="527">
        <f t="shared" ref="Y13" si="4">SUM(Y9:Y12)</f>
        <v>47046.080871988008</v>
      </c>
      <c r="Z13" s="527">
        <f t="shared" ref="Z13" si="5">SUM(Z9:Z12)</f>
        <v>59174.977217778003</v>
      </c>
      <c r="AA13" s="527">
        <f t="shared" ref="AA13" si="6">SUM(AA9:AA12)</f>
        <v>71947.053943463558</v>
      </c>
      <c r="AB13" s="760">
        <f t="shared" ref="AB13:AC13" si="7">SUM(AB9:AB12)</f>
        <v>85540.961658688204</v>
      </c>
      <c r="AC13" s="527">
        <f t="shared" si="7"/>
        <v>101992.11029322873</v>
      </c>
      <c r="AD13" s="527">
        <f t="shared" ref="AD13" si="8">SUM(AD9:AD12)</f>
        <v>118885.05650362089</v>
      </c>
      <c r="AE13" s="527">
        <f>SUM(AE9:AE12)</f>
        <v>138632.85689249745</v>
      </c>
      <c r="AF13" s="527">
        <f t="shared" ref="AF13" si="9">SUM(AF9:AF12)</f>
        <v>159251.75027372057</v>
      </c>
      <c r="AG13" s="527">
        <f t="shared" ref="AG13:BB13" si="10">SUM(AG9:AG12)</f>
        <v>181885.89597766357</v>
      </c>
      <c r="AH13" s="527">
        <f t="shared" si="10"/>
        <v>206907.79784766151</v>
      </c>
      <c r="AI13" s="527">
        <f t="shared" si="10"/>
        <v>233798.25631898438</v>
      </c>
      <c r="AJ13" s="527">
        <f t="shared" si="10"/>
        <v>263694.43773504917</v>
      </c>
      <c r="AK13" s="527">
        <f t="shared" si="10"/>
        <v>295206.81394851918</v>
      </c>
      <c r="AL13" s="527">
        <f t="shared" si="10"/>
        <v>286127.55655160185</v>
      </c>
      <c r="AM13" s="527">
        <f t="shared" si="10"/>
        <v>271327.58992013015</v>
      </c>
      <c r="AN13" s="760">
        <f t="shared" si="10"/>
        <v>257087.8440180234</v>
      </c>
      <c r="AO13" s="527">
        <f t="shared" si="10"/>
        <v>241811.97691182981</v>
      </c>
      <c r="AP13" s="527">
        <f t="shared" si="10"/>
        <v>218909.85672085476</v>
      </c>
      <c r="AQ13" s="527">
        <f t="shared" si="10"/>
        <v>199681.36156993452</v>
      </c>
      <c r="AR13" s="527">
        <f t="shared" si="10"/>
        <v>175289.64158184771</v>
      </c>
      <c r="AS13" s="527">
        <f t="shared" si="10"/>
        <v>143772.0279755682</v>
      </c>
      <c r="AT13" s="527">
        <f t="shared" si="10"/>
        <v>114496.00116834835</v>
      </c>
      <c r="AU13" s="527">
        <f t="shared" si="10"/>
        <v>81509.296973741715</v>
      </c>
      <c r="AV13" s="527">
        <f t="shared" si="10"/>
        <v>40161.928624790307</v>
      </c>
      <c r="AW13" s="527">
        <f t="shared" si="10"/>
        <v>0</v>
      </c>
      <c r="AX13" s="527">
        <f t="shared" si="10"/>
        <v>0</v>
      </c>
      <c r="AY13" s="527">
        <f t="shared" si="10"/>
        <v>0</v>
      </c>
      <c r="AZ13" s="760">
        <f t="shared" si="10"/>
        <v>0</v>
      </c>
      <c r="BA13" s="527">
        <f t="shared" si="10"/>
        <v>0</v>
      </c>
      <c r="BB13" s="527">
        <f t="shared" si="10"/>
        <v>0</v>
      </c>
      <c r="BC13" s="312"/>
      <c r="BD13" s="312"/>
      <c r="BE13" s="312"/>
      <c r="BF13" s="312"/>
      <c r="BG13" s="312"/>
      <c r="BH13" s="312"/>
      <c r="BI13" s="312"/>
      <c r="BJ13" s="312"/>
      <c r="BK13" s="312"/>
      <c r="BL13" s="313"/>
      <c r="BM13" s="28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3"/>
      <c r="BY13" s="28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3"/>
      <c r="CK13" s="28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3"/>
      <c r="CW13" s="28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3"/>
      <c r="DI13" s="28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3"/>
    </row>
    <row r="14" spans="1:124" s="265" customFormat="1" ht="15" x14ac:dyDescent="0.25">
      <c r="B14" s="524" t="s">
        <v>384</v>
      </c>
      <c r="C14" s="525">
        <v>1</v>
      </c>
      <c r="D14" s="525"/>
      <c r="E14" s="526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98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>
        <f>O13</f>
        <v>386.21357635521116</v>
      </c>
      <c r="AB14" s="760">
        <f t="shared" ref="AB14:AC14" si="11">P13</f>
        <v>774.59921166435799</v>
      </c>
      <c r="AC14" s="527">
        <f t="shared" si="11"/>
        <v>1727.4126660341183</v>
      </c>
      <c r="AD14" s="527">
        <f t="shared" ref="AD14" si="12">R13</f>
        <v>3251.1332377497961</v>
      </c>
      <c r="AE14" s="527">
        <f t="shared" ref="AE14" si="13">S13</f>
        <v>5696.0002831138681</v>
      </c>
      <c r="AF14" s="527">
        <f t="shared" ref="AF14" si="14">T13</f>
        <v>9357.2407842443135</v>
      </c>
      <c r="AG14" s="527">
        <f t="shared" ref="AG14" si="15">U13</f>
        <v>14343.599599340585</v>
      </c>
      <c r="AH14" s="527">
        <f t="shared" ref="AH14" si="16">V13</f>
        <v>20724.801514323404</v>
      </c>
      <c r="AI14" s="527">
        <f t="shared" ref="AI14" si="17">W13</f>
        <v>28045.062936523158</v>
      </c>
      <c r="AJ14" s="527">
        <f t="shared" ref="AJ14" si="18">X13</f>
        <v>36703.806303181002</v>
      </c>
      <c r="AK14" s="527">
        <f t="shared" ref="AK14" si="19">Y13</f>
        <v>47046.080871988008</v>
      </c>
      <c r="AL14" s="527">
        <f t="shared" ref="AL14" si="20">Z13</f>
        <v>59174.977217778003</v>
      </c>
      <c r="AM14" s="527">
        <f t="shared" ref="AM14" si="21">AA13</f>
        <v>71947.053943463558</v>
      </c>
      <c r="AN14" s="760">
        <f t="shared" ref="AN14:AN15" si="22">AB13</f>
        <v>85540.961658688204</v>
      </c>
      <c r="AO14" s="527">
        <f t="shared" ref="AO14:AO15" si="23">AC13</f>
        <v>101992.11029322873</v>
      </c>
      <c r="AP14" s="527">
        <f t="shared" ref="AP14:AP15" si="24">AD13</f>
        <v>118885.05650362089</v>
      </c>
      <c r="AQ14" s="527">
        <f t="shared" ref="AQ14:AQ15" si="25">AE13</f>
        <v>138632.85689249745</v>
      </c>
      <c r="AR14" s="527">
        <f t="shared" ref="AR14:AR15" si="26">AF13</f>
        <v>159251.75027372057</v>
      </c>
      <c r="AS14" s="527">
        <f t="shared" ref="AS14:AS15" si="27">AG13</f>
        <v>181885.89597766357</v>
      </c>
      <c r="AT14" s="527">
        <f t="shared" ref="AT14:AT15" si="28">AH13</f>
        <v>206907.79784766151</v>
      </c>
      <c r="AU14" s="527">
        <f t="shared" ref="AU14:AU15" si="29">AI13</f>
        <v>233798.25631898438</v>
      </c>
      <c r="AV14" s="527">
        <f t="shared" ref="AV14:AV15" si="30">AJ13</f>
        <v>263694.43773504917</v>
      </c>
      <c r="AW14" s="527">
        <f t="shared" ref="AW14:AW15" si="31">AK13</f>
        <v>295206.81394851918</v>
      </c>
      <c r="AX14" s="527">
        <f t="shared" ref="AX14:AX15" si="32">AL13</f>
        <v>286127.55655160185</v>
      </c>
      <c r="AY14" s="527">
        <f t="shared" ref="AY14:AY15" si="33">AM13</f>
        <v>271327.58992013015</v>
      </c>
      <c r="AZ14" s="760">
        <f t="shared" ref="AZ14:AZ16" si="34">AN13</f>
        <v>257087.8440180234</v>
      </c>
      <c r="BA14" s="527">
        <f t="shared" ref="BA14:BA16" si="35">AO13</f>
        <v>241811.97691182981</v>
      </c>
      <c r="BB14" s="527">
        <f t="shared" ref="BB14:BB16" si="36">AP13</f>
        <v>218909.85672085476</v>
      </c>
      <c r="BC14" s="527">
        <f t="shared" ref="BC14:BC16" si="37">AQ13</f>
        <v>199681.36156993452</v>
      </c>
      <c r="BD14" s="527">
        <f t="shared" ref="BD14:BD16" si="38">AR13</f>
        <v>175289.64158184771</v>
      </c>
      <c r="BE14" s="527">
        <f t="shared" ref="BE14:BE16" si="39">AS13</f>
        <v>143772.0279755682</v>
      </c>
      <c r="BF14" s="527">
        <f t="shared" ref="BF14:BF16" si="40">AT13</f>
        <v>114496.00116834835</v>
      </c>
      <c r="BG14" s="483">
        <f t="shared" ref="BG14:BJ14" si="41">AU13*$C$14</f>
        <v>81509.296973741715</v>
      </c>
      <c r="BH14" s="483">
        <f t="shared" si="41"/>
        <v>40161.928624790307</v>
      </c>
      <c r="BI14" s="483">
        <f t="shared" si="41"/>
        <v>0</v>
      </c>
      <c r="BJ14" s="483">
        <f t="shared" si="41"/>
        <v>0</v>
      </c>
      <c r="BK14" s="483">
        <f t="shared" ref="BK14" si="42">AY13*$C$14</f>
        <v>0</v>
      </c>
      <c r="BL14" s="727">
        <f t="shared" ref="BL14" si="43">AZ13*$C$14</f>
        <v>0</v>
      </c>
      <c r="BM14" s="282">
        <f t="shared" ref="BM14" si="44">BA13*$C$14</f>
        <v>0</v>
      </c>
      <c r="BN14" s="483">
        <f t="shared" ref="BN14" si="45">BB13*$C$14</f>
        <v>0</v>
      </c>
      <c r="BO14" s="483">
        <f t="shared" ref="BO14" si="46">BC13*$C$14</f>
        <v>0</v>
      </c>
      <c r="BP14" s="312"/>
      <c r="BQ14" s="312"/>
      <c r="BR14" s="312"/>
      <c r="BS14" s="312"/>
      <c r="BT14" s="312"/>
      <c r="BU14" s="312"/>
      <c r="BV14" s="312"/>
      <c r="BW14" s="312"/>
      <c r="BX14" s="313"/>
      <c r="BY14" s="28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3"/>
      <c r="CK14" s="28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3"/>
      <c r="CW14" s="28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3"/>
      <c r="DI14" s="28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3"/>
    </row>
    <row r="15" spans="1:124" s="265" customFormat="1" ht="15" x14ac:dyDescent="0.25">
      <c r="B15" s="524" t="s">
        <v>385</v>
      </c>
      <c r="C15" s="525">
        <v>1</v>
      </c>
      <c r="D15" s="525"/>
      <c r="E15" s="526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98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760"/>
      <c r="AC15" s="527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>
        <f>AA14</f>
        <v>386.21357635521116</v>
      </c>
      <c r="AN15" s="313">
        <f t="shared" si="22"/>
        <v>774.59921166435799</v>
      </c>
      <c r="AO15" s="282">
        <f t="shared" si="23"/>
        <v>1727.4126660341183</v>
      </c>
      <c r="AP15" s="312">
        <f t="shared" si="24"/>
        <v>3251.1332377497961</v>
      </c>
      <c r="AQ15" s="312">
        <f t="shared" si="25"/>
        <v>5696.0002831138681</v>
      </c>
      <c r="AR15" s="312">
        <f t="shared" si="26"/>
        <v>9357.2407842443135</v>
      </c>
      <c r="AS15" s="312">
        <f t="shared" si="27"/>
        <v>14343.599599340585</v>
      </c>
      <c r="AT15" s="312">
        <f t="shared" si="28"/>
        <v>20724.801514323404</v>
      </c>
      <c r="AU15" s="312">
        <f t="shared" si="29"/>
        <v>28045.062936523158</v>
      </c>
      <c r="AV15" s="312">
        <f t="shared" si="30"/>
        <v>36703.806303181002</v>
      </c>
      <c r="AW15" s="312">
        <f t="shared" si="31"/>
        <v>47046.080871988008</v>
      </c>
      <c r="AX15" s="312">
        <f t="shared" si="32"/>
        <v>59174.977217778003</v>
      </c>
      <c r="AY15" s="312">
        <f t="shared" si="33"/>
        <v>71947.053943463558</v>
      </c>
      <c r="AZ15" s="313">
        <f t="shared" si="34"/>
        <v>85540.961658688204</v>
      </c>
      <c r="BA15" s="282">
        <f t="shared" si="35"/>
        <v>101992.11029322873</v>
      </c>
      <c r="BB15" s="312">
        <f t="shared" si="36"/>
        <v>118885.05650362089</v>
      </c>
      <c r="BC15" s="312">
        <f t="shared" si="37"/>
        <v>138632.85689249745</v>
      </c>
      <c r="BD15" s="312">
        <f t="shared" si="38"/>
        <v>159251.75027372057</v>
      </c>
      <c r="BE15" s="312">
        <f t="shared" si="39"/>
        <v>181885.89597766357</v>
      </c>
      <c r="BF15" s="312">
        <f t="shared" si="40"/>
        <v>206907.79784766151</v>
      </c>
      <c r="BG15" s="312">
        <f t="shared" ref="BG15:BQ17" si="47">AU14</f>
        <v>233798.25631898438</v>
      </c>
      <c r="BH15" s="312">
        <f t="shared" si="47"/>
        <v>263694.43773504917</v>
      </c>
      <c r="BI15" s="312">
        <f t="shared" si="47"/>
        <v>295206.81394851918</v>
      </c>
      <c r="BJ15" s="312">
        <f t="shared" si="47"/>
        <v>286127.55655160185</v>
      </c>
      <c r="BK15" s="312">
        <f t="shared" si="47"/>
        <v>271327.58992013015</v>
      </c>
      <c r="BL15" s="313">
        <f t="shared" si="47"/>
        <v>257087.8440180234</v>
      </c>
      <c r="BM15" s="282">
        <f t="shared" si="47"/>
        <v>241811.97691182981</v>
      </c>
      <c r="BN15" s="312">
        <f t="shared" si="47"/>
        <v>218909.85672085476</v>
      </c>
      <c r="BO15" s="312">
        <f t="shared" si="47"/>
        <v>199681.36156993452</v>
      </c>
      <c r="BP15" s="312">
        <f t="shared" si="47"/>
        <v>175289.64158184771</v>
      </c>
      <c r="BQ15" s="312">
        <f t="shared" si="47"/>
        <v>143772.0279755682</v>
      </c>
      <c r="BR15" s="483">
        <f t="shared" ref="BR15" si="48">AT13*$C14</f>
        <v>114496.00116834835</v>
      </c>
      <c r="BS15" s="483">
        <f t="shared" ref="BS15" si="49">AU13*$C14</f>
        <v>81509.296973741715</v>
      </c>
      <c r="BT15" s="483">
        <f t="shared" ref="BT15" si="50">AV13*$C14</f>
        <v>40161.928624790307</v>
      </c>
      <c r="BU15" s="483">
        <f t="shared" ref="BU15" si="51">AW13*$C14</f>
        <v>0</v>
      </c>
      <c r="BV15" s="483">
        <f t="shared" ref="BV15" si="52">AX13*$C14</f>
        <v>0</v>
      </c>
      <c r="BW15" s="483">
        <f t="shared" ref="BW15" si="53">AY13*$C14</f>
        <v>0</v>
      </c>
      <c r="BX15" s="727">
        <f t="shared" ref="BX15" si="54">AZ13*$C14</f>
        <v>0</v>
      </c>
      <c r="BY15" s="28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3"/>
      <c r="CK15" s="28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3"/>
      <c r="CW15" s="28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3"/>
      <c r="DI15" s="28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3"/>
    </row>
    <row r="16" spans="1:124" s="265" customFormat="1" ht="15" x14ac:dyDescent="0.25">
      <c r="B16" s="524" t="s">
        <v>386</v>
      </c>
      <c r="C16" s="525">
        <v>1</v>
      </c>
      <c r="D16" s="525"/>
      <c r="E16" s="526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98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760"/>
      <c r="AC16" s="527"/>
      <c r="AD16" s="527"/>
      <c r="AE16" s="527"/>
      <c r="AF16" s="312"/>
      <c r="AG16" s="312"/>
      <c r="AH16" s="312"/>
      <c r="AI16" s="312"/>
      <c r="AJ16" s="312"/>
      <c r="AK16" s="312"/>
      <c r="AL16" s="312"/>
      <c r="AM16" s="312"/>
      <c r="AN16" s="313"/>
      <c r="AO16" s="28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>
        <f>AM15</f>
        <v>386.21357635521116</v>
      </c>
      <c r="AZ16" s="313">
        <f t="shared" si="34"/>
        <v>774.59921166435799</v>
      </c>
      <c r="BA16" s="282">
        <f t="shared" si="35"/>
        <v>1727.4126660341183</v>
      </c>
      <c r="BB16" s="312">
        <f t="shared" si="36"/>
        <v>3251.1332377497961</v>
      </c>
      <c r="BC16" s="312">
        <f t="shared" si="37"/>
        <v>5696.0002831138681</v>
      </c>
      <c r="BD16" s="312">
        <f t="shared" si="38"/>
        <v>9357.2407842443135</v>
      </c>
      <c r="BE16" s="312">
        <f t="shared" si="39"/>
        <v>14343.599599340585</v>
      </c>
      <c r="BF16" s="312">
        <f t="shared" si="40"/>
        <v>20724.801514323404</v>
      </c>
      <c r="BG16" s="312">
        <f t="shared" si="47"/>
        <v>28045.062936523158</v>
      </c>
      <c r="BH16" s="312">
        <f t="shared" si="47"/>
        <v>36703.806303181002</v>
      </c>
      <c r="BI16" s="312">
        <f t="shared" si="47"/>
        <v>47046.080871988008</v>
      </c>
      <c r="BJ16" s="312">
        <f t="shared" si="47"/>
        <v>59174.977217778003</v>
      </c>
      <c r="BK16" s="312">
        <f t="shared" si="47"/>
        <v>71947.053943463558</v>
      </c>
      <c r="BL16" s="313">
        <f t="shared" si="47"/>
        <v>85540.961658688204</v>
      </c>
      <c r="BM16" s="282">
        <f t="shared" si="47"/>
        <v>101992.11029322873</v>
      </c>
      <c r="BN16" s="312">
        <f t="shared" si="47"/>
        <v>118885.05650362089</v>
      </c>
      <c r="BO16" s="312">
        <f t="shared" si="47"/>
        <v>138632.85689249745</v>
      </c>
      <c r="BP16" s="312">
        <f t="shared" si="47"/>
        <v>159251.75027372057</v>
      </c>
      <c r="BQ16" s="312">
        <f t="shared" si="47"/>
        <v>181885.89597766357</v>
      </c>
      <c r="BR16" s="312">
        <f t="shared" ref="BR16:CF18" si="55">BF15</f>
        <v>206907.79784766151</v>
      </c>
      <c r="BS16" s="312">
        <f t="shared" si="55"/>
        <v>233798.25631898438</v>
      </c>
      <c r="BT16" s="312">
        <f t="shared" si="55"/>
        <v>263694.43773504917</v>
      </c>
      <c r="BU16" s="312">
        <f t="shared" si="55"/>
        <v>295206.81394851918</v>
      </c>
      <c r="BV16" s="312">
        <f t="shared" si="55"/>
        <v>286127.55655160185</v>
      </c>
      <c r="BW16" s="312">
        <f t="shared" si="55"/>
        <v>271327.58992013015</v>
      </c>
      <c r="BX16" s="313">
        <f t="shared" si="55"/>
        <v>257087.8440180234</v>
      </c>
      <c r="BY16" s="282">
        <f t="shared" si="55"/>
        <v>241811.97691182981</v>
      </c>
      <c r="BZ16" s="312">
        <f t="shared" si="55"/>
        <v>218909.85672085476</v>
      </c>
      <c r="CA16" s="312">
        <f t="shared" si="55"/>
        <v>199681.36156993452</v>
      </c>
      <c r="CB16" s="312">
        <f t="shared" si="55"/>
        <v>175289.64158184771</v>
      </c>
      <c r="CC16" s="312">
        <f t="shared" si="55"/>
        <v>143772.0279755682</v>
      </c>
      <c r="CD16" s="312">
        <f t="shared" si="55"/>
        <v>114496.00116834835</v>
      </c>
      <c r="CE16" s="312">
        <f t="shared" si="55"/>
        <v>81509.296973741715</v>
      </c>
      <c r="CF16" s="312">
        <f t="shared" si="55"/>
        <v>40161.928624790307</v>
      </c>
      <c r="CG16" s="483">
        <f t="shared" ref="CG16" si="56">AW13*$C16</f>
        <v>0</v>
      </c>
      <c r="CH16" s="483">
        <f t="shared" ref="CH16" si="57">AX13*$C16</f>
        <v>0</v>
      </c>
      <c r="CI16" s="483">
        <f t="shared" ref="CI16" si="58">AY13*$C16</f>
        <v>0</v>
      </c>
      <c r="CJ16" s="727">
        <f t="shared" ref="CJ16" si="59">AZ13*$C16</f>
        <v>0</v>
      </c>
      <c r="CK16" s="282">
        <f t="shared" ref="CK16" si="60">BA13*$C16</f>
        <v>0</v>
      </c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3"/>
      <c r="CW16" s="28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3"/>
      <c r="DI16" s="28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3"/>
    </row>
    <row r="17" spans="1:124" s="265" customFormat="1" ht="15" x14ac:dyDescent="0.25">
      <c r="B17" s="524" t="s">
        <v>387</v>
      </c>
      <c r="C17" s="525">
        <v>1</v>
      </c>
      <c r="D17" s="525"/>
      <c r="E17" s="526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98"/>
      <c r="Q17" s="527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3"/>
      <c r="AC17" s="28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3"/>
      <c r="AO17" s="28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3"/>
      <c r="BA17" s="28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>
        <f>AY16</f>
        <v>386.21357635521116</v>
      </c>
      <c r="BL17" s="313">
        <f t="shared" si="47"/>
        <v>774.59921166435799</v>
      </c>
      <c r="BM17" s="282">
        <f t="shared" si="47"/>
        <v>1727.4126660341183</v>
      </c>
      <c r="BN17" s="312">
        <f t="shared" si="47"/>
        <v>3251.1332377497961</v>
      </c>
      <c r="BO17" s="312">
        <f t="shared" si="47"/>
        <v>5696.0002831138681</v>
      </c>
      <c r="BP17" s="312">
        <f t="shared" si="47"/>
        <v>9357.2407842443135</v>
      </c>
      <c r="BQ17" s="312">
        <f t="shared" si="47"/>
        <v>14343.599599340585</v>
      </c>
      <c r="BR17" s="312">
        <f t="shared" si="55"/>
        <v>20724.801514323404</v>
      </c>
      <c r="BS17" s="312">
        <f t="shared" si="55"/>
        <v>28045.062936523158</v>
      </c>
      <c r="BT17" s="312">
        <f t="shared" si="55"/>
        <v>36703.806303181002</v>
      </c>
      <c r="BU17" s="312">
        <f t="shared" si="55"/>
        <v>47046.080871988008</v>
      </c>
      <c r="BV17" s="312">
        <f t="shared" si="55"/>
        <v>59174.977217778003</v>
      </c>
      <c r="BW17" s="312">
        <f t="shared" si="55"/>
        <v>71947.053943463558</v>
      </c>
      <c r="BX17" s="313">
        <f t="shared" si="55"/>
        <v>85540.961658688204</v>
      </c>
      <c r="BY17" s="282">
        <f t="shared" si="55"/>
        <v>101992.11029322873</v>
      </c>
      <c r="BZ17" s="312">
        <f t="shared" si="55"/>
        <v>118885.05650362089</v>
      </c>
      <c r="CA17" s="312">
        <f t="shared" si="55"/>
        <v>138632.85689249745</v>
      </c>
      <c r="CB17" s="312">
        <f t="shared" si="55"/>
        <v>159251.75027372057</v>
      </c>
      <c r="CC17" s="312">
        <f t="shared" si="55"/>
        <v>181885.89597766357</v>
      </c>
      <c r="CD17" s="312">
        <f t="shared" si="55"/>
        <v>206907.79784766151</v>
      </c>
      <c r="CE17" s="312">
        <f t="shared" si="55"/>
        <v>233798.25631898438</v>
      </c>
      <c r="CF17" s="312">
        <f t="shared" si="55"/>
        <v>263694.43773504917</v>
      </c>
      <c r="CG17" s="312">
        <f t="shared" ref="CG17:CP19" si="61">BU16</f>
        <v>295206.81394851918</v>
      </c>
      <c r="CH17" s="312">
        <f t="shared" si="61"/>
        <v>286127.55655160185</v>
      </c>
      <c r="CI17" s="312">
        <f t="shared" si="61"/>
        <v>271327.58992013015</v>
      </c>
      <c r="CJ17" s="313">
        <f t="shared" si="61"/>
        <v>257087.8440180234</v>
      </c>
      <c r="CK17" s="282">
        <f t="shared" si="61"/>
        <v>241811.97691182981</v>
      </c>
      <c r="CL17" s="312">
        <f t="shared" si="61"/>
        <v>218909.85672085476</v>
      </c>
      <c r="CM17" s="312">
        <f t="shared" si="61"/>
        <v>199681.36156993452</v>
      </c>
      <c r="CN17" s="312">
        <f t="shared" si="61"/>
        <v>175289.64158184771</v>
      </c>
      <c r="CO17" s="312">
        <f t="shared" si="61"/>
        <v>143772.0279755682</v>
      </c>
      <c r="CP17" s="312">
        <f t="shared" si="61"/>
        <v>114496.00116834835</v>
      </c>
      <c r="CQ17" s="312">
        <f t="shared" ref="CQ17:DG20" si="62">CE16</f>
        <v>81509.296973741715</v>
      </c>
      <c r="CR17" s="312">
        <f t="shared" si="62"/>
        <v>40161.928624790307</v>
      </c>
      <c r="CS17" s="312">
        <f t="shared" si="62"/>
        <v>0</v>
      </c>
      <c r="CT17" s="312">
        <f t="shared" si="62"/>
        <v>0</v>
      </c>
      <c r="CU17" s="312">
        <f t="shared" si="62"/>
        <v>0</v>
      </c>
      <c r="CV17" s="313">
        <f t="shared" si="62"/>
        <v>0</v>
      </c>
      <c r="CW17" s="282">
        <f t="shared" si="62"/>
        <v>0</v>
      </c>
      <c r="CX17" s="312">
        <f t="shared" si="62"/>
        <v>0</v>
      </c>
      <c r="CY17" s="312">
        <f t="shared" si="62"/>
        <v>0</v>
      </c>
      <c r="CZ17" s="312">
        <f t="shared" si="62"/>
        <v>0</v>
      </c>
      <c r="DA17" s="312">
        <f t="shared" si="62"/>
        <v>0</v>
      </c>
      <c r="DB17" s="312">
        <f t="shared" si="62"/>
        <v>0</v>
      </c>
      <c r="DC17" s="312">
        <f t="shared" si="62"/>
        <v>0</v>
      </c>
      <c r="DD17" s="312">
        <f t="shared" si="62"/>
        <v>0</v>
      </c>
      <c r="DE17" s="312">
        <f t="shared" si="62"/>
        <v>0</v>
      </c>
      <c r="DF17" s="312">
        <f t="shared" si="62"/>
        <v>0</v>
      </c>
      <c r="DG17" s="312">
        <f t="shared" si="62"/>
        <v>0</v>
      </c>
      <c r="DH17" s="313"/>
      <c r="DI17" s="28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3"/>
    </row>
    <row r="18" spans="1:124" s="265" customFormat="1" ht="15" x14ac:dyDescent="0.25">
      <c r="B18" s="524" t="s">
        <v>388</v>
      </c>
      <c r="C18" s="525">
        <v>1</v>
      </c>
      <c r="D18" s="525"/>
      <c r="E18" s="526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98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313"/>
      <c r="AC18" s="28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3"/>
      <c r="AO18" s="28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3"/>
      <c r="BA18" s="28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3"/>
      <c r="BM18" s="28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>
        <f>BK17</f>
        <v>386.21357635521116</v>
      </c>
      <c r="BX18" s="313">
        <f t="shared" si="55"/>
        <v>774.59921166435799</v>
      </c>
      <c r="BY18" s="282">
        <f t="shared" si="55"/>
        <v>1727.4126660341183</v>
      </c>
      <c r="BZ18" s="312">
        <f t="shared" si="55"/>
        <v>3251.1332377497961</v>
      </c>
      <c r="CA18" s="312">
        <f t="shared" si="55"/>
        <v>5696.0002831138681</v>
      </c>
      <c r="CB18" s="312">
        <f t="shared" si="55"/>
        <v>9357.2407842443135</v>
      </c>
      <c r="CC18" s="312">
        <f t="shared" si="55"/>
        <v>14343.599599340585</v>
      </c>
      <c r="CD18" s="312">
        <f t="shared" si="55"/>
        <v>20724.801514323404</v>
      </c>
      <c r="CE18" s="312">
        <f t="shared" si="55"/>
        <v>28045.062936523158</v>
      </c>
      <c r="CF18" s="312">
        <f t="shared" si="55"/>
        <v>36703.806303181002</v>
      </c>
      <c r="CG18" s="312">
        <f t="shared" si="61"/>
        <v>47046.080871988008</v>
      </c>
      <c r="CH18" s="312">
        <f t="shared" si="61"/>
        <v>59174.977217778003</v>
      </c>
      <c r="CI18" s="312">
        <f t="shared" si="61"/>
        <v>71947.053943463558</v>
      </c>
      <c r="CJ18" s="313">
        <f t="shared" si="61"/>
        <v>85540.961658688204</v>
      </c>
      <c r="CK18" s="282">
        <f t="shared" si="61"/>
        <v>101992.11029322873</v>
      </c>
      <c r="CL18" s="312">
        <f t="shared" si="61"/>
        <v>118885.05650362089</v>
      </c>
      <c r="CM18" s="312">
        <f t="shared" si="61"/>
        <v>138632.85689249745</v>
      </c>
      <c r="CN18" s="312">
        <f t="shared" si="61"/>
        <v>159251.75027372057</v>
      </c>
      <c r="CO18" s="312">
        <f t="shared" si="61"/>
        <v>181885.89597766357</v>
      </c>
      <c r="CP18" s="312">
        <f t="shared" si="61"/>
        <v>206907.79784766151</v>
      </c>
      <c r="CQ18" s="312">
        <f t="shared" si="62"/>
        <v>233798.25631898438</v>
      </c>
      <c r="CR18" s="312">
        <f t="shared" si="62"/>
        <v>263694.43773504917</v>
      </c>
      <c r="CS18" s="312">
        <f t="shared" si="62"/>
        <v>295206.81394851918</v>
      </c>
      <c r="CT18" s="312">
        <f t="shared" si="62"/>
        <v>286127.55655160185</v>
      </c>
      <c r="CU18" s="312">
        <f t="shared" si="62"/>
        <v>271327.58992013015</v>
      </c>
      <c r="CV18" s="313">
        <f t="shared" si="62"/>
        <v>257087.8440180234</v>
      </c>
      <c r="CW18" s="282">
        <f t="shared" si="62"/>
        <v>241811.97691182981</v>
      </c>
      <c r="CX18" s="312">
        <f t="shared" si="62"/>
        <v>218909.85672085476</v>
      </c>
      <c r="CY18" s="312">
        <f t="shared" si="62"/>
        <v>199681.36156993452</v>
      </c>
      <c r="CZ18" s="312">
        <f t="shared" si="62"/>
        <v>175289.64158184771</v>
      </c>
      <c r="DA18" s="312">
        <f t="shared" si="62"/>
        <v>143772.0279755682</v>
      </c>
      <c r="DB18" s="312">
        <f t="shared" si="62"/>
        <v>114496.00116834835</v>
      </c>
      <c r="DC18" s="312">
        <f t="shared" si="62"/>
        <v>81509.296973741715</v>
      </c>
      <c r="DD18" s="312">
        <f t="shared" si="62"/>
        <v>40161.928624790307</v>
      </c>
      <c r="DE18" s="312">
        <f t="shared" si="62"/>
        <v>0</v>
      </c>
      <c r="DF18" s="312">
        <f t="shared" si="62"/>
        <v>0</v>
      </c>
      <c r="DG18" s="312">
        <f t="shared" si="62"/>
        <v>0</v>
      </c>
      <c r="DH18" s="313">
        <f t="shared" ref="DH18:DK21" si="63">CV17</f>
        <v>0</v>
      </c>
      <c r="DI18" s="282">
        <f t="shared" si="63"/>
        <v>0</v>
      </c>
      <c r="DJ18" s="312">
        <f t="shared" si="63"/>
        <v>0</v>
      </c>
      <c r="DK18" s="312">
        <f t="shared" si="63"/>
        <v>0</v>
      </c>
      <c r="DL18" s="312"/>
      <c r="DM18" s="312"/>
      <c r="DN18" s="312"/>
      <c r="DO18" s="312"/>
      <c r="DP18" s="312"/>
      <c r="DQ18" s="312"/>
      <c r="DR18" s="312"/>
      <c r="DS18" s="312"/>
      <c r="DT18" s="313"/>
    </row>
    <row r="19" spans="1:124" s="265" customFormat="1" ht="15" x14ac:dyDescent="0.25">
      <c r="B19" s="524" t="s">
        <v>389</v>
      </c>
      <c r="C19" s="528">
        <v>1</v>
      </c>
      <c r="D19" s="528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30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753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753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753"/>
      <c r="BA19" s="282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753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753"/>
      <c r="BY19" s="406"/>
      <c r="BZ19" s="406"/>
      <c r="CA19" s="406"/>
      <c r="CB19" s="406"/>
      <c r="CC19" s="406"/>
      <c r="CD19" s="406"/>
      <c r="CE19" s="406"/>
      <c r="CF19" s="406"/>
      <c r="CG19" s="406"/>
      <c r="CH19" s="406"/>
      <c r="CI19" s="406">
        <f>BW18</f>
        <v>386.21357635521116</v>
      </c>
      <c r="CJ19" s="753">
        <f t="shared" si="61"/>
        <v>774.59921166435799</v>
      </c>
      <c r="CK19" s="406">
        <f t="shared" si="61"/>
        <v>1727.4126660341183</v>
      </c>
      <c r="CL19" s="406">
        <f t="shared" si="61"/>
        <v>3251.1332377497961</v>
      </c>
      <c r="CM19" s="406">
        <f t="shared" si="61"/>
        <v>5696.0002831138681</v>
      </c>
      <c r="CN19" s="406">
        <f t="shared" si="61"/>
        <v>9357.2407842443135</v>
      </c>
      <c r="CO19" s="406">
        <f t="shared" si="61"/>
        <v>14343.599599340585</v>
      </c>
      <c r="CP19" s="406">
        <f t="shared" si="61"/>
        <v>20724.801514323404</v>
      </c>
      <c r="CQ19" s="406">
        <f t="shared" si="62"/>
        <v>28045.062936523158</v>
      </c>
      <c r="CR19" s="406">
        <f t="shared" si="62"/>
        <v>36703.806303181002</v>
      </c>
      <c r="CS19" s="406">
        <f t="shared" si="62"/>
        <v>47046.080871988008</v>
      </c>
      <c r="CT19" s="406">
        <f t="shared" si="62"/>
        <v>59174.977217778003</v>
      </c>
      <c r="CU19" s="406">
        <f t="shared" si="62"/>
        <v>71947.053943463558</v>
      </c>
      <c r="CV19" s="753">
        <f t="shared" si="62"/>
        <v>85540.961658688204</v>
      </c>
      <c r="CW19" s="406">
        <f t="shared" si="62"/>
        <v>101992.11029322873</v>
      </c>
      <c r="CX19" s="406">
        <f t="shared" si="62"/>
        <v>118885.05650362089</v>
      </c>
      <c r="CY19" s="406">
        <f t="shared" si="62"/>
        <v>138632.85689249745</v>
      </c>
      <c r="CZ19" s="406">
        <f t="shared" si="62"/>
        <v>159251.75027372057</v>
      </c>
      <c r="DA19" s="406">
        <f t="shared" si="62"/>
        <v>181885.89597766357</v>
      </c>
      <c r="DB19" s="406">
        <f t="shared" si="62"/>
        <v>206907.79784766151</v>
      </c>
      <c r="DC19" s="406">
        <f t="shared" si="62"/>
        <v>233798.25631898438</v>
      </c>
      <c r="DD19" s="406">
        <f t="shared" si="62"/>
        <v>263694.43773504917</v>
      </c>
      <c r="DE19" s="406">
        <f t="shared" si="62"/>
        <v>295206.81394851918</v>
      </c>
      <c r="DF19" s="406">
        <f t="shared" si="62"/>
        <v>286127.55655160185</v>
      </c>
      <c r="DG19" s="406">
        <f t="shared" si="62"/>
        <v>271327.58992013015</v>
      </c>
      <c r="DH19" s="753">
        <f t="shared" si="63"/>
        <v>257087.8440180234</v>
      </c>
      <c r="DI19" s="406">
        <f t="shared" si="63"/>
        <v>241811.97691182981</v>
      </c>
      <c r="DJ19" s="406">
        <f t="shared" si="63"/>
        <v>218909.85672085476</v>
      </c>
      <c r="DK19" s="406">
        <f t="shared" si="63"/>
        <v>199681.36156993452</v>
      </c>
      <c r="DL19" s="406">
        <f t="shared" ref="DL19:DP21" si="64">CZ18</f>
        <v>175289.64158184771</v>
      </c>
      <c r="DM19" s="406">
        <f t="shared" si="64"/>
        <v>143772.0279755682</v>
      </c>
      <c r="DN19" s="406">
        <f t="shared" si="64"/>
        <v>114496.00116834835</v>
      </c>
      <c r="DO19" s="406">
        <f t="shared" si="64"/>
        <v>81509.296973741715</v>
      </c>
      <c r="DP19" s="406">
        <f t="shared" si="64"/>
        <v>40161.928624790307</v>
      </c>
      <c r="DQ19" s="531">
        <f t="shared" ref="DQ19" si="65">AW13*$C19</f>
        <v>0</v>
      </c>
      <c r="DR19" s="531">
        <f t="shared" ref="DR19" si="66">AX13*$C19</f>
        <v>0</v>
      </c>
      <c r="DS19" s="531">
        <f t="shared" ref="DS19" si="67">AY13*$C19</f>
        <v>0</v>
      </c>
      <c r="DT19" s="769">
        <f t="shared" ref="DT19" si="68">AZ13*$C19</f>
        <v>0</v>
      </c>
    </row>
    <row r="20" spans="1:124" s="265" customFormat="1" ht="15" x14ac:dyDescent="0.25">
      <c r="B20" s="524" t="s">
        <v>390</v>
      </c>
      <c r="C20" s="528">
        <v>1</v>
      </c>
      <c r="D20" s="528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30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753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753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753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753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753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753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>
        <f>CI19</f>
        <v>386.21357635521116</v>
      </c>
      <c r="CV20" s="753">
        <f t="shared" si="62"/>
        <v>774.59921166435799</v>
      </c>
      <c r="CW20" s="406">
        <f t="shared" si="62"/>
        <v>1727.4126660341183</v>
      </c>
      <c r="CX20" s="406">
        <f t="shared" si="62"/>
        <v>3251.1332377497961</v>
      </c>
      <c r="CY20" s="406">
        <f t="shared" si="62"/>
        <v>5696.0002831138681</v>
      </c>
      <c r="CZ20" s="406">
        <f t="shared" si="62"/>
        <v>9357.2407842443135</v>
      </c>
      <c r="DA20" s="406">
        <f t="shared" si="62"/>
        <v>14343.599599340585</v>
      </c>
      <c r="DB20" s="406">
        <f t="shared" si="62"/>
        <v>20724.801514323404</v>
      </c>
      <c r="DC20" s="406">
        <f t="shared" si="62"/>
        <v>28045.062936523158</v>
      </c>
      <c r="DD20" s="406">
        <f t="shared" si="62"/>
        <v>36703.806303181002</v>
      </c>
      <c r="DE20" s="406">
        <f t="shared" si="62"/>
        <v>47046.080871988008</v>
      </c>
      <c r="DF20" s="406">
        <f t="shared" si="62"/>
        <v>59174.977217778003</v>
      </c>
      <c r="DG20" s="406">
        <f t="shared" si="62"/>
        <v>71947.053943463558</v>
      </c>
      <c r="DH20" s="753">
        <f t="shared" si="63"/>
        <v>85540.961658688204</v>
      </c>
      <c r="DI20" s="406">
        <f t="shared" si="63"/>
        <v>101992.11029322873</v>
      </c>
      <c r="DJ20" s="406">
        <f t="shared" si="63"/>
        <v>118885.05650362089</v>
      </c>
      <c r="DK20" s="406">
        <f t="shared" si="63"/>
        <v>138632.85689249745</v>
      </c>
      <c r="DL20" s="406">
        <f t="shared" si="64"/>
        <v>159251.75027372057</v>
      </c>
      <c r="DM20" s="406">
        <f t="shared" si="64"/>
        <v>181885.89597766357</v>
      </c>
      <c r="DN20" s="406">
        <f t="shared" si="64"/>
        <v>206907.79784766151</v>
      </c>
      <c r="DO20" s="406">
        <f t="shared" si="64"/>
        <v>233798.25631898438</v>
      </c>
      <c r="DP20" s="406">
        <f t="shared" si="64"/>
        <v>263694.43773504917</v>
      </c>
      <c r="DQ20" s="406">
        <f t="shared" ref="DQ20:DT21" si="69">DE19</f>
        <v>295206.81394851918</v>
      </c>
      <c r="DR20" s="406">
        <f t="shared" si="69"/>
        <v>286127.55655160185</v>
      </c>
      <c r="DS20" s="406">
        <f t="shared" si="69"/>
        <v>271327.58992013015</v>
      </c>
      <c r="DT20" s="753">
        <f t="shared" si="69"/>
        <v>257087.8440180234</v>
      </c>
    </row>
    <row r="21" spans="1:124" s="265" customFormat="1" ht="15" x14ac:dyDescent="0.25">
      <c r="B21" s="524" t="s">
        <v>391</v>
      </c>
      <c r="C21" s="528">
        <v>1</v>
      </c>
      <c r="D21" s="528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99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5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5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5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5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5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406"/>
      <c r="CJ21" s="315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5"/>
      <c r="CW21" s="390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>
        <f>CU20</f>
        <v>386.21357635521116</v>
      </c>
      <c r="DH21" s="315">
        <f t="shared" si="63"/>
        <v>774.59921166435799</v>
      </c>
      <c r="DI21" s="314">
        <f t="shared" si="63"/>
        <v>1727.4126660341183</v>
      </c>
      <c r="DJ21" s="314">
        <f t="shared" si="63"/>
        <v>3251.1332377497961</v>
      </c>
      <c r="DK21" s="314">
        <f t="shared" si="63"/>
        <v>5696.0002831138681</v>
      </c>
      <c r="DL21" s="314">
        <f t="shared" si="64"/>
        <v>9357.2407842443135</v>
      </c>
      <c r="DM21" s="314">
        <f t="shared" si="64"/>
        <v>14343.599599340585</v>
      </c>
      <c r="DN21" s="314">
        <f t="shared" si="64"/>
        <v>20724.801514323404</v>
      </c>
      <c r="DO21" s="314">
        <f t="shared" si="64"/>
        <v>28045.062936523158</v>
      </c>
      <c r="DP21" s="314">
        <f t="shared" si="64"/>
        <v>36703.806303181002</v>
      </c>
      <c r="DQ21" s="314">
        <f t="shared" si="69"/>
        <v>47046.080871988008</v>
      </c>
      <c r="DR21" s="314">
        <f t="shared" si="69"/>
        <v>59174.977217778003</v>
      </c>
      <c r="DS21" s="314">
        <f t="shared" si="69"/>
        <v>71947.053943463558</v>
      </c>
      <c r="DT21" s="315">
        <f t="shared" si="69"/>
        <v>85540.961658688204</v>
      </c>
    </row>
    <row r="22" spans="1:124" s="265" customFormat="1" ht="15" x14ac:dyDescent="0.25">
      <c r="B22" s="524" t="s">
        <v>392</v>
      </c>
      <c r="C22" s="528">
        <v>1</v>
      </c>
      <c r="D22" s="528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99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5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5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5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5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5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5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5"/>
      <c r="CW22" s="390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5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5"/>
    </row>
    <row r="23" spans="1:124" ht="19.5" thickBot="1" x14ac:dyDescent="0.35">
      <c r="B23" s="159" t="s">
        <v>558</v>
      </c>
      <c r="C23" s="83"/>
      <c r="D23" s="83"/>
      <c r="E23" s="532"/>
      <c r="F23" s="532"/>
      <c r="G23" s="532"/>
      <c r="H23" s="532"/>
      <c r="I23" s="532"/>
      <c r="J23" s="532"/>
      <c r="K23" s="532">
        <f t="shared" ref="K23:N23" si="70">SUM(K9:K22)</f>
        <v>0</v>
      </c>
      <c r="L23" s="532">
        <f t="shared" si="70"/>
        <v>0</v>
      </c>
      <c r="M23" s="532">
        <f t="shared" si="70"/>
        <v>0</v>
      </c>
      <c r="N23" s="532">
        <f t="shared" si="70"/>
        <v>0</v>
      </c>
      <c r="O23" s="532">
        <f>SUM(O13:O22)+O6</f>
        <v>866.21357635521122</v>
      </c>
      <c r="P23" s="758">
        <f>SUM(P13:P22)+P6</f>
        <v>1257.4875792758266</v>
      </c>
      <c r="Q23" s="391">
        <f>SUM(Q13:Q22)+Q6</f>
        <v>2213.2067818142618</v>
      </c>
      <c r="R23" s="391">
        <f>SUM(R13:R22)+R6</f>
        <v>3739.8505868421507</v>
      </c>
      <c r="S23" s="391">
        <f t="shared" ref="S23:CD23" si="71">SUM(S13:S22)+S6</f>
        <v>6187.6584558776422</v>
      </c>
      <c r="T23" s="391">
        <f t="shared" si="71"/>
        <v>9851.8574768875133</v>
      </c>
      <c r="U23" s="391">
        <f t="shared" si="71"/>
        <v>14841.192614556956</v>
      </c>
      <c r="V23" s="391">
        <f t="shared" si="71"/>
        <v>21225.388761933202</v>
      </c>
      <c r="W23" s="391">
        <f t="shared" si="71"/>
        <v>28548.662434117767</v>
      </c>
      <c r="X23" s="391">
        <f t="shared" si="71"/>
        <v>37210.436176771451</v>
      </c>
      <c r="Y23" s="391">
        <f t="shared" si="71"/>
        <v>47555.759356657378</v>
      </c>
      <c r="Z23" s="391">
        <f t="shared" si="71"/>
        <v>59687.722658337749</v>
      </c>
      <c r="AA23" s="391">
        <f t="shared" si="71"/>
        <v>72849.098371469008</v>
      </c>
      <c r="AB23" s="762">
        <f t="shared" si="71"/>
        <v>86834.495699346357</v>
      </c>
      <c r="AC23" s="391">
        <f t="shared" si="71"/>
        <v>104241.58044357441</v>
      </c>
      <c r="AD23" s="391">
        <f t="shared" si="71"/>
        <v>122661.38867136768</v>
      </c>
      <c r="AE23" s="391">
        <f t="shared" si="71"/>
        <v>144857.21645473118</v>
      </c>
      <c r="AF23" s="391">
        <f t="shared" si="71"/>
        <v>169140.52970339524</v>
      </c>
      <c r="AG23" s="391">
        <f t="shared" si="71"/>
        <v>196764.23272036723</v>
      </c>
      <c r="AH23" s="391">
        <f t="shared" si="71"/>
        <v>228170.55425002618</v>
      </c>
      <c r="AI23" s="391">
        <f t="shared" si="71"/>
        <v>262384.51125078852</v>
      </c>
      <c r="AJ23" s="391">
        <f t="shared" si="71"/>
        <v>300942.69261982519</v>
      </c>
      <c r="AK23" s="391">
        <f t="shared" si="71"/>
        <v>342800.61958470475</v>
      </c>
      <c r="AL23" s="391">
        <f t="shared" si="71"/>
        <v>345853.55443038756</v>
      </c>
      <c r="AM23" s="391">
        <f t="shared" si="71"/>
        <v>344215.1938306035</v>
      </c>
      <c r="AN23" s="762">
        <f t="shared" si="71"/>
        <v>343961.07696085691</v>
      </c>
      <c r="AO23" s="391">
        <f t="shared" si="71"/>
        <v>346092.52769764024</v>
      </c>
      <c r="AP23" s="391">
        <f t="shared" si="71"/>
        <v>341610.45023586327</v>
      </c>
      <c r="AQ23" s="391">
        <f t="shared" si="71"/>
        <v>344578.01878080773</v>
      </c>
      <c r="AR23" s="391">
        <f t="shared" si="71"/>
        <v>344469.84937347379</v>
      </c>
      <c r="AS23" s="391">
        <f t="shared" si="71"/>
        <v>340576.17754438485</v>
      </c>
      <c r="AT23" s="391">
        <f t="shared" si="71"/>
        <v>342706.71246376605</v>
      </c>
      <c r="AU23" s="391">
        <f t="shared" si="71"/>
        <v>343934.2069122328</v>
      </c>
      <c r="AV23" s="391">
        <f t="shared" si="71"/>
        <v>341145.26302869531</v>
      </c>
      <c r="AW23" s="391">
        <f t="shared" si="71"/>
        <v>342841.50592797791</v>
      </c>
      <c r="AX23" s="391">
        <f t="shared" si="71"/>
        <v>345894.68680447259</v>
      </c>
      <c r="AY23" s="391">
        <f t="shared" si="71"/>
        <v>344256.57371597411</v>
      </c>
      <c r="AZ23" s="762">
        <f t="shared" si="71"/>
        <v>344002.70584689552</v>
      </c>
      <c r="BA23" s="391">
        <f t="shared" si="71"/>
        <v>346134.40708269167</v>
      </c>
      <c r="BB23" s="391">
        <f t="shared" si="71"/>
        <v>341652.58162728837</v>
      </c>
      <c r="BC23" s="391">
        <f t="shared" si="71"/>
        <v>344620.40369503794</v>
      </c>
      <c r="BD23" s="391">
        <f t="shared" si="71"/>
        <v>344512.48933606537</v>
      </c>
      <c r="BE23" s="391">
        <f t="shared" si="71"/>
        <v>340619.07409007417</v>
      </c>
      <c r="BF23" s="391">
        <f t="shared" si="71"/>
        <v>342749.86713652452</v>
      </c>
      <c r="BG23" s="391">
        <f t="shared" si="71"/>
        <v>343977.62126532267</v>
      </c>
      <c r="BH23" s="391">
        <f t="shared" si="71"/>
        <v>341188.9386247255</v>
      </c>
      <c r="BI23" s="391">
        <f t="shared" si="71"/>
        <v>342885.44433896017</v>
      </c>
      <c r="BJ23" s="391">
        <f t="shared" si="71"/>
        <v>345938.88961187808</v>
      </c>
      <c r="BK23" s="391">
        <f t="shared" si="71"/>
        <v>344301.04251079058</v>
      </c>
      <c r="BL23" s="762">
        <f t="shared" si="71"/>
        <v>344047.44222968421</v>
      </c>
      <c r="BM23" s="391">
        <f t="shared" si="71"/>
        <v>346179.41266364511</v>
      </c>
      <c r="BN23" s="391">
        <f t="shared" si="71"/>
        <v>341697.85802628845</v>
      </c>
      <c r="BO23" s="391">
        <f t="shared" si="71"/>
        <v>344665.95254171389</v>
      </c>
      <c r="BP23" s="391">
        <f t="shared" si="71"/>
        <v>344558.31226985273</v>
      </c>
      <c r="BQ23" s="391">
        <f t="shared" si="71"/>
        <v>340665.17276027362</v>
      </c>
      <c r="BR23" s="391">
        <f t="shared" si="71"/>
        <v>342796.24320236139</v>
      </c>
      <c r="BS23" s="391">
        <f t="shared" si="71"/>
        <v>344024.27639600646</v>
      </c>
      <c r="BT23" s="391">
        <f t="shared" si="71"/>
        <v>341235.87449951004</v>
      </c>
      <c r="BU23" s="391">
        <f t="shared" si="71"/>
        <v>342932.66264720418</v>
      </c>
      <c r="BV23" s="391">
        <f t="shared" si="71"/>
        <v>345986.39205310587</v>
      </c>
      <c r="BW23" s="391">
        <f t="shared" si="71"/>
        <v>344348.8307947531</v>
      </c>
      <c r="BX23" s="762">
        <f t="shared" si="71"/>
        <v>344095.51807642099</v>
      </c>
      <c r="BY23" s="391">
        <f t="shared" si="71"/>
        <v>346227.77780354564</v>
      </c>
      <c r="BZ23" s="391">
        <f t="shared" si="71"/>
        <v>341746.51420015481</v>
      </c>
      <c r="CA23" s="391">
        <f t="shared" si="71"/>
        <v>344714.90150082338</v>
      </c>
      <c r="CB23" s="391">
        <f t="shared" si="71"/>
        <v>344607.55577602074</v>
      </c>
      <c r="CC23" s="391">
        <f t="shared" si="71"/>
        <v>340714.71258591727</v>
      </c>
      <c r="CD23" s="391">
        <f t="shared" si="71"/>
        <v>342846.08113056311</v>
      </c>
      <c r="CE23" s="391">
        <f t="shared" ref="CE23:DT23" si="72">SUM(CE13:CE22)+CE6</f>
        <v>344074.41422057821</v>
      </c>
      <c r="CF23" s="391">
        <f t="shared" si="72"/>
        <v>341286.31402505806</v>
      </c>
      <c r="CG23" s="391">
        <f t="shared" si="72"/>
        <v>342983.40568919375</v>
      </c>
      <c r="CH23" s="391">
        <f t="shared" si="72"/>
        <v>346037.44043792662</v>
      </c>
      <c r="CI23" s="391">
        <f t="shared" si="72"/>
        <v>344400.18635978503</v>
      </c>
      <c r="CJ23" s="762">
        <f t="shared" si="72"/>
        <v>344147.18267010018</v>
      </c>
      <c r="CK23" s="391">
        <f t="shared" si="72"/>
        <v>346279.75328543119</v>
      </c>
      <c r="CL23" s="391">
        <f t="shared" si="72"/>
        <v>341798.80244099553</v>
      </c>
      <c r="CM23" s="391">
        <f t="shared" si="72"/>
        <v>344767.50438262511</v>
      </c>
      <c r="CN23" s="391">
        <f t="shared" si="72"/>
        <v>344660.4751921143</v>
      </c>
      <c r="CO23" s="391">
        <f t="shared" si="72"/>
        <v>340767.95044102636</v>
      </c>
      <c r="CP23" s="391">
        <f t="shared" si="72"/>
        <v>342899.63934087305</v>
      </c>
      <c r="CQ23" s="391">
        <f t="shared" si="72"/>
        <v>344128.29471380479</v>
      </c>
      <c r="CR23" s="391">
        <f t="shared" si="72"/>
        <v>341340.51874051703</v>
      </c>
      <c r="CS23" s="391">
        <f t="shared" si="72"/>
        <v>343037.93657787039</v>
      </c>
      <c r="CT23" s="391">
        <f t="shared" si="72"/>
        <v>346092.29946254642</v>
      </c>
      <c r="CU23" s="391">
        <f t="shared" si="72"/>
        <v>344455.37549488374</v>
      </c>
      <c r="CV23" s="762">
        <f t="shared" si="72"/>
        <v>344202.70390209544</v>
      </c>
      <c r="CW23" s="391">
        <f t="shared" si="72"/>
        <v>346335.60861269361</v>
      </c>
      <c r="CX23" s="391">
        <f t="shared" si="72"/>
        <v>341854.99387392082</v>
      </c>
      <c r="CY23" s="391">
        <f t="shared" si="72"/>
        <v>344824.03394370648</v>
      </c>
      <c r="CZ23" s="391">
        <f t="shared" si="72"/>
        <v>344717.34491601511</v>
      </c>
      <c r="DA23" s="391">
        <f t="shared" si="72"/>
        <v>340825.16237465339</v>
      </c>
      <c r="DB23" s="391">
        <f t="shared" si="72"/>
        <v>342957.19554345019</v>
      </c>
      <c r="DC23" s="391">
        <f t="shared" si="72"/>
        <v>344186.19725694729</v>
      </c>
      <c r="DD23" s="391">
        <f t="shared" si="72"/>
        <v>341398.76970830583</v>
      </c>
      <c r="DE23" s="391">
        <f t="shared" si="72"/>
        <v>343096.53806692734</v>
      </c>
      <c r="DF23" s="391">
        <f t="shared" si="72"/>
        <v>346151.25358210952</v>
      </c>
      <c r="DG23" s="391">
        <f t="shared" si="72"/>
        <v>344514.68436688336</v>
      </c>
      <c r="DH23" s="762">
        <f t="shared" si="72"/>
        <v>344262.36966123036</v>
      </c>
      <c r="DI23" s="391">
        <f t="shared" si="72"/>
        <v>346395.63340650813</v>
      </c>
      <c r="DJ23" s="391">
        <f t="shared" si="72"/>
        <v>341915.37986288191</v>
      </c>
      <c r="DK23" s="391">
        <f t="shared" si="72"/>
        <v>344884.78330128151</v>
      </c>
      <c r="DL23" s="391">
        <f t="shared" si="72"/>
        <v>344778.45982875017</v>
      </c>
      <c r="DM23" s="391">
        <f t="shared" si="72"/>
        <v>340886.64504225209</v>
      </c>
      <c r="DN23" s="391">
        <f t="shared" si="72"/>
        <v>343019.04817885254</v>
      </c>
      <c r="DO23" s="391">
        <f t="shared" si="72"/>
        <v>344248.42208640964</v>
      </c>
      <c r="DP23" s="391">
        <f t="shared" si="72"/>
        <v>341461.36897148076</v>
      </c>
      <c r="DQ23" s="391">
        <f t="shared" si="72"/>
        <v>343159.51401694445</v>
      </c>
      <c r="DR23" s="391">
        <f t="shared" si="72"/>
        <v>346214.6084856565</v>
      </c>
      <c r="DS23" s="391">
        <f t="shared" si="72"/>
        <v>344192.20692793233</v>
      </c>
      <c r="DT23" s="762">
        <f t="shared" si="72"/>
        <v>343551.89011487633</v>
      </c>
    </row>
    <row r="24" spans="1:124" ht="18.75" customHeight="1" x14ac:dyDescent="0.25">
      <c r="A24" s="519"/>
      <c r="B24" s="519"/>
      <c r="C24" s="519"/>
      <c r="D24" s="745"/>
      <c r="E24" s="840"/>
      <c r="F24" s="840"/>
      <c r="G24" s="840"/>
      <c r="H24" s="840"/>
      <c r="I24" s="840"/>
      <c r="J24" s="840"/>
      <c r="K24" s="840"/>
      <c r="L24" s="840"/>
      <c r="M24" s="840"/>
      <c r="N24" s="840"/>
      <c r="O24" s="840"/>
      <c r="P24" s="682"/>
      <c r="Q24" s="891"/>
      <c r="R24" s="891"/>
      <c r="S24" s="891"/>
      <c r="T24" s="891"/>
      <c r="U24" s="891"/>
      <c r="V24" s="891"/>
      <c r="W24" s="891"/>
      <c r="X24" s="891"/>
      <c r="Y24" s="891"/>
      <c r="Z24" s="533"/>
      <c r="AA24" s="533"/>
      <c r="AB24" s="763"/>
      <c r="AC24" s="891"/>
      <c r="AD24" s="891"/>
      <c r="AE24" s="891"/>
      <c r="AF24" s="891"/>
      <c r="AG24" s="891"/>
      <c r="AH24" s="891"/>
      <c r="AI24" s="891"/>
      <c r="AJ24" s="891"/>
      <c r="AK24" s="891"/>
      <c r="AL24" s="891"/>
      <c r="AM24" s="891"/>
      <c r="AN24" s="846"/>
      <c r="AO24" s="891"/>
      <c r="AP24" s="891"/>
      <c r="AQ24" s="891"/>
      <c r="AR24" s="891"/>
      <c r="AS24" s="891"/>
      <c r="AT24" s="891"/>
      <c r="AU24" s="891"/>
      <c r="AV24" s="891"/>
      <c r="AW24" s="891"/>
      <c r="AX24" s="891"/>
      <c r="AY24" s="891"/>
      <c r="AZ24" s="846"/>
      <c r="BA24" s="891"/>
      <c r="BB24" s="891"/>
      <c r="BC24" s="891"/>
      <c r="BD24" s="891"/>
      <c r="BE24" s="891"/>
      <c r="BF24" s="891"/>
      <c r="BG24" s="891"/>
      <c r="BH24" s="891"/>
      <c r="BI24" s="891"/>
      <c r="BJ24" s="891"/>
      <c r="BK24" s="891"/>
      <c r="BL24" s="846"/>
      <c r="BM24" s="891"/>
      <c r="BN24" s="891"/>
      <c r="BO24" s="891"/>
      <c r="BP24" s="891"/>
      <c r="BQ24" s="891"/>
      <c r="BR24" s="891"/>
      <c r="BS24" s="891"/>
      <c r="BT24" s="891"/>
      <c r="BU24" s="891"/>
      <c r="BV24" s="891"/>
      <c r="BW24" s="891"/>
      <c r="BX24" s="846"/>
      <c r="BY24" s="891"/>
      <c r="BZ24" s="891"/>
      <c r="CA24" s="891"/>
      <c r="CB24" s="891"/>
      <c r="CC24" s="891"/>
      <c r="CD24" s="891"/>
      <c r="CE24" s="891"/>
      <c r="CF24" s="891"/>
      <c r="CG24" s="891"/>
      <c r="CH24" s="891"/>
      <c r="CI24" s="891"/>
      <c r="CJ24" s="846"/>
      <c r="CK24" s="891"/>
      <c r="CL24" s="891"/>
      <c r="CM24" s="891"/>
      <c r="CN24" s="891"/>
      <c r="CO24" s="891"/>
      <c r="CP24" s="891"/>
      <c r="CQ24" s="891"/>
      <c r="CR24" s="891"/>
      <c r="CS24" s="891"/>
      <c r="CT24" s="891"/>
      <c r="CU24" s="891"/>
      <c r="CV24" s="846"/>
      <c r="CW24" s="891"/>
      <c r="CX24" s="891"/>
      <c r="CY24" s="891"/>
      <c r="CZ24" s="891"/>
      <c r="DA24" s="891"/>
      <c r="DB24" s="891"/>
      <c r="DC24" s="891"/>
      <c r="DD24" s="891"/>
      <c r="DE24" s="891"/>
      <c r="DF24" s="891"/>
      <c r="DG24" s="891"/>
      <c r="DH24" s="846"/>
      <c r="DI24" s="891"/>
      <c r="DJ24" s="891"/>
      <c r="DK24" s="891"/>
      <c r="DL24" s="891"/>
      <c r="DM24" s="891"/>
      <c r="DN24" s="891"/>
      <c r="DO24" s="891"/>
      <c r="DP24" s="891"/>
      <c r="DQ24" s="891"/>
      <c r="DR24" s="891"/>
      <c r="DS24" s="891"/>
      <c r="DT24" s="846"/>
    </row>
    <row r="25" spans="1:124" ht="18.75" customHeight="1" x14ac:dyDescent="0.3">
      <c r="B25" s="159" t="s">
        <v>737</v>
      </c>
      <c r="C25" s="123"/>
      <c r="D25" s="123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521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726"/>
      <c r="AC25" s="889"/>
      <c r="AD25" s="889"/>
      <c r="AE25" s="889"/>
      <c r="AF25" s="889"/>
      <c r="AG25" s="889"/>
      <c r="AH25" s="889"/>
      <c r="AI25" s="889"/>
      <c r="AJ25" s="889"/>
      <c r="AK25" s="889"/>
      <c r="AL25" s="889"/>
      <c r="AM25" s="889"/>
      <c r="AN25" s="726"/>
      <c r="AO25" s="889"/>
      <c r="AP25" s="889"/>
      <c r="AQ25" s="889"/>
      <c r="AR25" s="889"/>
      <c r="AS25" s="889"/>
      <c r="AT25" s="889"/>
      <c r="AU25" s="889"/>
      <c r="AV25" s="889"/>
      <c r="AW25" s="889"/>
      <c r="AX25" s="889"/>
      <c r="AY25" s="889"/>
      <c r="AZ25" s="726"/>
      <c r="BA25" s="889"/>
      <c r="BB25" s="889"/>
      <c r="BC25" s="889"/>
      <c r="BD25" s="889"/>
      <c r="BE25" s="889"/>
      <c r="BF25" s="889"/>
      <c r="BG25" s="889"/>
      <c r="BH25" s="889"/>
      <c r="BI25" s="889"/>
      <c r="BJ25" s="889"/>
      <c r="BK25" s="889"/>
      <c r="BL25" s="726"/>
      <c r="BM25" s="889"/>
      <c r="BN25" s="889"/>
      <c r="BO25" s="889"/>
      <c r="BP25" s="889"/>
      <c r="BQ25" s="889"/>
      <c r="BR25" s="889"/>
      <c r="BS25" s="889"/>
      <c r="BT25" s="889"/>
      <c r="BU25" s="889"/>
      <c r="BV25" s="889"/>
      <c r="BW25" s="889"/>
      <c r="BX25" s="726"/>
      <c r="BY25" s="889"/>
      <c r="BZ25" s="889"/>
      <c r="CA25" s="889"/>
      <c r="CB25" s="889"/>
      <c r="CC25" s="889"/>
      <c r="CD25" s="889"/>
      <c r="CE25" s="889"/>
      <c r="CF25" s="889"/>
      <c r="CG25" s="889"/>
      <c r="CH25" s="889"/>
      <c r="CI25" s="889"/>
      <c r="CJ25" s="726"/>
      <c r="CK25" s="889"/>
      <c r="CL25" s="889"/>
      <c r="CM25" s="889"/>
      <c r="CN25" s="889"/>
      <c r="CO25" s="889"/>
      <c r="CP25" s="889"/>
      <c r="CQ25" s="889"/>
      <c r="CR25" s="889"/>
      <c r="CS25" s="889"/>
      <c r="CT25" s="889"/>
      <c r="CU25" s="889"/>
      <c r="CV25" s="726"/>
      <c r="CW25" s="889"/>
      <c r="CX25" s="889"/>
      <c r="CY25" s="889"/>
      <c r="CZ25" s="889"/>
      <c r="DA25" s="889"/>
      <c r="DB25" s="889"/>
      <c r="DC25" s="889"/>
      <c r="DD25" s="889"/>
      <c r="DE25" s="889"/>
      <c r="DF25" s="889"/>
      <c r="DG25" s="889"/>
      <c r="DH25" s="726"/>
      <c r="DI25" s="889"/>
      <c r="DJ25" s="889"/>
      <c r="DK25" s="889"/>
      <c r="DL25" s="889"/>
      <c r="DM25" s="889"/>
      <c r="DN25" s="889"/>
      <c r="DO25" s="889"/>
      <c r="DP25" s="889"/>
      <c r="DQ25" s="889"/>
      <c r="DR25" s="889"/>
      <c r="DS25" s="889"/>
      <c r="DT25" s="726"/>
    </row>
    <row r="26" spans="1:124" ht="18.75" customHeight="1" x14ac:dyDescent="0.25">
      <c r="B26" s="754" t="s">
        <v>557</v>
      </c>
      <c r="C26" s="534"/>
      <c r="D26" s="534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883">
        <f t="shared" ref="O26:AT26" si="73">O6*0.02*15</f>
        <v>144</v>
      </c>
      <c r="P26" s="879">
        <f t="shared" si="73"/>
        <v>144.86651028344059</v>
      </c>
      <c r="Q26" s="882">
        <f t="shared" si="73"/>
        <v>145.738234734043</v>
      </c>
      <c r="R26" s="882">
        <f t="shared" si="73"/>
        <v>146.61520472770638</v>
      </c>
      <c r="S26" s="882">
        <f t="shared" si="73"/>
        <v>147.4974518291321</v>
      </c>
      <c r="T26" s="882">
        <f t="shared" si="73"/>
        <v>148.38500779296004</v>
      </c>
      <c r="U26" s="882">
        <f t="shared" si="73"/>
        <v>149.27790456491149</v>
      </c>
      <c r="V26" s="882">
        <f t="shared" si="73"/>
        <v>150.17617428293897</v>
      </c>
      <c r="W26" s="882">
        <f t="shared" si="73"/>
        <v>151.07984927838291</v>
      </c>
      <c r="X26" s="882">
        <f t="shared" si="73"/>
        <v>151.98896207713551</v>
      </c>
      <c r="Y26" s="882">
        <f t="shared" si="73"/>
        <v>152.90354540081114</v>
      </c>
      <c r="Z26" s="882">
        <f t="shared" si="73"/>
        <v>153.82363216792453</v>
      </c>
      <c r="AA26" s="882">
        <f t="shared" si="73"/>
        <v>154.74925549507515</v>
      </c>
      <c r="AB26" s="880">
        <f t="shared" si="73"/>
        <v>155.68044869813943</v>
      </c>
      <c r="AC26" s="882">
        <f t="shared" si="73"/>
        <v>156.61724529346984</v>
      </c>
      <c r="AD26" s="882">
        <f t="shared" si="73"/>
        <v>157.55967899910127</v>
      </c>
      <c r="AE26" s="882">
        <f t="shared" si="73"/>
        <v>158.50778373596461</v>
      </c>
      <c r="AF26" s="882">
        <f t="shared" si="73"/>
        <v>159.46159362910754</v>
      </c>
      <c r="AG26" s="882">
        <f t="shared" si="73"/>
        <v>160.42114300892317</v>
      </c>
      <c r="AH26" s="882">
        <f t="shared" si="73"/>
        <v>161.38646641238509</v>
      </c>
      <c r="AI26" s="882">
        <f t="shared" si="73"/>
        <v>162.35759858429111</v>
      </c>
      <c r="AJ26" s="882">
        <f t="shared" si="73"/>
        <v>163.33457447851339</v>
      </c>
      <c r="AK26" s="882">
        <f t="shared" si="73"/>
        <v>164.31742925925658</v>
      </c>
      <c r="AL26" s="882">
        <f t="shared" si="73"/>
        <v>165.30619830232368</v>
      </c>
      <c r="AM26" s="882">
        <f t="shared" si="73"/>
        <v>166.30091719638918</v>
      </c>
      <c r="AN26" s="880">
        <f t="shared" si="73"/>
        <v>167.30162174427994</v>
      </c>
      <c r="AO26" s="882">
        <f t="shared" si="73"/>
        <v>168.30834796426399</v>
      </c>
      <c r="AP26" s="882">
        <f t="shared" si="73"/>
        <v>169.32113209134684</v>
      </c>
      <c r="AQ26" s="882">
        <f t="shared" si="73"/>
        <v>170.34001057857566</v>
      </c>
      <c r="AR26" s="882">
        <f t="shared" si="73"/>
        <v>171.36502009835144</v>
      </c>
      <c r="AS26" s="882">
        <f t="shared" si="73"/>
        <v>172.39619754374883</v>
      </c>
      <c r="AT26" s="882">
        <f t="shared" si="73"/>
        <v>173.43358002984402</v>
      </c>
      <c r="AU26" s="882">
        <f t="shared" ref="AU26:BZ26" si="74">AU6*0.02*15</f>
        <v>174.47720489505076</v>
      </c>
      <c r="AV26" s="882">
        <f t="shared" si="74"/>
        <v>175.52710970246414</v>
      </c>
      <c r="AW26" s="882">
        <f t="shared" si="74"/>
        <v>176.58333224121267</v>
      </c>
      <c r="AX26" s="882">
        <f t="shared" si="74"/>
        <v>177.64591052781833</v>
      </c>
      <c r="AY26" s="882">
        <f t="shared" si="74"/>
        <v>178.714882807565</v>
      </c>
      <c r="AZ26" s="880">
        <f t="shared" si="74"/>
        <v>179.79028755587493</v>
      </c>
      <c r="BA26" s="882">
        <f t="shared" si="74"/>
        <v>180.87216347969368</v>
      </c>
      <c r="BB26" s="882">
        <f t="shared" si="74"/>
        <v>181.96054951888328</v>
      </c>
      <c r="BC26" s="882">
        <f t="shared" si="74"/>
        <v>183.0554848476236</v>
      </c>
      <c r="BD26" s="882">
        <f t="shared" si="74"/>
        <v>184.1570088758227</v>
      </c>
      <c r="BE26" s="882">
        <f t="shared" si="74"/>
        <v>185.26516125053487</v>
      </c>
      <c r="BF26" s="882">
        <f t="shared" si="74"/>
        <v>186.37998185738812</v>
      </c>
      <c r="BG26" s="882">
        <f t="shared" si="74"/>
        <v>187.50151082201933</v>
      </c>
      <c r="BH26" s="882">
        <f t="shared" si="74"/>
        <v>188.6297885115188</v>
      </c>
      <c r="BI26" s="882">
        <f t="shared" si="74"/>
        <v>189.76485553588304</v>
      </c>
      <c r="BJ26" s="882">
        <f t="shared" si="74"/>
        <v>190.90675274947648</v>
      </c>
      <c r="BK26" s="882">
        <f t="shared" si="74"/>
        <v>192.05552125250193</v>
      </c>
      <c r="BL26" s="880">
        <f t="shared" si="74"/>
        <v>193.21120239247995</v>
      </c>
      <c r="BM26" s="882">
        <f t="shared" si="74"/>
        <v>194.37383776573691</v>
      </c>
      <c r="BN26" s="882">
        <f t="shared" si="74"/>
        <v>195.54346921890237</v>
      </c>
      <c r="BO26" s="882">
        <f t="shared" si="74"/>
        <v>196.72013885041503</v>
      </c>
      <c r="BP26" s="882">
        <f t="shared" si="74"/>
        <v>197.90388901203823</v>
      </c>
      <c r="BQ26" s="882">
        <f t="shared" si="74"/>
        <v>199.09476231038414</v>
      </c>
      <c r="BR26" s="882">
        <f t="shared" si="74"/>
        <v>200.29280160844738</v>
      </c>
      <c r="BS26" s="882">
        <f t="shared" si="74"/>
        <v>201.49805002714766</v>
      </c>
      <c r="BT26" s="882">
        <f t="shared" si="74"/>
        <v>202.71055094688202</v>
      </c>
      <c r="BU26" s="882">
        <f t="shared" si="74"/>
        <v>203.930348009086</v>
      </c>
      <c r="BV26" s="882">
        <f t="shared" si="74"/>
        <v>205.1574851178047</v>
      </c>
      <c r="BW26" s="882">
        <f t="shared" si="74"/>
        <v>206.39200644127266</v>
      </c>
      <c r="BX26" s="880">
        <f t="shared" si="74"/>
        <v>207.63395641350385</v>
      </c>
      <c r="BY26" s="882">
        <f t="shared" si="74"/>
        <v>208.883379735891</v>
      </c>
      <c r="BZ26" s="882">
        <f t="shared" si="74"/>
        <v>210.14032137881443</v>
      </c>
      <c r="CA26" s="882">
        <f t="shared" ref="CA26:DF26" si="75">CA6*0.02*15</f>
        <v>211.40482658326059</v>
      </c>
      <c r="CB26" s="882">
        <f t="shared" si="75"/>
        <v>212.67694086245064</v>
      </c>
      <c r="CC26" s="882">
        <f t="shared" si="75"/>
        <v>213.95671000347838</v>
      </c>
      <c r="CD26" s="882">
        <f t="shared" si="75"/>
        <v>215.24418006895843</v>
      </c>
      <c r="CE26" s="882">
        <f t="shared" si="75"/>
        <v>216.539397398684</v>
      </c>
      <c r="CF26" s="882">
        <f t="shared" si="75"/>
        <v>217.84240861129499</v>
      </c>
      <c r="CG26" s="882">
        <f t="shared" si="75"/>
        <v>219.15326060595575</v>
      </c>
      <c r="CH26" s="882">
        <f t="shared" si="75"/>
        <v>220.47200056404321</v>
      </c>
      <c r="CI26" s="882">
        <f t="shared" si="75"/>
        <v>221.79867595084502</v>
      </c>
      <c r="CJ26" s="880">
        <f t="shared" si="75"/>
        <v>223.133334517268</v>
      </c>
      <c r="CK26" s="882">
        <f t="shared" si="75"/>
        <v>224.47602430155689</v>
      </c>
      <c r="CL26" s="882">
        <f t="shared" si="75"/>
        <v>225.82679363102324</v>
      </c>
      <c r="CM26" s="882">
        <f t="shared" si="75"/>
        <v>227.18569112378501</v>
      </c>
      <c r="CN26" s="882">
        <f t="shared" si="75"/>
        <v>228.55276569051637</v>
      </c>
      <c r="CO26" s="882">
        <f t="shared" si="75"/>
        <v>229.92806653620812</v>
      </c>
      <c r="CP26" s="882">
        <f t="shared" si="75"/>
        <v>231.31164316193892</v>
      </c>
      <c r="CQ26" s="882">
        <f t="shared" si="75"/>
        <v>232.7035453666567</v>
      </c>
      <c r="CR26" s="882">
        <f t="shared" si="75"/>
        <v>234.1038232489712</v>
      </c>
      <c r="CS26" s="882">
        <f t="shared" si="75"/>
        <v>235.51252720895724</v>
      </c>
      <c r="CT26" s="882">
        <f t="shared" si="75"/>
        <v>236.92970794996862</v>
      </c>
      <c r="CU26" s="882">
        <f t="shared" si="75"/>
        <v>238.35541648046319</v>
      </c>
      <c r="CV26" s="880">
        <f t="shared" si="75"/>
        <v>239.78970411583876</v>
      </c>
      <c r="CW26" s="882">
        <f t="shared" si="75"/>
        <v>241.23262248028004</v>
      </c>
      <c r="CX26" s="882">
        <f t="shared" si="75"/>
        <v>242.68422350861684</v>
      </c>
      <c r="CY26" s="882">
        <f t="shared" si="75"/>
        <v>244.14455944819329</v>
      </c>
      <c r="CZ26" s="882">
        <f t="shared" si="75"/>
        <v>245.61368286074836</v>
      </c>
      <c r="DA26" s="882">
        <f t="shared" si="75"/>
        <v>247.09164662430771</v>
      </c>
      <c r="DB26" s="882">
        <f t="shared" si="75"/>
        <v>248.57850393508701</v>
      </c>
      <c r="DC26" s="882">
        <f t="shared" si="75"/>
        <v>250.07430830940666</v>
      </c>
      <c r="DD26" s="882">
        <f t="shared" si="75"/>
        <v>251.5791135856177</v>
      </c>
      <c r="DE26" s="882">
        <f t="shared" si="75"/>
        <v>253.09297392603995</v>
      </c>
      <c r="DF26" s="882">
        <f t="shared" si="75"/>
        <v>254.61594381891126</v>
      </c>
      <c r="DG26" s="882">
        <f t="shared" ref="DG26:DT26" si="76">DG6*0.02*15</f>
        <v>256.14807808034885</v>
      </c>
      <c r="DH26" s="880">
        <f t="shared" si="76"/>
        <v>257.68943185632219</v>
      </c>
      <c r="DI26" s="882">
        <f t="shared" si="76"/>
        <v>259.24006062463792</v>
      </c>
      <c r="DJ26" s="882">
        <f t="shared" si="76"/>
        <v>260.80002019693654</v>
      </c>
      <c r="DK26" s="882">
        <f t="shared" si="76"/>
        <v>262.36936672070158</v>
      </c>
      <c r="DL26" s="882">
        <f t="shared" si="76"/>
        <v>263.94815668127984</v>
      </c>
      <c r="DM26" s="882">
        <f t="shared" si="76"/>
        <v>265.53644690391536</v>
      </c>
      <c r="DN26" s="882">
        <f t="shared" si="76"/>
        <v>267.13429455579393</v>
      </c>
      <c r="DO26" s="882">
        <f t="shared" si="76"/>
        <v>268.74175714810116</v>
      </c>
      <c r="DP26" s="882">
        <f t="shared" si="76"/>
        <v>270.35889253809222</v>
      </c>
      <c r="DQ26" s="882">
        <f t="shared" si="76"/>
        <v>271.98575893117464</v>
      </c>
      <c r="DR26" s="882">
        <f t="shared" si="76"/>
        <v>273.62241488300276</v>
      </c>
      <c r="DS26" s="882">
        <f t="shared" si="76"/>
        <v>275.26891930158581</v>
      </c>
      <c r="DT26" s="880">
        <f t="shared" si="76"/>
        <v>276.92533144940802</v>
      </c>
    </row>
    <row r="27" spans="1:124" ht="15" x14ac:dyDescent="0.25">
      <c r="B27" s="754" t="s">
        <v>381</v>
      </c>
      <c r="C27" s="510"/>
      <c r="D27" s="510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>
        <f>'Batch 1'!D68</f>
        <v>288.87764926177454</v>
      </c>
      <c r="P27" s="497">
        <f>'Batch 1'!E68</f>
        <v>504.90132590189091</v>
      </c>
      <c r="Q27" s="282">
        <f>'Batch 1'!F68</f>
        <v>1238.6574906806884</v>
      </c>
      <c r="R27" s="282">
        <f>'Batch 1'!G68</f>
        <v>1507.2007399422541</v>
      </c>
      <c r="S27" s="282">
        <f>'Batch 1'!H68</f>
        <v>2625.9287147819114</v>
      </c>
      <c r="T27" s="282">
        <f>'Batch 1'!I68</f>
        <v>3548.6748681259546</v>
      </c>
      <c r="U27" s="282">
        <f>'Batch 1'!J68</f>
        <v>4415.0256314640501</v>
      </c>
      <c r="V27" s="282">
        <f>'Batch 1'!K68</f>
        <v>5024.9721589000119</v>
      </c>
      <c r="W27" s="282">
        <f>'Batch 1'!L68</f>
        <v>4598.0227384994369</v>
      </c>
      <c r="X27" s="282">
        <f>'Batch 1'!M68</f>
        <v>4564.3131013029442</v>
      </c>
      <c r="Y27" s="282">
        <f>'Batch 1'!N68</f>
        <v>5240.2453495684658</v>
      </c>
      <c r="Z27" s="282">
        <f>'Batch 1'!O68</f>
        <v>5729.3169121208211</v>
      </c>
      <c r="AA27" s="282">
        <f>'Batch 1'!P68</f>
        <v>5580.7842409579544</v>
      </c>
      <c r="AB27" s="766">
        <f>'Batch 1'!Q68</f>
        <v>5727.1144763670336</v>
      </c>
      <c r="AC27" s="282">
        <f>'Batch 1'!R68</f>
        <v>7175.384779322264</v>
      </c>
      <c r="AD27" s="282">
        <f>'Batch 1'!S68</f>
        <v>7873.7416746039617</v>
      </c>
      <c r="AE27" s="282">
        <f>'Batch 1'!T68</f>
        <v>9082.1534917929785</v>
      </c>
      <c r="AF27" s="282">
        <f>'Batch 1'!U68</f>
        <v>9945.0109410992791</v>
      </c>
      <c r="AG27" s="282">
        <f>'Batch 1'!V68</f>
        <v>11448.164077644544</v>
      </c>
      <c r="AH27" s="282">
        <f>'Batch 1'!W68</f>
        <v>12857.380149781382</v>
      </c>
      <c r="AI27" s="282">
        <f>'Batch 1'!X68</f>
        <v>13949.082085808881</v>
      </c>
      <c r="AJ27" s="282">
        <f>'Batch 1'!Y68</f>
        <v>15095.087553578032</v>
      </c>
      <c r="AK27" s="282">
        <f>'Batch 1'!Z68</f>
        <v>17761.316405477493</v>
      </c>
      <c r="AL27" s="282">
        <f>'Batch 1'!AA68</f>
        <v>12968.565088758129</v>
      </c>
      <c r="AM27" s="282">
        <f>'Batch 1'!AB68</f>
        <v>6617.9587152929053</v>
      </c>
      <c r="AN27" s="766">
        <f>'Batch 1'!AC65</f>
        <v>0</v>
      </c>
      <c r="AO27" s="282">
        <f>'Batch 1'!AD65</f>
        <v>0</v>
      </c>
      <c r="AP27" s="282">
        <f>'Batch 1'!AE65</f>
        <v>0</v>
      </c>
      <c r="AQ27" s="282">
        <f>'Batch 1'!AF65</f>
        <v>0</v>
      </c>
      <c r="AR27" s="282">
        <f>'Batch 1'!AG65</f>
        <v>0</v>
      </c>
      <c r="AS27" s="282">
        <f>'Batch 1'!AH65</f>
        <v>0</v>
      </c>
      <c r="AT27" s="282">
        <f>'Batch 1'!AI65</f>
        <v>0</v>
      </c>
      <c r="AU27" s="282">
        <f>'Batch 1'!AJ65</f>
        <v>0</v>
      </c>
      <c r="AV27" s="282">
        <f>'Batch 1'!AK65</f>
        <v>0</v>
      </c>
      <c r="AW27" s="282">
        <f>'Batch 1'!AL65</f>
        <v>0</v>
      </c>
      <c r="AX27" s="282">
        <f>'Batch 1'!AM65</f>
        <v>0</v>
      </c>
      <c r="AY27" s="282">
        <f>'Batch 1'!AN65</f>
        <v>0</v>
      </c>
      <c r="AZ27" s="766">
        <f>'Batch 1'!AO65</f>
        <v>0</v>
      </c>
      <c r="BA27" s="282">
        <f>'Batch 1'!AP65</f>
        <v>0</v>
      </c>
      <c r="BB27" s="282">
        <f>'Batch 1'!AQ65</f>
        <v>0</v>
      </c>
      <c r="BC27" s="282">
        <f>'Batch 1'!AR65</f>
        <v>0</v>
      </c>
      <c r="BD27" s="282">
        <f>'Batch 1'!AS65</f>
        <v>0</v>
      </c>
      <c r="BE27" s="282">
        <f>'Batch 1'!AT65</f>
        <v>0</v>
      </c>
      <c r="BF27" s="282">
        <f>'Batch 1'!AU65</f>
        <v>0</v>
      </c>
      <c r="BG27" s="282">
        <f>'Batch 1'!AV65</f>
        <v>0</v>
      </c>
      <c r="BH27" s="282">
        <f>'Batch 1'!AW65</f>
        <v>0</v>
      </c>
      <c r="BI27" s="282">
        <f>'Batch 1'!AX65</f>
        <v>0</v>
      </c>
      <c r="BJ27" s="282">
        <f>'Batch 1'!AY65</f>
        <v>0</v>
      </c>
      <c r="BK27" s="282"/>
      <c r="BL27" s="766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766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766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766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766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766"/>
    </row>
    <row r="28" spans="1:124" ht="15" x14ac:dyDescent="0.25">
      <c r="B28" s="754" t="s">
        <v>382</v>
      </c>
      <c r="C28" s="510"/>
      <c r="D28" s="510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97"/>
      <c r="Q28" s="282"/>
      <c r="R28" s="312">
        <f>Batch2!D68</f>
        <v>274.22137590955009</v>
      </c>
      <c r="S28" s="312">
        <f>Batch2!E68</f>
        <v>576.41608487536291</v>
      </c>
      <c r="T28" s="312">
        <f>Batch2!F68</f>
        <v>1243.3951754301429</v>
      </c>
      <c r="U28" s="312">
        <f>Batch2!G68</f>
        <v>1620.3649217642235</v>
      </c>
      <c r="V28" s="312">
        <f>Batch2!H68</f>
        <v>2747.9356595170584</v>
      </c>
      <c r="W28" s="312">
        <f>Batch2!I68</f>
        <v>3713.5548117745443</v>
      </c>
      <c r="X28" s="312">
        <f>Batch2!J68</f>
        <v>4620.1583089773585</v>
      </c>
      <c r="Y28" s="312">
        <f>Batch2!K68</f>
        <v>5055.2266316002451</v>
      </c>
      <c r="Z28" s="312">
        <f>Batch2!L68</f>
        <v>4942.0369873555874</v>
      </c>
      <c r="AA28" s="312">
        <f>Batch2!M68</f>
        <v>4762.5216149894641</v>
      </c>
      <c r="AB28" s="313">
        <f>Batch2!N68</f>
        <v>5069.2746265267861</v>
      </c>
      <c r="AC28" s="282">
        <f>Batch2!O68</f>
        <v>5910.5442988806772</v>
      </c>
      <c r="AD28" s="312">
        <f>Batch2!P68</f>
        <v>5556.4873392729323</v>
      </c>
      <c r="AE28" s="312">
        <f>Batch2!Q68</f>
        <v>6566.0440215693534</v>
      </c>
      <c r="AF28" s="312">
        <f>Batch2!R68</f>
        <v>7203.8404847066513</v>
      </c>
      <c r="AG28" s="312">
        <f>Batch2!S68</f>
        <v>8450.2927691283239</v>
      </c>
      <c r="AH28" s="312">
        <f>Batch2!T68</f>
        <v>9447.2530159639409</v>
      </c>
      <c r="AI28" s="312">
        <f>Batch2!U68</f>
        <v>10173.475847516836</v>
      </c>
      <c r="AJ28" s="312">
        <f>Batch2!V68</f>
        <v>11885.716514042257</v>
      </c>
      <c r="AK28" s="312">
        <f>Batch2!W68</f>
        <v>12885.616554450411</v>
      </c>
      <c r="AL28" s="312">
        <f>Batch2!X68</f>
        <v>13944.251591231743</v>
      </c>
      <c r="AM28" s="312">
        <f>Batch2!Y68</f>
        <v>15556.288300136865</v>
      </c>
      <c r="AN28" s="313">
        <f>Batch2!Z68</f>
        <v>16998.99908844845</v>
      </c>
      <c r="AO28" s="282">
        <f>Batch2!AA68</f>
        <v>13270.57228377976</v>
      </c>
      <c r="AP28" s="282">
        <f>Batch2!AB68</f>
        <v>6532.2844247465027</v>
      </c>
      <c r="AQ28" s="282">
        <f>Batch2!AC68</f>
        <v>0</v>
      </c>
      <c r="AR28" s="282">
        <f>Batch2!AD68</f>
        <v>0</v>
      </c>
      <c r="AS28" s="282">
        <f>Batch2!AE68</f>
        <v>0</v>
      </c>
      <c r="AT28" s="282">
        <f>Batch2!AF68</f>
        <v>0</v>
      </c>
      <c r="AU28" s="282">
        <f>Batch2!AG68</f>
        <v>0</v>
      </c>
      <c r="AV28" s="312">
        <f>Batch2!AF65</f>
        <v>0</v>
      </c>
      <c r="AW28" s="312">
        <f>Batch2!AG65</f>
        <v>0</v>
      </c>
      <c r="AX28" s="312">
        <f>Batch2!AH65</f>
        <v>0</v>
      </c>
      <c r="AY28" s="312">
        <f>Batch2!AI65</f>
        <v>0</v>
      </c>
      <c r="AZ28" s="313">
        <f>Batch2!AJ65</f>
        <v>0</v>
      </c>
      <c r="BA28" s="282">
        <f>Batch2!AK65</f>
        <v>0</v>
      </c>
      <c r="BB28" s="312">
        <f>Batch2!AL65</f>
        <v>0</v>
      </c>
      <c r="BC28" s="312">
        <f>Batch2!AM65</f>
        <v>0</v>
      </c>
      <c r="BD28" s="312">
        <f>Batch2!AN65</f>
        <v>0</v>
      </c>
      <c r="BE28" s="312">
        <f>Batch2!AO65</f>
        <v>0</v>
      </c>
      <c r="BF28" s="312">
        <f>Batch2!AP65</f>
        <v>0</v>
      </c>
      <c r="BG28" s="312">
        <f>Batch2!AQ65</f>
        <v>0</v>
      </c>
      <c r="BH28" s="312">
        <f>Batch2!AR65</f>
        <v>0</v>
      </c>
      <c r="BI28" s="312">
        <f>Batch2!AQ68</f>
        <v>0</v>
      </c>
      <c r="BJ28" s="312">
        <f>Batch2!AR68</f>
        <v>0</v>
      </c>
      <c r="BK28" s="312">
        <f>Batch2!AS68</f>
        <v>0</v>
      </c>
      <c r="BL28" s="313">
        <f>Batch2!AT68</f>
        <v>0</v>
      </c>
      <c r="BM28" s="282">
        <f>Batch2!AU68</f>
        <v>0</v>
      </c>
      <c r="BN28" s="312">
        <f>Batch2!AV68</f>
        <v>0</v>
      </c>
      <c r="BO28" s="312">
        <f>Batch2!AW68</f>
        <v>0</v>
      </c>
      <c r="BP28" s="312">
        <f>Batch2!AX68</f>
        <v>0</v>
      </c>
      <c r="BQ28" s="312">
        <f>Batch2!AY68</f>
        <v>0</v>
      </c>
      <c r="BR28" s="312">
        <f>Batch2!AZ68</f>
        <v>0</v>
      </c>
      <c r="BS28" s="312">
        <f>Batch2!BA68</f>
        <v>0</v>
      </c>
      <c r="BT28" s="312">
        <f>Batch2!BB68</f>
        <v>0</v>
      </c>
      <c r="BU28" s="312">
        <f>Batch2!BC68</f>
        <v>0</v>
      </c>
      <c r="BV28" s="312">
        <f>Batch2!BD68</f>
        <v>0</v>
      </c>
      <c r="BW28" s="312">
        <f>Batch2!BE68</f>
        <v>0</v>
      </c>
      <c r="BX28" s="313">
        <f>Batch2!BF68</f>
        <v>0</v>
      </c>
      <c r="BY28" s="107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8"/>
      <c r="CK28" s="107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8"/>
      <c r="CW28" s="107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8"/>
      <c r="DI28" s="107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8"/>
    </row>
    <row r="29" spans="1:124" ht="15" x14ac:dyDescent="0.25">
      <c r="B29" s="754" t="s">
        <v>383</v>
      </c>
      <c r="C29" s="510"/>
      <c r="D29" s="510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97"/>
      <c r="Q29" s="107"/>
      <c r="R29" s="106"/>
      <c r="S29" s="106"/>
      <c r="T29" s="106"/>
      <c r="U29" s="106">
        <f>Batch3!D68</f>
        <v>288.87764926177454</v>
      </c>
      <c r="V29" s="106">
        <f>Batch3!E68</f>
        <v>593.74834013148029</v>
      </c>
      <c r="W29" s="106">
        <f>Batch3!F68</f>
        <v>1280.7828249601519</v>
      </c>
      <c r="X29" s="106">
        <f>Batch3!G68</f>
        <v>1669.0876745967523</v>
      </c>
      <c r="Y29" s="106">
        <f>Batch3!H68</f>
        <v>2705.098460320582</v>
      </c>
      <c r="Z29" s="106">
        <f>Batch3!I68</f>
        <v>3919.1763990134946</v>
      </c>
      <c r="AA29" s="106">
        <f>Batch3!J68</f>
        <v>4745.0993230330441</v>
      </c>
      <c r="AB29" s="108">
        <f>Batch3!K68</f>
        <v>4780.7569632496024</v>
      </c>
      <c r="AC29" s="107">
        <f>Batch3!L68</f>
        <v>4974.5139326457802</v>
      </c>
      <c r="AD29" s="106">
        <f>Batch3!M68</f>
        <v>4623.866828283557</v>
      </c>
      <c r="AE29" s="106">
        <f>Batch3!N68</f>
        <v>5673.690809718003</v>
      </c>
      <c r="AF29" s="106">
        <f>Batch3!O68</f>
        <v>5805.55678195788</v>
      </c>
      <c r="AG29" s="106">
        <f>Batch3!P68</f>
        <v>5831.4853453450942</v>
      </c>
      <c r="AH29" s="106">
        <f>Batch3!Q68</f>
        <v>6679.4655246708508</v>
      </c>
      <c r="AI29" s="106">
        <f>Batch3!R68</f>
        <v>7329.5562096181957</v>
      </c>
      <c r="AJ29" s="106">
        <f>Batch3!S68</f>
        <v>8596.4373178669266</v>
      </c>
      <c r="AK29" s="106">
        <f>Batch3!T68</f>
        <v>9276.1039109102057</v>
      </c>
      <c r="AL29" s="106">
        <f>Batch3!U68</f>
        <v>10678.154121934214</v>
      </c>
      <c r="AM29" s="106">
        <f>Batch3!V68</f>
        <v>12090.507751293979</v>
      </c>
      <c r="AN29" s="108">
        <f>Batch3!W68</f>
        <v>12170.721648790808</v>
      </c>
      <c r="AO29" s="107">
        <f>Batch3!X68</f>
        <v>14076.198679194957</v>
      </c>
      <c r="AP29" s="106">
        <f>Batch3!Y68</f>
        <v>15159.902235747419</v>
      </c>
      <c r="AQ29" s="106">
        <f>Batch3!Z68</f>
        <v>19070.692091146717</v>
      </c>
      <c r="AR29" s="106">
        <f>Batch3!AA68</f>
        <v>13019.133911764622</v>
      </c>
      <c r="AS29" s="106">
        <f>Batch3!AB65</f>
        <v>40962.313879083267</v>
      </c>
      <c r="AT29" s="106">
        <f>Batch3!AC65</f>
        <v>0</v>
      </c>
      <c r="AU29" s="106">
        <f>Batch3!AD65</f>
        <v>0</v>
      </c>
      <c r="AV29" s="106">
        <f>Batch3!AC68</f>
        <v>0</v>
      </c>
      <c r="AW29" s="106">
        <f>Batch3!AD68</f>
        <v>0</v>
      </c>
      <c r="AX29" s="106">
        <f>Batch3!AE68</f>
        <v>0</v>
      </c>
      <c r="AY29" s="106">
        <f>Batch3!AF68</f>
        <v>0</v>
      </c>
      <c r="AZ29" s="108">
        <f>Batch3!AG68</f>
        <v>0</v>
      </c>
      <c r="BA29" s="107">
        <f>Batch3!AH68</f>
        <v>0</v>
      </c>
      <c r="BB29" s="106">
        <f>Batch3!AI68</f>
        <v>0</v>
      </c>
      <c r="BC29" s="106">
        <f>Batch3!AJ68</f>
        <v>0</v>
      </c>
      <c r="BD29" s="106">
        <f>Batch3!AK68</f>
        <v>0</v>
      </c>
      <c r="BE29" s="106">
        <f>Batch3!AL68</f>
        <v>0</v>
      </c>
      <c r="BF29" s="106">
        <f>Batch3!AM68</f>
        <v>0</v>
      </c>
      <c r="BG29" s="106">
        <f>Batch3!AN68</f>
        <v>0</v>
      </c>
      <c r="BH29" s="106">
        <f>Batch3!AO68</f>
        <v>0</v>
      </c>
      <c r="BI29" s="106">
        <f>Batch3!AP68</f>
        <v>0</v>
      </c>
      <c r="BJ29" s="106">
        <f>Batch3!AQ68</f>
        <v>0</v>
      </c>
      <c r="BK29" s="106">
        <f>Batch3!AR68</f>
        <v>0</v>
      </c>
      <c r="BL29" s="108">
        <f>Batch3!AS68</f>
        <v>0</v>
      </c>
      <c r="BM29" s="107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8"/>
      <c r="BY29" s="107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8"/>
      <c r="CK29" s="107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8"/>
      <c r="CW29" s="107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8"/>
      <c r="DI29" s="107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8"/>
    </row>
    <row r="30" spans="1:124" ht="15" x14ac:dyDescent="0.25">
      <c r="B30" s="754" t="s">
        <v>492</v>
      </c>
      <c r="C30" s="510"/>
      <c r="D30" s="510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97"/>
      <c r="Q30" s="107"/>
      <c r="R30" s="106"/>
      <c r="S30" s="106"/>
      <c r="T30" s="106"/>
      <c r="U30" s="106"/>
      <c r="V30" s="106"/>
      <c r="W30" s="106"/>
      <c r="X30" s="106">
        <f>Batch4!D68</f>
        <v>288.87764926177454</v>
      </c>
      <c r="Y30" s="106">
        <f>Batch4!E68</f>
        <v>563.29415443685298</v>
      </c>
      <c r="Z30" s="106">
        <f>Batch4!F68</f>
        <v>1310.4849232793761</v>
      </c>
      <c r="AA30" s="106">
        <f>Batch4!G68</f>
        <v>1668.5594851189869</v>
      </c>
      <c r="AB30" s="108">
        <f>Batch4!H68</f>
        <v>2460.1943083383876</v>
      </c>
      <c r="AC30" s="107">
        <f>Batch4!I68</f>
        <v>3776.7128722327816</v>
      </c>
      <c r="AD30" s="106">
        <f>Batch4!J68</f>
        <v>4387.346350860068</v>
      </c>
      <c r="AE30" s="106">
        <f>Batch4!K68</f>
        <v>5139.5151111267442</v>
      </c>
      <c r="AF30" s="106">
        <f>Batch4!L68</f>
        <v>4702.833488135243</v>
      </c>
      <c r="AG30" s="106">
        <f>Batch4!M68</f>
        <v>4668.3554484002079</v>
      </c>
      <c r="AH30" s="106">
        <f>Batch4!N68</f>
        <v>5556.693099991413</v>
      </c>
      <c r="AI30" s="106">
        <f>Batch4!O68</f>
        <v>5685.839851663879</v>
      </c>
      <c r="AJ30" s="106">
        <f>Batch4!P68</f>
        <v>5711.2337397163583</v>
      </c>
      <c r="AK30" s="106">
        <f>Batch4!Q68</f>
        <v>6313.8598266610861</v>
      </c>
      <c r="AL30" s="106">
        <f>Batch4!R68</f>
        <v>7405.0299314383001</v>
      </c>
      <c r="AM30" s="106">
        <f>Batch4!S68</f>
        <v>8418.9983489330098</v>
      </c>
      <c r="AN30" s="108">
        <f>Batch4!T68</f>
        <v>8433.4253250618458</v>
      </c>
      <c r="AO30" s="107">
        <f>Batch4!U68</f>
        <v>10546.531682504032</v>
      </c>
      <c r="AP30" s="106">
        <f>Batch4!V68</f>
        <v>11357.257518743192</v>
      </c>
      <c r="AQ30" s="106">
        <f>Batch4!W68</f>
        <v>13161.269046598847</v>
      </c>
      <c r="AR30" s="106">
        <f>Batch4!X68</f>
        <v>13323.41962347896</v>
      </c>
      <c r="AS30" s="106">
        <f>Batch4!Y68</f>
        <v>15341.420982916976</v>
      </c>
      <c r="AT30" s="106">
        <f>Batch4!Z68</f>
        <v>18698.059314981452</v>
      </c>
      <c r="AU30" s="106">
        <f>Batch4!AA68</f>
        <v>12764.745870175935</v>
      </c>
      <c r="AV30" s="106">
        <f>Batch4!AB68</f>
        <v>6725.9557348381968</v>
      </c>
      <c r="AW30" s="106">
        <f>Batch4!AC65</f>
        <v>0</v>
      </c>
      <c r="AX30" s="106">
        <f>Batch4!AD65</f>
        <v>0</v>
      </c>
      <c r="AY30" s="106">
        <f>Batch4!AE65</f>
        <v>0</v>
      </c>
      <c r="AZ30" s="108">
        <f>Batch4!AF65</f>
        <v>0</v>
      </c>
      <c r="BA30" s="107">
        <f>Batch4!AG65</f>
        <v>0</v>
      </c>
      <c r="BB30" s="106">
        <f>Batch4!AH65</f>
        <v>0</v>
      </c>
      <c r="BC30" s="106">
        <f>Batch4!AI65</f>
        <v>0</v>
      </c>
      <c r="BD30" s="106">
        <f>Batch4!AJ65</f>
        <v>0</v>
      </c>
      <c r="BE30" s="106">
        <f>Batch4!AK65</f>
        <v>0</v>
      </c>
      <c r="BF30" s="106">
        <f>Batch4!AL65</f>
        <v>0</v>
      </c>
      <c r="BG30" s="106">
        <f>Batch4!AM65</f>
        <v>0</v>
      </c>
      <c r="BH30" s="106">
        <f>Batch4!AL68</f>
        <v>0</v>
      </c>
      <c r="BI30" s="106">
        <f>Batch4!AM68</f>
        <v>0</v>
      </c>
      <c r="BJ30" s="106">
        <f>Batch4!AN68</f>
        <v>0</v>
      </c>
      <c r="BK30" s="106">
        <f>Batch4!AO68</f>
        <v>0</v>
      </c>
      <c r="BL30" s="108">
        <f>Batch4!AP68</f>
        <v>0</v>
      </c>
      <c r="BM30" s="107">
        <f>Batch4!AQ68</f>
        <v>0</v>
      </c>
      <c r="BN30" s="106">
        <f>Batch4!AR68</f>
        <v>0</v>
      </c>
      <c r="BO30" s="106">
        <f>Batch4!AS68</f>
        <v>0</v>
      </c>
      <c r="BP30" s="106">
        <f>Batch4!AT68</f>
        <v>0</v>
      </c>
      <c r="BQ30" s="106">
        <f>Batch4!AU68</f>
        <v>0</v>
      </c>
      <c r="BR30" s="106">
        <f>Batch4!AV68</f>
        <v>0</v>
      </c>
      <c r="BS30" s="106">
        <f>Batch4!AW68</f>
        <v>0</v>
      </c>
      <c r="BT30" s="106">
        <f>Batch4!AX68</f>
        <v>0</v>
      </c>
      <c r="BU30" s="106">
        <f>Batch4!AY68</f>
        <v>0</v>
      </c>
      <c r="BV30" s="106">
        <f>Batch4!AZ68</f>
        <v>0</v>
      </c>
      <c r="BW30" s="106">
        <f>Batch4!BA68</f>
        <v>0</v>
      </c>
      <c r="BX30" s="108">
        <f>Batch4!BB68</f>
        <v>0</v>
      </c>
      <c r="BY30" s="107">
        <f>Batch4!BC68</f>
        <v>0</v>
      </c>
      <c r="BZ30" s="106">
        <f>Batch4!BD68</f>
        <v>0</v>
      </c>
      <c r="CA30" s="106">
        <f>Batch4!BE68</f>
        <v>0</v>
      </c>
      <c r="CB30" s="106">
        <f>Batch4!BF68</f>
        <v>0</v>
      </c>
      <c r="CC30" s="106">
        <f>Batch4!BG68</f>
        <v>0</v>
      </c>
      <c r="CD30" s="106">
        <f>Batch4!BH68</f>
        <v>0</v>
      </c>
      <c r="CE30" s="106">
        <f>Batch4!BI68</f>
        <v>0</v>
      </c>
      <c r="CF30" s="106">
        <f>Batch4!BJ68</f>
        <v>0</v>
      </c>
      <c r="CG30" s="106">
        <f>Batch4!BK68</f>
        <v>0</v>
      </c>
      <c r="CH30" s="106">
        <f>Batch4!BL68</f>
        <v>0</v>
      </c>
      <c r="CI30" s="106">
        <f>Batch4!BM68</f>
        <v>0</v>
      </c>
      <c r="CJ30" s="108">
        <f>Batch4!BN68</f>
        <v>0</v>
      </c>
      <c r="CK30" s="107">
        <f>Batch4!BO68</f>
        <v>0</v>
      </c>
      <c r="CL30" s="106">
        <f>Batch4!BP68</f>
        <v>0</v>
      </c>
      <c r="CM30" s="106">
        <f>Batch4!BQ68</f>
        <v>0</v>
      </c>
      <c r="CN30" s="106">
        <f>Batch4!BR68</f>
        <v>0</v>
      </c>
      <c r="CO30" s="106">
        <f>Batch4!BS68</f>
        <v>0</v>
      </c>
      <c r="CP30" s="106">
        <f>Batch4!BT68</f>
        <v>0</v>
      </c>
      <c r="CQ30" s="106">
        <f>Batch4!BU68</f>
        <v>0</v>
      </c>
      <c r="CR30" s="106">
        <f>Batch4!BV68</f>
        <v>0</v>
      </c>
      <c r="CS30" s="106">
        <f>Batch4!BW68</f>
        <v>0</v>
      </c>
      <c r="CT30" s="106">
        <f>Batch4!BX68</f>
        <v>0</v>
      </c>
      <c r="CU30" s="106">
        <f>Batch4!BY68</f>
        <v>0</v>
      </c>
      <c r="CV30" s="108">
        <f>Batch4!BZ68</f>
        <v>0</v>
      </c>
      <c r="CW30" s="107">
        <f>Batch4!CA68</f>
        <v>0</v>
      </c>
      <c r="CX30" s="106">
        <f>Batch4!CB68</f>
        <v>0</v>
      </c>
      <c r="CY30" s="106">
        <f>Batch4!CC68</f>
        <v>0</v>
      </c>
      <c r="CZ30" s="106">
        <f>Batch4!CD68</f>
        <v>0</v>
      </c>
      <c r="DA30" s="106">
        <f>Batch4!CE68</f>
        <v>0</v>
      </c>
      <c r="DB30" s="106">
        <f>Batch4!CF68</f>
        <v>0</v>
      </c>
      <c r="DC30" s="106">
        <f>Batch4!CG68</f>
        <v>0</v>
      </c>
      <c r="DD30" s="106">
        <f>Batch4!CH68</f>
        <v>0</v>
      </c>
      <c r="DE30" s="106">
        <f>Batch4!CI68</f>
        <v>0</v>
      </c>
      <c r="DF30" s="106">
        <f>Batch4!CJ68</f>
        <v>0</v>
      </c>
      <c r="DG30" s="106">
        <f>Batch4!CK68</f>
        <v>0</v>
      </c>
      <c r="DH30" s="108">
        <f>Batch4!CL68</f>
        <v>0</v>
      </c>
      <c r="DI30" s="107">
        <f>Batch4!CM68</f>
        <v>0</v>
      </c>
      <c r="DJ30" s="106">
        <f>Batch4!CN68</f>
        <v>0</v>
      </c>
      <c r="DK30" s="106">
        <f>Batch4!CO68</f>
        <v>0</v>
      </c>
      <c r="DL30" s="106">
        <f>Batch4!CP68</f>
        <v>0</v>
      </c>
      <c r="DM30" s="106">
        <f>Batch4!CQ68</f>
        <v>0</v>
      </c>
      <c r="DN30" s="106"/>
      <c r="DO30" s="106"/>
      <c r="DP30" s="106"/>
      <c r="DQ30" s="106"/>
      <c r="DR30" s="106"/>
      <c r="DS30" s="106"/>
      <c r="DT30" s="108"/>
    </row>
    <row r="31" spans="1:124" ht="15" x14ac:dyDescent="0.25">
      <c r="B31" s="405" t="s">
        <v>370</v>
      </c>
      <c r="C31" s="55">
        <v>1</v>
      </c>
      <c r="D31" s="55"/>
      <c r="E31" s="403"/>
      <c r="F31" s="404"/>
      <c r="G31" s="404"/>
      <c r="H31" s="404"/>
      <c r="I31" s="404"/>
      <c r="J31" s="404"/>
      <c r="K31" s="404"/>
      <c r="L31" s="404"/>
      <c r="M31" s="404"/>
      <c r="N31" s="404"/>
      <c r="O31" s="404">
        <f>SUM(O27:O30)</f>
        <v>288.87764926177454</v>
      </c>
      <c r="P31" s="497">
        <f t="shared" ref="P31:AV31" si="77">SUM(P27:P30)</f>
        <v>504.90132590189091</v>
      </c>
      <c r="Q31" s="107">
        <f t="shared" si="77"/>
        <v>1238.6574906806884</v>
      </c>
      <c r="R31" s="107">
        <f t="shared" si="77"/>
        <v>1781.4221158518042</v>
      </c>
      <c r="S31" s="107">
        <f t="shared" si="77"/>
        <v>3202.3447996572741</v>
      </c>
      <c r="T31" s="107">
        <f t="shared" si="77"/>
        <v>4792.0700435560975</v>
      </c>
      <c r="U31" s="107">
        <f t="shared" si="77"/>
        <v>6324.2682024900478</v>
      </c>
      <c r="V31" s="107">
        <f t="shared" si="77"/>
        <v>8366.6561585485506</v>
      </c>
      <c r="W31" s="107">
        <f t="shared" si="77"/>
        <v>9592.3603752341332</v>
      </c>
      <c r="X31" s="107">
        <f t="shared" si="77"/>
        <v>11142.43673413883</v>
      </c>
      <c r="Y31" s="107">
        <f t="shared" si="77"/>
        <v>13563.864595926145</v>
      </c>
      <c r="Z31" s="107">
        <f t="shared" si="77"/>
        <v>15901.015221769281</v>
      </c>
      <c r="AA31" s="107">
        <f t="shared" si="77"/>
        <v>16756.964664099451</v>
      </c>
      <c r="AB31" s="739">
        <f t="shared" si="77"/>
        <v>18037.34037448181</v>
      </c>
      <c r="AC31" s="107">
        <f t="shared" si="77"/>
        <v>21837.155883081505</v>
      </c>
      <c r="AD31" s="107">
        <f t="shared" si="77"/>
        <v>22441.442193020521</v>
      </c>
      <c r="AE31" s="107">
        <f t="shared" si="77"/>
        <v>26461.403434207077</v>
      </c>
      <c r="AF31" s="107">
        <f t="shared" si="77"/>
        <v>27657.241695899051</v>
      </c>
      <c r="AG31" s="107">
        <f t="shared" si="77"/>
        <v>30398.297640518169</v>
      </c>
      <c r="AH31" s="107">
        <f t="shared" si="77"/>
        <v>34540.791790407588</v>
      </c>
      <c r="AI31" s="107">
        <f t="shared" si="77"/>
        <v>37137.953994607793</v>
      </c>
      <c r="AJ31" s="107">
        <f t="shared" si="77"/>
        <v>41288.475125203571</v>
      </c>
      <c r="AK31" s="107">
        <f t="shared" si="77"/>
        <v>46236.8966974992</v>
      </c>
      <c r="AL31" s="107">
        <f t="shared" si="77"/>
        <v>44996.000733362387</v>
      </c>
      <c r="AM31" s="107">
        <f t="shared" si="77"/>
        <v>42683.753115656764</v>
      </c>
      <c r="AN31" s="739">
        <f t="shared" si="77"/>
        <v>37603.146062301108</v>
      </c>
      <c r="AO31" s="107">
        <f t="shared" si="77"/>
        <v>37893.302645478747</v>
      </c>
      <c r="AP31" s="107">
        <f t="shared" si="77"/>
        <v>33049.444179237114</v>
      </c>
      <c r="AQ31" s="107">
        <f t="shared" si="77"/>
        <v>32231.961137745566</v>
      </c>
      <c r="AR31" s="107">
        <f t="shared" si="77"/>
        <v>26342.553535243584</v>
      </c>
      <c r="AS31" s="107">
        <f t="shared" si="77"/>
        <v>56303.734862000245</v>
      </c>
      <c r="AT31" s="107">
        <f t="shared" si="77"/>
        <v>18698.059314981452</v>
      </c>
      <c r="AU31" s="107">
        <f t="shared" si="77"/>
        <v>12764.745870175935</v>
      </c>
      <c r="AV31" s="107">
        <f t="shared" si="77"/>
        <v>6725.9557348381968</v>
      </c>
      <c r="AW31" s="107">
        <f t="shared" ref="AW31:BI31" si="78">SUM(AW27:AW30)</f>
        <v>0</v>
      </c>
      <c r="AX31" s="107">
        <f t="shared" si="78"/>
        <v>0</v>
      </c>
      <c r="AY31" s="107">
        <f t="shared" si="78"/>
        <v>0</v>
      </c>
      <c r="AZ31" s="739">
        <f t="shared" si="78"/>
        <v>0</v>
      </c>
      <c r="BA31" s="107">
        <f t="shared" si="78"/>
        <v>0</v>
      </c>
      <c r="BB31" s="107">
        <f t="shared" si="78"/>
        <v>0</v>
      </c>
      <c r="BC31" s="107">
        <f t="shared" si="78"/>
        <v>0</v>
      </c>
      <c r="BD31" s="107">
        <f t="shared" si="78"/>
        <v>0</v>
      </c>
      <c r="BE31" s="107">
        <f t="shared" si="78"/>
        <v>0</v>
      </c>
      <c r="BF31" s="107">
        <f t="shared" si="78"/>
        <v>0</v>
      </c>
      <c r="BG31" s="107">
        <f t="shared" si="78"/>
        <v>0</v>
      </c>
      <c r="BH31" s="107">
        <f t="shared" si="78"/>
        <v>0</v>
      </c>
      <c r="BI31" s="107">
        <f t="shared" si="78"/>
        <v>0</v>
      </c>
      <c r="BJ31" s="107">
        <f t="shared" ref="BJ31:BL31" si="79">SUM(BJ27:BJ30)</f>
        <v>0</v>
      </c>
      <c r="BK31" s="107">
        <f t="shared" si="79"/>
        <v>0</v>
      </c>
      <c r="BL31" s="739">
        <f t="shared" si="79"/>
        <v>0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739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739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739"/>
      <c r="CW31" s="107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8"/>
      <c r="DI31" s="107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8"/>
    </row>
    <row r="32" spans="1:124" ht="15" x14ac:dyDescent="0.25">
      <c r="B32" s="405" t="s">
        <v>384</v>
      </c>
      <c r="C32" s="55">
        <v>1</v>
      </c>
      <c r="D32" s="55"/>
      <c r="E32" s="403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9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>
        <f>O31</f>
        <v>288.87764926177454</v>
      </c>
      <c r="AB32" s="764">
        <f t="shared" ref="AB32:BG34" si="80">P31</f>
        <v>504.90132590189091</v>
      </c>
      <c r="AC32" s="387">
        <f t="shared" si="80"/>
        <v>1238.6574906806884</v>
      </c>
      <c r="AD32" s="387">
        <f t="shared" si="80"/>
        <v>1781.4221158518042</v>
      </c>
      <c r="AE32" s="387">
        <f t="shared" si="80"/>
        <v>3202.3447996572741</v>
      </c>
      <c r="AF32" s="387">
        <f t="shared" si="80"/>
        <v>4792.0700435560975</v>
      </c>
      <c r="AG32" s="387">
        <f t="shared" si="80"/>
        <v>6324.2682024900478</v>
      </c>
      <c r="AH32" s="387">
        <f t="shared" si="80"/>
        <v>8366.6561585485506</v>
      </c>
      <c r="AI32" s="387">
        <f t="shared" si="80"/>
        <v>9592.3603752341332</v>
      </c>
      <c r="AJ32" s="387">
        <f t="shared" si="80"/>
        <v>11142.43673413883</v>
      </c>
      <c r="AK32" s="387">
        <f t="shared" si="80"/>
        <v>13563.864595926145</v>
      </c>
      <c r="AL32" s="387">
        <f t="shared" si="80"/>
        <v>15901.015221769281</v>
      </c>
      <c r="AM32" s="387">
        <f t="shared" si="80"/>
        <v>16756.964664099451</v>
      </c>
      <c r="AN32" s="764">
        <f t="shared" si="80"/>
        <v>18037.34037448181</v>
      </c>
      <c r="AO32" s="387">
        <f t="shared" si="80"/>
        <v>21837.155883081505</v>
      </c>
      <c r="AP32" s="387">
        <f t="shared" si="80"/>
        <v>22441.442193020521</v>
      </c>
      <c r="AQ32" s="387">
        <f t="shared" si="80"/>
        <v>26461.403434207077</v>
      </c>
      <c r="AR32" s="387">
        <f t="shared" si="80"/>
        <v>27657.241695899051</v>
      </c>
      <c r="AS32" s="387">
        <f t="shared" si="80"/>
        <v>30398.297640518169</v>
      </c>
      <c r="AT32" s="387">
        <f t="shared" si="80"/>
        <v>34540.791790407588</v>
      </c>
      <c r="AU32" s="387">
        <f t="shared" si="80"/>
        <v>37137.953994607793</v>
      </c>
      <c r="AV32" s="387">
        <f t="shared" si="80"/>
        <v>41288.475125203571</v>
      </c>
      <c r="AW32" s="387">
        <f t="shared" si="80"/>
        <v>46236.8966974992</v>
      </c>
      <c r="AX32" s="387">
        <f t="shared" si="80"/>
        <v>44996.000733362387</v>
      </c>
      <c r="AY32" s="387">
        <f t="shared" si="80"/>
        <v>42683.753115656764</v>
      </c>
      <c r="AZ32" s="764">
        <f t="shared" si="80"/>
        <v>37603.146062301108</v>
      </c>
      <c r="BA32" s="387">
        <f t="shared" si="80"/>
        <v>37893.302645478747</v>
      </c>
      <c r="BB32" s="387">
        <f t="shared" si="80"/>
        <v>33049.444179237114</v>
      </c>
      <c r="BC32" s="387">
        <f t="shared" si="80"/>
        <v>32231.961137745566</v>
      </c>
      <c r="BD32" s="387">
        <f t="shared" si="80"/>
        <v>26342.553535243584</v>
      </c>
      <c r="BE32" s="387">
        <f t="shared" si="80"/>
        <v>56303.734862000245</v>
      </c>
      <c r="BF32" s="387">
        <f t="shared" si="80"/>
        <v>18698.059314981452</v>
      </c>
      <c r="BG32" s="387">
        <f t="shared" si="80"/>
        <v>12764.745870175935</v>
      </c>
      <c r="BH32" s="106"/>
      <c r="BI32" s="106"/>
      <c r="BJ32" s="106"/>
      <c r="BK32" s="106"/>
      <c r="BL32" s="108"/>
      <c r="BM32" s="107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8"/>
      <c r="BY32" s="107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8"/>
      <c r="CK32" s="107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8"/>
      <c r="CW32" s="107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8"/>
      <c r="DI32" s="107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8"/>
    </row>
    <row r="33" spans="2:124" ht="15" x14ac:dyDescent="0.25">
      <c r="B33" s="405" t="s">
        <v>385</v>
      </c>
      <c r="C33" s="55">
        <v>1</v>
      </c>
      <c r="D33" s="55"/>
      <c r="E33" s="403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97"/>
      <c r="Q33" s="387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8"/>
      <c r="AC33" s="282"/>
      <c r="AD33" s="252"/>
      <c r="AE33" s="106"/>
      <c r="AF33" s="106"/>
      <c r="AG33" s="106"/>
      <c r="AH33" s="106"/>
      <c r="AI33" s="106"/>
      <c r="AJ33" s="106"/>
      <c r="AK33" s="106"/>
      <c r="AL33" s="106"/>
      <c r="AM33" s="106">
        <f>AA32</f>
        <v>288.87764926177454</v>
      </c>
      <c r="AN33" s="108">
        <f t="shared" si="80"/>
        <v>504.90132590189091</v>
      </c>
      <c r="AO33" s="107">
        <f t="shared" si="80"/>
        <v>1238.6574906806884</v>
      </c>
      <c r="AP33" s="106">
        <f t="shared" si="80"/>
        <v>1781.4221158518042</v>
      </c>
      <c r="AQ33" s="106">
        <f t="shared" si="80"/>
        <v>3202.3447996572741</v>
      </c>
      <c r="AR33" s="106">
        <f t="shared" si="80"/>
        <v>4792.0700435560975</v>
      </c>
      <c r="AS33" s="106">
        <f t="shared" si="80"/>
        <v>6324.2682024900478</v>
      </c>
      <c r="AT33" s="106">
        <f t="shared" si="80"/>
        <v>8366.6561585485506</v>
      </c>
      <c r="AU33" s="106">
        <f t="shared" si="80"/>
        <v>9592.3603752341332</v>
      </c>
      <c r="AV33" s="106">
        <f t="shared" si="80"/>
        <v>11142.43673413883</v>
      </c>
      <c r="AW33" s="106">
        <f t="shared" si="80"/>
        <v>13563.864595926145</v>
      </c>
      <c r="AX33" s="106">
        <f t="shared" si="80"/>
        <v>15901.015221769281</v>
      </c>
      <c r="AY33" s="106">
        <f t="shared" si="80"/>
        <v>16756.964664099451</v>
      </c>
      <c r="AZ33" s="108">
        <f t="shared" si="80"/>
        <v>18037.34037448181</v>
      </c>
      <c r="BA33" s="107">
        <f t="shared" si="80"/>
        <v>21837.155883081505</v>
      </c>
      <c r="BB33" s="106">
        <f t="shared" si="80"/>
        <v>22441.442193020521</v>
      </c>
      <c r="BC33" s="106">
        <f t="shared" si="80"/>
        <v>26461.403434207077</v>
      </c>
      <c r="BD33" s="106">
        <f t="shared" si="80"/>
        <v>27657.241695899051</v>
      </c>
      <c r="BE33" s="106">
        <f t="shared" si="80"/>
        <v>30398.297640518169</v>
      </c>
      <c r="BF33" s="106">
        <f t="shared" si="80"/>
        <v>34540.791790407588</v>
      </c>
      <c r="BG33" s="106">
        <f t="shared" si="80"/>
        <v>37137.953994607793</v>
      </c>
      <c r="BH33" s="106">
        <f t="shared" ref="BH33:CB36" si="81">AV32</f>
        <v>41288.475125203571</v>
      </c>
      <c r="BI33" s="106">
        <f t="shared" si="81"/>
        <v>46236.8966974992</v>
      </c>
      <c r="BJ33" s="106">
        <f t="shared" si="81"/>
        <v>44996.000733362387</v>
      </c>
      <c r="BK33" s="106">
        <f t="shared" si="81"/>
        <v>42683.753115656764</v>
      </c>
      <c r="BL33" s="108">
        <f t="shared" si="81"/>
        <v>37603.146062301108</v>
      </c>
      <c r="BM33" s="107">
        <f t="shared" si="81"/>
        <v>37893.302645478747</v>
      </c>
      <c r="BN33" s="106">
        <f t="shared" si="81"/>
        <v>33049.444179237114</v>
      </c>
      <c r="BO33" s="106">
        <f t="shared" si="81"/>
        <v>32231.961137745566</v>
      </c>
      <c r="BP33" s="106">
        <f t="shared" si="81"/>
        <v>26342.553535243584</v>
      </c>
      <c r="BQ33" s="106">
        <f t="shared" si="81"/>
        <v>56303.734862000245</v>
      </c>
      <c r="BR33" s="106">
        <f t="shared" si="81"/>
        <v>18698.059314981452</v>
      </c>
      <c r="BS33" s="106">
        <f t="shared" si="81"/>
        <v>12764.745870175935</v>
      </c>
      <c r="BT33" s="106">
        <f t="shared" si="81"/>
        <v>0</v>
      </c>
      <c r="BU33" s="106">
        <f t="shared" si="81"/>
        <v>0</v>
      </c>
      <c r="BV33" s="106">
        <f t="shared" si="81"/>
        <v>0</v>
      </c>
      <c r="BW33" s="106">
        <f t="shared" si="81"/>
        <v>0</v>
      </c>
      <c r="BX33" s="108">
        <f t="shared" si="81"/>
        <v>0</v>
      </c>
      <c r="BY33" s="107">
        <f t="shared" si="81"/>
        <v>0</v>
      </c>
      <c r="BZ33" s="106">
        <f t="shared" si="81"/>
        <v>0</v>
      </c>
      <c r="CA33" s="106">
        <f t="shared" si="81"/>
        <v>0</v>
      </c>
      <c r="CB33" s="106">
        <f t="shared" si="81"/>
        <v>0</v>
      </c>
      <c r="CC33" s="106"/>
      <c r="CD33" s="106"/>
      <c r="CE33" s="106"/>
      <c r="CF33" s="106"/>
      <c r="CG33" s="106"/>
      <c r="CH33" s="106"/>
      <c r="CI33" s="106"/>
      <c r="CJ33" s="108"/>
      <c r="CK33" s="107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8"/>
      <c r="CW33" s="107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8"/>
      <c r="DI33" s="107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8"/>
    </row>
    <row r="34" spans="2:124" ht="15" x14ac:dyDescent="0.25">
      <c r="B34" s="405" t="s">
        <v>386</v>
      </c>
      <c r="C34" s="55">
        <v>1</v>
      </c>
      <c r="D34" s="55"/>
      <c r="E34" s="403"/>
      <c r="F34" s="404"/>
      <c r="G34" s="404"/>
      <c r="H34" s="404"/>
      <c r="I34" s="404"/>
      <c r="J34" s="404"/>
      <c r="K34" s="471"/>
      <c r="L34" s="471"/>
      <c r="M34" s="471"/>
      <c r="N34" s="471"/>
      <c r="O34" s="471"/>
      <c r="P34" s="498"/>
      <c r="Q34" s="527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3"/>
      <c r="AC34" s="282"/>
      <c r="AD34" s="312"/>
      <c r="AE34" s="312"/>
      <c r="AF34" s="312"/>
      <c r="AG34" s="106"/>
      <c r="AH34" s="106"/>
      <c r="AI34" s="106"/>
      <c r="AJ34" s="106"/>
      <c r="AK34" s="106"/>
      <c r="AL34" s="106"/>
      <c r="AM34" s="106"/>
      <c r="AN34" s="108"/>
      <c r="AO34" s="107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>
        <f>AM33</f>
        <v>288.87764926177454</v>
      </c>
      <c r="AZ34" s="108">
        <f t="shared" si="80"/>
        <v>504.90132590189091</v>
      </c>
      <c r="BA34" s="107">
        <f t="shared" si="80"/>
        <v>1238.6574906806884</v>
      </c>
      <c r="BB34" s="106">
        <f t="shared" si="80"/>
        <v>1781.4221158518042</v>
      </c>
      <c r="BC34" s="106">
        <f t="shared" si="80"/>
        <v>3202.3447996572741</v>
      </c>
      <c r="BD34" s="106">
        <f t="shared" si="80"/>
        <v>4792.0700435560975</v>
      </c>
      <c r="BE34" s="106">
        <f t="shared" si="80"/>
        <v>6324.2682024900478</v>
      </c>
      <c r="BF34" s="106">
        <f t="shared" si="80"/>
        <v>8366.6561585485506</v>
      </c>
      <c r="BG34" s="106">
        <f t="shared" si="80"/>
        <v>9592.3603752341332</v>
      </c>
      <c r="BH34" s="106">
        <f t="shared" si="81"/>
        <v>11142.43673413883</v>
      </c>
      <c r="BI34" s="106">
        <f t="shared" si="81"/>
        <v>13563.864595926145</v>
      </c>
      <c r="BJ34" s="106">
        <f t="shared" si="81"/>
        <v>15901.015221769281</v>
      </c>
      <c r="BK34" s="106">
        <f t="shared" si="81"/>
        <v>16756.964664099451</v>
      </c>
      <c r="BL34" s="108">
        <f t="shared" si="81"/>
        <v>18037.34037448181</v>
      </c>
      <c r="BM34" s="107">
        <f t="shared" si="81"/>
        <v>21837.155883081505</v>
      </c>
      <c r="BN34" s="106">
        <f t="shared" si="81"/>
        <v>22441.442193020521</v>
      </c>
      <c r="BO34" s="106">
        <f t="shared" si="81"/>
        <v>26461.403434207077</v>
      </c>
      <c r="BP34" s="106">
        <f t="shared" si="81"/>
        <v>27657.241695899051</v>
      </c>
      <c r="BQ34" s="106">
        <f t="shared" si="81"/>
        <v>30398.297640518169</v>
      </c>
      <c r="BR34" s="106">
        <f t="shared" si="81"/>
        <v>34540.791790407588</v>
      </c>
      <c r="BS34" s="106">
        <f t="shared" si="81"/>
        <v>37137.953994607793</v>
      </c>
      <c r="BT34" s="106">
        <f t="shared" si="81"/>
        <v>41288.475125203571</v>
      </c>
      <c r="BU34" s="106">
        <f t="shared" si="81"/>
        <v>46236.8966974992</v>
      </c>
      <c r="BV34" s="106">
        <f t="shared" si="81"/>
        <v>44996.000733362387</v>
      </c>
      <c r="BW34" s="106">
        <f t="shared" si="81"/>
        <v>42683.753115656764</v>
      </c>
      <c r="BX34" s="108">
        <f t="shared" si="81"/>
        <v>37603.146062301108</v>
      </c>
      <c r="BY34" s="107">
        <f t="shared" si="81"/>
        <v>37893.302645478747</v>
      </c>
      <c r="BZ34" s="106">
        <f t="shared" si="81"/>
        <v>33049.444179237114</v>
      </c>
      <c r="CA34" s="106">
        <f t="shared" si="81"/>
        <v>32231.961137745566</v>
      </c>
      <c r="CB34" s="106">
        <f t="shared" si="81"/>
        <v>26342.553535243584</v>
      </c>
      <c r="CC34" s="106">
        <f t="shared" ref="CC34:CH36" si="82">BQ33</f>
        <v>56303.734862000245</v>
      </c>
      <c r="CD34" s="106">
        <f t="shared" si="82"/>
        <v>18698.059314981452</v>
      </c>
      <c r="CE34" s="106">
        <f t="shared" si="82"/>
        <v>12764.745870175935</v>
      </c>
      <c r="CF34" s="106">
        <f t="shared" si="82"/>
        <v>0</v>
      </c>
      <c r="CG34" s="106">
        <f t="shared" si="82"/>
        <v>0</v>
      </c>
      <c r="CH34" s="106">
        <f t="shared" si="82"/>
        <v>0</v>
      </c>
      <c r="CI34" s="106"/>
      <c r="CJ34" s="108"/>
      <c r="CK34" s="107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8"/>
      <c r="CW34" s="107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8"/>
      <c r="DI34" s="107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8"/>
    </row>
    <row r="35" spans="2:124" ht="15" x14ac:dyDescent="0.25">
      <c r="B35" s="405" t="s">
        <v>387</v>
      </c>
      <c r="C35" s="55">
        <v>1</v>
      </c>
      <c r="D35" s="55"/>
      <c r="E35" s="403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97"/>
      <c r="Q35" s="387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8"/>
      <c r="AC35" s="251"/>
      <c r="AD35" s="252"/>
      <c r="AE35" s="106"/>
      <c r="AF35" s="106"/>
      <c r="AG35" s="106"/>
      <c r="AH35" s="106"/>
      <c r="AI35" s="106"/>
      <c r="AJ35" s="106"/>
      <c r="AK35" s="106"/>
      <c r="AL35" s="106"/>
      <c r="AM35" s="106"/>
      <c r="AN35" s="108"/>
      <c r="AO35" s="107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8"/>
      <c r="BA35" s="107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>
        <f>AY34</f>
        <v>288.87764926177454</v>
      </c>
      <c r="BL35" s="108">
        <f t="shared" si="81"/>
        <v>504.90132590189091</v>
      </c>
      <c r="BM35" s="107">
        <f t="shared" si="81"/>
        <v>1238.6574906806884</v>
      </c>
      <c r="BN35" s="106">
        <f t="shared" si="81"/>
        <v>1781.4221158518042</v>
      </c>
      <c r="BO35" s="106">
        <f t="shared" si="81"/>
        <v>3202.3447996572741</v>
      </c>
      <c r="BP35" s="106">
        <f t="shared" si="81"/>
        <v>4792.0700435560975</v>
      </c>
      <c r="BQ35" s="106">
        <f t="shared" si="81"/>
        <v>6324.2682024900478</v>
      </c>
      <c r="BR35" s="106">
        <f t="shared" si="81"/>
        <v>8366.6561585485506</v>
      </c>
      <c r="BS35" s="106">
        <f t="shared" si="81"/>
        <v>9592.3603752341332</v>
      </c>
      <c r="BT35" s="106">
        <f t="shared" si="81"/>
        <v>11142.43673413883</v>
      </c>
      <c r="BU35" s="106">
        <f t="shared" si="81"/>
        <v>13563.864595926145</v>
      </c>
      <c r="BV35" s="106">
        <f t="shared" si="81"/>
        <v>15901.015221769281</v>
      </c>
      <c r="BW35" s="106">
        <f t="shared" si="81"/>
        <v>16756.964664099451</v>
      </c>
      <c r="BX35" s="108">
        <f t="shared" si="81"/>
        <v>18037.34037448181</v>
      </c>
      <c r="BY35" s="107">
        <f t="shared" si="81"/>
        <v>21837.155883081505</v>
      </c>
      <c r="BZ35" s="106">
        <f t="shared" si="81"/>
        <v>22441.442193020521</v>
      </c>
      <c r="CA35" s="106">
        <f t="shared" si="81"/>
        <v>26461.403434207077</v>
      </c>
      <c r="CB35" s="106">
        <f t="shared" si="81"/>
        <v>27657.241695899051</v>
      </c>
      <c r="CC35" s="106">
        <f t="shared" si="82"/>
        <v>30398.297640518169</v>
      </c>
      <c r="CD35" s="106">
        <f t="shared" si="82"/>
        <v>34540.791790407588</v>
      </c>
      <c r="CE35" s="106">
        <f t="shared" si="82"/>
        <v>37137.953994607793</v>
      </c>
      <c r="CF35" s="106">
        <f t="shared" si="82"/>
        <v>41288.475125203571</v>
      </c>
      <c r="CG35" s="106">
        <f t="shared" si="82"/>
        <v>46236.8966974992</v>
      </c>
      <c r="CH35" s="106">
        <f t="shared" si="82"/>
        <v>44996.000733362387</v>
      </c>
      <c r="CI35" s="106">
        <f t="shared" ref="CI35:CV38" si="83">BW34</f>
        <v>42683.753115656764</v>
      </c>
      <c r="CJ35" s="108">
        <f t="shared" si="83"/>
        <v>37603.146062301108</v>
      </c>
      <c r="CK35" s="107">
        <f t="shared" si="83"/>
        <v>37893.302645478747</v>
      </c>
      <c r="CL35" s="106">
        <f t="shared" si="83"/>
        <v>33049.444179237114</v>
      </c>
      <c r="CM35" s="106">
        <f t="shared" si="83"/>
        <v>32231.961137745566</v>
      </c>
      <c r="CN35" s="106">
        <f t="shared" si="83"/>
        <v>26342.553535243584</v>
      </c>
      <c r="CO35" s="106">
        <f t="shared" si="83"/>
        <v>56303.734862000245</v>
      </c>
      <c r="CP35" s="106">
        <f t="shared" si="83"/>
        <v>18698.059314981452</v>
      </c>
      <c r="CQ35" s="106">
        <f t="shared" si="83"/>
        <v>12764.745870175935</v>
      </c>
      <c r="CR35" s="106">
        <f t="shared" si="83"/>
        <v>0</v>
      </c>
      <c r="CS35" s="106">
        <f t="shared" si="83"/>
        <v>0</v>
      </c>
      <c r="CT35" s="106">
        <f t="shared" si="83"/>
        <v>0</v>
      </c>
      <c r="CU35" s="106">
        <f t="shared" si="83"/>
        <v>0</v>
      </c>
      <c r="CV35" s="108">
        <f t="shared" si="83"/>
        <v>0</v>
      </c>
      <c r="CW35" s="107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8"/>
      <c r="DI35" s="107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8"/>
    </row>
    <row r="36" spans="2:124" ht="15" x14ac:dyDescent="0.25">
      <c r="B36" s="405" t="s">
        <v>388</v>
      </c>
      <c r="C36" s="83">
        <v>1</v>
      </c>
      <c r="D36" s="83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9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9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9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9"/>
      <c r="BA36" s="76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9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>
        <f>BK35</f>
        <v>288.87764926177454</v>
      </c>
      <c r="BX36" s="389">
        <f t="shared" si="81"/>
        <v>504.90132590189091</v>
      </c>
      <c r="BY36" s="388">
        <f t="shared" si="81"/>
        <v>1238.6574906806884</v>
      </c>
      <c r="BZ36" s="388">
        <f t="shared" si="81"/>
        <v>1781.4221158518042</v>
      </c>
      <c r="CA36" s="388">
        <f t="shared" si="81"/>
        <v>3202.3447996572741</v>
      </c>
      <c r="CB36" s="388">
        <f t="shared" si="81"/>
        <v>4792.0700435560975</v>
      </c>
      <c r="CC36" s="388">
        <f t="shared" si="82"/>
        <v>6324.2682024900478</v>
      </c>
      <c r="CD36" s="388">
        <f t="shared" si="82"/>
        <v>8366.6561585485506</v>
      </c>
      <c r="CE36" s="388">
        <f t="shared" si="82"/>
        <v>9592.3603752341332</v>
      </c>
      <c r="CF36" s="388">
        <f t="shared" si="82"/>
        <v>11142.43673413883</v>
      </c>
      <c r="CG36" s="388">
        <f t="shared" si="82"/>
        <v>13563.864595926145</v>
      </c>
      <c r="CH36" s="388">
        <f t="shared" si="82"/>
        <v>15901.015221769281</v>
      </c>
      <c r="CI36" s="388">
        <f t="shared" si="83"/>
        <v>16756.964664099451</v>
      </c>
      <c r="CJ36" s="389">
        <f t="shared" si="83"/>
        <v>18037.34037448181</v>
      </c>
      <c r="CK36" s="388">
        <f t="shared" si="83"/>
        <v>21837.155883081505</v>
      </c>
      <c r="CL36" s="388">
        <f t="shared" si="83"/>
        <v>22441.442193020521</v>
      </c>
      <c r="CM36" s="388">
        <f t="shared" si="83"/>
        <v>26461.403434207077</v>
      </c>
      <c r="CN36" s="388">
        <f t="shared" si="83"/>
        <v>27657.241695899051</v>
      </c>
      <c r="CO36" s="388">
        <f t="shared" si="83"/>
        <v>30398.297640518169</v>
      </c>
      <c r="CP36" s="388">
        <f t="shared" si="83"/>
        <v>34540.791790407588</v>
      </c>
      <c r="CQ36" s="388">
        <f t="shared" si="83"/>
        <v>37137.953994607793</v>
      </c>
      <c r="CR36" s="388">
        <f t="shared" si="83"/>
        <v>41288.475125203571</v>
      </c>
      <c r="CS36" s="388">
        <f t="shared" si="83"/>
        <v>46236.8966974992</v>
      </c>
      <c r="CT36" s="388">
        <f t="shared" si="83"/>
        <v>44996.000733362387</v>
      </c>
      <c r="CU36" s="388">
        <f t="shared" si="83"/>
        <v>42683.753115656764</v>
      </c>
      <c r="CV36" s="389">
        <f t="shared" si="83"/>
        <v>37603.146062301108</v>
      </c>
      <c r="CW36" s="388">
        <f t="shared" ref="CW36:CY38" si="84">CK35</f>
        <v>37893.302645478747</v>
      </c>
      <c r="CX36" s="388">
        <f t="shared" si="84"/>
        <v>33049.444179237114</v>
      </c>
      <c r="CY36" s="388">
        <f t="shared" si="84"/>
        <v>32231.961137745566</v>
      </c>
      <c r="CZ36" s="388">
        <f t="shared" ref="CZ36" si="85">CN35</f>
        <v>26342.553535243584</v>
      </c>
      <c r="DA36" s="388">
        <f t="shared" ref="DA36" si="86">CO35</f>
        <v>56303.734862000245</v>
      </c>
      <c r="DB36" s="388">
        <f t="shared" ref="DB36" si="87">CP35</f>
        <v>18698.059314981452</v>
      </c>
      <c r="DC36" s="388">
        <f t="shared" ref="DC36" si="88">CQ35</f>
        <v>12764.745870175935</v>
      </c>
      <c r="DD36" s="388">
        <f t="shared" ref="DD36" si="89">CR35</f>
        <v>0</v>
      </c>
      <c r="DE36" s="388">
        <f t="shared" ref="DE36" si="90">CS35</f>
        <v>0</v>
      </c>
      <c r="DF36" s="388">
        <f t="shared" ref="DF36" si="91">CT35</f>
        <v>0</v>
      </c>
      <c r="DG36" s="388"/>
      <c r="DH36" s="389"/>
      <c r="DI36" s="388"/>
      <c r="DJ36" s="388"/>
      <c r="DK36" s="388"/>
      <c r="DL36" s="388"/>
      <c r="DM36" s="388"/>
      <c r="DN36" s="388"/>
      <c r="DO36" s="388"/>
      <c r="DP36" s="388"/>
      <c r="DQ36" s="388"/>
      <c r="DR36" s="388"/>
      <c r="DS36" s="388"/>
      <c r="DT36" s="389"/>
    </row>
    <row r="37" spans="2:124" ht="15" x14ac:dyDescent="0.25">
      <c r="B37" s="405" t="s">
        <v>389</v>
      </c>
      <c r="C37" s="83">
        <v>1</v>
      </c>
      <c r="D37" s="83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9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9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767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767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767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9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>
        <f>BW36</f>
        <v>288.87764926177454</v>
      </c>
      <c r="CJ37" s="389">
        <f t="shared" si="83"/>
        <v>504.90132590189091</v>
      </c>
      <c r="CK37" s="388">
        <f t="shared" si="83"/>
        <v>1238.6574906806884</v>
      </c>
      <c r="CL37" s="388">
        <f t="shared" si="83"/>
        <v>1781.4221158518042</v>
      </c>
      <c r="CM37" s="388">
        <f t="shared" si="83"/>
        <v>3202.3447996572741</v>
      </c>
      <c r="CN37" s="388">
        <f t="shared" si="83"/>
        <v>4792.0700435560975</v>
      </c>
      <c r="CO37" s="388">
        <f t="shared" si="83"/>
        <v>6324.2682024900478</v>
      </c>
      <c r="CP37" s="388">
        <f t="shared" si="83"/>
        <v>8366.6561585485506</v>
      </c>
      <c r="CQ37" s="388">
        <f t="shared" si="83"/>
        <v>9592.3603752341332</v>
      </c>
      <c r="CR37" s="388">
        <f t="shared" si="83"/>
        <v>11142.43673413883</v>
      </c>
      <c r="CS37" s="388">
        <f t="shared" si="83"/>
        <v>13563.864595926145</v>
      </c>
      <c r="CT37" s="388">
        <f t="shared" si="83"/>
        <v>15901.015221769281</v>
      </c>
      <c r="CU37" s="388">
        <f t="shared" si="83"/>
        <v>16756.964664099451</v>
      </c>
      <c r="CV37" s="389">
        <f t="shared" si="83"/>
        <v>18037.34037448181</v>
      </c>
      <c r="CW37" s="388">
        <f t="shared" si="84"/>
        <v>21837.155883081505</v>
      </c>
      <c r="CX37" s="388">
        <f t="shared" si="84"/>
        <v>22441.442193020521</v>
      </c>
      <c r="CY37" s="388">
        <f t="shared" si="84"/>
        <v>26461.403434207077</v>
      </c>
      <c r="CZ37" s="388">
        <f t="shared" ref="CZ37:DK39" si="92">CN36</f>
        <v>27657.241695899051</v>
      </c>
      <c r="DA37" s="388">
        <f t="shared" si="92"/>
        <v>30398.297640518169</v>
      </c>
      <c r="DB37" s="388">
        <f t="shared" si="92"/>
        <v>34540.791790407588</v>
      </c>
      <c r="DC37" s="388">
        <f t="shared" si="92"/>
        <v>37137.953994607793</v>
      </c>
      <c r="DD37" s="388">
        <f t="shared" si="92"/>
        <v>41288.475125203571</v>
      </c>
      <c r="DE37" s="388">
        <f t="shared" si="92"/>
        <v>46236.8966974992</v>
      </c>
      <c r="DF37" s="388">
        <f t="shared" si="92"/>
        <v>44996.000733362387</v>
      </c>
      <c r="DG37" s="388">
        <f t="shared" si="92"/>
        <v>42683.753115656764</v>
      </c>
      <c r="DH37" s="389">
        <f t="shared" si="92"/>
        <v>37603.146062301108</v>
      </c>
      <c r="DI37" s="388">
        <f t="shared" si="92"/>
        <v>37893.302645478747</v>
      </c>
      <c r="DJ37" s="388">
        <f t="shared" si="92"/>
        <v>33049.444179237114</v>
      </c>
      <c r="DK37" s="388">
        <f t="shared" si="92"/>
        <v>32231.961137745566</v>
      </c>
      <c r="DL37" s="388">
        <f t="shared" ref="DL37" si="93">CZ36</f>
        <v>26342.553535243584</v>
      </c>
      <c r="DM37" s="388">
        <f t="shared" ref="DM37" si="94">DA36</f>
        <v>56303.734862000245</v>
      </c>
      <c r="DN37" s="388">
        <f t="shared" ref="DN37" si="95">DB36</f>
        <v>18698.059314981452</v>
      </c>
      <c r="DO37" s="388">
        <f t="shared" ref="DO37" si="96">DC36</f>
        <v>12764.745870175935</v>
      </c>
      <c r="DP37" s="388">
        <f t="shared" ref="DP37" si="97">DD36</f>
        <v>0</v>
      </c>
      <c r="DQ37" s="388">
        <f t="shared" ref="DQ37" si="98">DE36</f>
        <v>0</v>
      </c>
      <c r="DR37" s="388"/>
      <c r="DS37" s="388"/>
      <c r="DT37" s="389"/>
    </row>
    <row r="38" spans="2:124" ht="15" x14ac:dyDescent="0.25">
      <c r="B38" s="405" t="s">
        <v>390</v>
      </c>
      <c r="C38" s="83">
        <v>1</v>
      </c>
      <c r="D38" s="83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99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5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5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5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5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5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5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>
        <f>CI37</f>
        <v>288.87764926177454</v>
      </c>
      <c r="CV38" s="315">
        <f t="shared" si="83"/>
        <v>504.90132590189091</v>
      </c>
      <c r="CW38" s="314">
        <f t="shared" si="84"/>
        <v>1238.6574906806884</v>
      </c>
      <c r="CX38" s="314">
        <f t="shared" si="84"/>
        <v>1781.4221158518042</v>
      </c>
      <c r="CY38" s="314">
        <f t="shared" si="84"/>
        <v>3202.3447996572741</v>
      </c>
      <c r="CZ38" s="314">
        <f t="shared" si="92"/>
        <v>4792.0700435560975</v>
      </c>
      <c r="DA38" s="314">
        <f t="shared" si="92"/>
        <v>6324.2682024900478</v>
      </c>
      <c r="DB38" s="314">
        <f t="shared" si="92"/>
        <v>8366.6561585485506</v>
      </c>
      <c r="DC38" s="314">
        <f t="shared" si="92"/>
        <v>9592.3603752341332</v>
      </c>
      <c r="DD38" s="314">
        <f t="shared" si="92"/>
        <v>11142.43673413883</v>
      </c>
      <c r="DE38" s="314">
        <f t="shared" si="92"/>
        <v>13563.864595926145</v>
      </c>
      <c r="DF38" s="314">
        <f t="shared" si="92"/>
        <v>15901.015221769281</v>
      </c>
      <c r="DG38" s="314">
        <f t="shared" si="92"/>
        <v>16756.964664099451</v>
      </c>
      <c r="DH38" s="315">
        <f t="shared" si="92"/>
        <v>18037.34037448181</v>
      </c>
      <c r="DI38" s="314">
        <f t="shared" si="92"/>
        <v>21837.155883081505</v>
      </c>
      <c r="DJ38" s="314">
        <f t="shared" si="92"/>
        <v>22441.442193020521</v>
      </c>
      <c r="DK38" s="314">
        <f t="shared" si="92"/>
        <v>26461.403434207077</v>
      </c>
      <c r="DL38" s="314">
        <f t="shared" ref="DL38:DT39" si="99">CZ37</f>
        <v>27657.241695899051</v>
      </c>
      <c r="DM38" s="314">
        <f t="shared" si="99"/>
        <v>30398.297640518169</v>
      </c>
      <c r="DN38" s="314">
        <f t="shared" si="99"/>
        <v>34540.791790407588</v>
      </c>
      <c r="DO38" s="314">
        <f t="shared" si="99"/>
        <v>37137.953994607793</v>
      </c>
      <c r="DP38" s="314">
        <f t="shared" si="99"/>
        <v>41288.475125203571</v>
      </c>
      <c r="DQ38" s="314">
        <f t="shared" si="99"/>
        <v>46236.8966974992</v>
      </c>
      <c r="DR38" s="314">
        <f t="shared" si="99"/>
        <v>44996.000733362387</v>
      </c>
      <c r="DS38" s="314">
        <f t="shared" si="99"/>
        <v>42683.753115656764</v>
      </c>
      <c r="DT38" s="315">
        <f t="shared" si="99"/>
        <v>37603.146062301108</v>
      </c>
    </row>
    <row r="39" spans="2:124" ht="15" x14ac:dyDescent="0.25">
      <c r="B39" s="405" t="s">
        <v>391</v>
      </c>
      <c r="C39" s="83">
        <v>1</v>
      </c>
      <c r="D39" s="83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99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5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5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5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5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5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5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5"/>
      <c r="CW39" s="390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>
        <f>CU38</f>
        <v>288.87764926177454</v>
      </c>
      <c r="DH39" s="315">
        <f t="shared" si="92"/>
        <v>504.90132590189091</v>
      </c>
      <c r="DI39" s="314">
        <f t="shared" si="92"/>
        <v>1238.6574906806884</v>
      </c>
      <c r="DJ39" s="314">
        <f t="shared" si="92"/>
        <v>1781.4221158518042</v>
      </c>
      <c r="DK39" s="314">
        <f t="shared" si="92"/>
        <v>3202.3447996572741</v>
      </c>
      <c r="DL39" s="314">
        <f t="shared" si="99"/>
        <v>4792.0700435560975</v>
      </c>
      <c r="DM39" s="314">
        <f t="shared" si="99"/>
        <v>6324.2682024900478</v>
      </c>
      <c r="DN39" s="314">
        <f t="shared" si="99"/>
        <v>8366.6561585485506</v>
      </c>
      <c r="DO39" s="314">
        <f t="shared" si="99"/>
        <v>9592.3603752341332</v>
      </c>
      <c r="DP39" s="314">
        <f t="shared" si="99"/>
        <v>11142.43673413883</v>
      </c>
      <c r="DQ39" s="314">
        <f t="shared" si="99"/>
        <v>13563.864595926145</v>
      </c>
      <c r="DR39" s="314">
        <f t="shared" si="99"/>
        <v>15901.015221769281</v>
      </c>
      <c r="DS39" s="314">
        <f t="shared" si="99"/>
        <v>16756.964664099451</v>
      </c>
      <c r="DT39" s="315">
        <f t="shared" si="99"/>
        <v>18037.34037448181</v>
      </c>
    </row>
    <row r="40" spans="2:124" ht="15" x14ac:dyDescent="0.25">
      <c r="B40" s="405" t="s">
        <v>392</v>
      </c>
      <c r="C40" s="83">
        <v>1</v>
      </c>
      <c r="D40" s="83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99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5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5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5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5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5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5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5"/>
      <c r="CW40" s="390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5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5"/>
    </row>
    <row r="41" spans="2:124" ht="15" x14ac:dyDescent="0.25">
      <c r="B41" s="405"/>
      <c r="C41" s="83"/>
      <c r="D41" s="83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99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5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5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5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5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5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5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5"/>
      <c r="CW41" s="390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5"/>
      <c r="DI41" s="314"/>
      <c r="DJ41" s="314"/>
      <c r="DK41" s="314"/>
      <c r="DL41" s="314"/>
      <c r="DM41" s="314"/>
      <c r="DN41" s="314"/>
      <c r="DO41" s="314"/>
      <c r="DP41" s="314"/>
      <c r="DQ41" s="314"/>
      <c r="DR41" s="314"/>
      <c r="DS41" s="314"/>
      <c r="DT41" s="315"/>
    </row>
    <row r="42" spans="2:124" ht="19.5" thickBot="1" x14ac:dyDescent="0.35">
      <c r="B42" s="159" t="s">
        <v>737</v>
      </c>
      <c r="C42" s="83"/>
      <c r="D42" s="83"/>
      <c r="E42" s="532"/>
      <c r="F42" s="532"/>
      <c r="G42" s="532"/>
      <c r="H42" s="532"/>
      <c r="I42" s="532"/>
      <c r="J42" s="532"/>
      <c r="K42" s="532">
        <f t="shared" ref="K42:N42" si="100">SUM(K27:K41)</f>
        <v>0</v>
      </c>
      <c r="L42" s="532">
        <f t="shared" si="100"/>
        <v>0</v>
      </c>
      <c r="M42" s="532">
        <f t="shared" si="100"/>
        <v>0</v>
      </c>
      <c r="N42" s="532">
        <f t="shared" si="100"/>
        <v>0</v>
      </c>
      <c r="O42" s="532">
        <f>SUM(O31:O41)</f>
        <v>288.87764926177454</v>
      </c>
      <c r="P42" s="758">
        <f>SUM(P31:P41)</f>
        <v>504.90132590189091</v>
      </c>
      <c r="Q42" s="751">
        <f>SUM(Q31:Q41)</f>
        <v>1238.6574906806884</v>
      </c>
      <c r="R42" s="751">
        <f t="shared" ref="R42:V42" si="101">SUM(R31:R41)</f>
        <v>1781.4221158518042</v>
      </c>
      <c r="S42" s="751">
        <f t="shared" si="101"/>
        <v>3202.3447996572741</v>
      </c>
      <c r="T42" s="751">
        <f t="shared" si="101"/>
        <v>4792.0700435560975</v>
      </c>
      <c r="U42" s="751">
        <f t="shared" si="101"/>
        <v>6324.2682024900478</v>
      </c>
      <c r="V42" s="751">
        <f t="shared" si="101"/>
        <v>8366.6561585485506</v>
      </c>
      <c r="W42" s="751">
        <f>SUM(W31:W41)</f>
        <v>9592.3603752341332</v>
      </c>
      <c r="X42" s="751">
        <f t="shared" ref="X42" si="102">SUM(X31:X41)</f>
        <v>11142.43673413883</v>
      </c>
      <c r="Y42" s="751">
        <f t="shared" ref="Y42" si="103">SUM(Y31:Y41)</f>
        <v>13563.864595926145</v>
      </c>
      <c r="Z42" s="751">
        <f t="shared" ref="Z42" si="104">SUM(Z31:Z41)</f>
        <v>15901.015221769281</v>
      </c>
      <c r="AA42" s="751">
        <f t="shared" ref="AA42" si="105">SUM(AA31:AA41)</f>
        <v>17045.842313361227</v>
      </c>
      <c r="AB42" s="1141">
        <f>SUM(AB31:AB41)</f>
        <v>18542.2417003837</v>
      </c>
      <c r="AC42" s="751">
        <f t="shared" ref="AC42" si="106">SUM(AC31:AC41)</f>
        <v>23075.813373762194</v>
      </c>
      <c r="AD42" s="751">
        <f t="shared" ref="AD42" si="107">SUM(AD31:AD41)</f>
        <v>24222.864308872326</v>
      </c>
      <c r="AE42" s="751">
        <f t="shared" ref="AE42" si="108">SUM(AE31:AE41)</f>
        <v>29663.748233864353</v>
      </c>
      <c r="AF42" s="751">
        <f t="shared" ref="AF42" si="109">SUM(AF31:AF41)</f>
        <v>32449.311739455148</v>
      </c>
      <c r="AG42" s="751">
        <f t="shared" ref="AG42" si="110">SUM(AG31:AG41)</f>
        <v>36722.565843008219</v>
      </c>
      <c r="AH42" s="751">
        <f>SUM(AH31:AH41)</f>
        <v>42907.447948956134</v>
      </c>
      <c r="AI42" s="751">
        <f t="shared" ref="AI42" si="111">SUM(AI31:AI41)</f>
        <v>46730.31436984193</v>
      </c>
      <c r="AJ42" s="751">
        <f t="shared" ref="AJ42" si="112">SUM(AJ31:AJ41)</f>
        <v>52430.911859342399</v>
      </c>
      <c r="AK42" s="751">
        <f t="shared" ref="AK42" si="113">SUM(AK31:AK41)</f>
        <v>59800.761293425341</v>
      </c>
      <c r="AL42" s="751">
        <f t="shared" ref="AL42:AM42" si="114">SUM(AL31:AL41)</f>
        <v>60897.015955131668</v>
      </c>
      <c r="AM42" s="751">
        <f t="shared" si="114"/>
        <v>59729.595429017994</v>
      </c>
      <c r="AN42" s="1141">
        <f t="shared" ref="AN42" si="115">SUM(AN31:AN41)</f>
        <v>56145.387762684804</v>
      </c>
      <c r="AO42" s="751">
        <f t="shared" ref="AO42" si="116">SUM(AO31:AO41)</f>
        <v>60969.116019240937</v>
      </c>
      <c r="AP42" s="751">
        <f t="shared" ref="AP42" si="117">SUM(AP31:AP41)</f>
        <v>57272.30848810944</v>
      </c>
      <c r="AQ42" s="751">
        <f t="shared" ref="AQ42" si="118">SUM(AQ31:AQ41)</f>
        <v>61895.709371609912</v>
      </c>
      <c r="AR42" s="751">
        <f t="shared" ref="AR42:AS42" si="119">SUM(AR31:AR41)</f>
        <v>58791.865274698735</v>
      </c>
      <c r="AS42" s="751">
        <f t="shared" si="119"/>
        <v>93026.300705008456</v>
      </c>
      <c r="AT42" s="751">
        <f t="shared" ref="AT42" si="120">SUM(AT31:AT41)</f>
        <v>61605.507263937587</v>
      </c>
      <c r="AU42" s="751">
        <f t="shared" ref="AU42" si="121">SUM(AU31:AU41)</f>
        <v>59495.060240017861</v>
      </c>
      <c r="AV42" s="751">
        <f t="shared" ref="AV42" si="122">SUM(AV31:AV41)</f>
        <v>59156.8675941806</v>
      </c>
      <c r="AW42" s="751">
        <f t="shared" ref="AW42:AX42" si="123">SUM(AW31:AW41)</f>
        <v>59800.761293425341</v>
      </c>
      <c r="AX42" s="751">
        <f t="shared" si="123"/>
        <v>60897.015955131668</v>
      </c>
      <c r="AY42" s="751">
        <f t="shared" ref="AY42" si="124">SUM(AY31:AY41)</f>
        <v>59729.595429017994</v>
      </c>
      <c r="AZ42" s="1141">
        <f t="shared" ref="AZ42" si="125">SUM(AZ31:AZ41)</f>
        <v>56145.387762684804</v>
      </c>
      <c r="BA42" s="751">
        <f t="shared" ref="BA42" si="126">SUM(BA31:BA41)</f>
        <v>60969.116019240937</v>
      </c>
      <c r="BB42" s="751">
        <f t="shared" ref="BB42" si="127">SUM(BB31:BB41)</f>
        <v>57272.30848810944</v>
      </c>
      <c r="BC42" s="751">
        <f t="shared" ref="BC42:BD42" si="128">SUM(BC31:BC41)</f>
        <v>61895.709371609912</v>
      </c>
      <c r="BD42" s="751">
        <f t="shared" si="128"/>
        <v>58791.865274698735</v>
      </c>
      <c r="BE42" s="751">
        <f t="shared" ref="BE42" si="129">SUM(BE31:BE41)</f>
        <v>93026.300705008456</v>
      </c>
      <c r="BF42" s="751">
        <f t="shared" ref="BF42" si="130">SUM(BF31:BF41)</f>
        <v>61605.507263937587</v>
      </c>
      <c r="BG42" s="751">
        <f t="shared" ref="BG42" si="131">SUM(BG31:BG41)</f>
        <v>59495.060240017861</v>
      </c>
      <c r="BH42" s="751">
        <f t="shared" ref="BH42:BI42" si="132">SUM(BH31:BH41)</f>
        <v>52430.911859342399</v>
      </c>
      <c r="BI42" s="751">
        <f t="shared" si="132"/>
        <v>59800.761293425341</v>
      </c>
      <c r="BJ42" s="751">
        <f t="shared" ref="BJ42" si="133">SUM(BJ31:BJ41)</f>
        <v>60897.015955131668</v>
      </c>
      <c r="BK42" s="751">
        <f t="shared" ref="BK42" si="134">SUM(BK31:BK41)</f>
        <v>59729.595429017994</v>
      </c>
      <c r="BL42" s="1141">
        <f t="shared" ref="BL42" si="135">SUM(BL31:BL41)</f>
        <v>56145.387762684804</v>
      </c>
      <c r="BM42" s="751">
        <f t="shared" ref="BM42" si="136">SUM(BM31:BM41)</f>
        <v>60969.116019240937</v>
      </c>
      <c r="BN42" s="751">
        <f t="shared" ref="BN42:BO42" si="137">SUM(BN31:BN41)</f>
        <v>57272.30848810944</v>
      </c>
      <c r="BO42" s="751">
        <f t="shared" si="137"/>
        <v>61895.709371609912</v>
      </c>
      <c r="BP42" s="751">
        <f t="shared" ref="BP42" si="138">SUM(BP31:BP41)</f>
        <v>58791.865274698735</v>
      </c>
      <c r="BQ42" s="751">
        <f t="shared" ref="BQ42" si="139">SUM(BQ31:BQ41)</f>
        <v>93026.300705008456</v>
      </c>
      <c r="BR42" s="751">
        <f t="shared" ref="BR42" si="140">SUM(BR31:BR41)</f>
        <v>61605.507263937587</v>
      </c>
      <c r="BS42" s="751">
        <f t="shared" ref="BS42:BT42" si="141">SUM(BS31:BS41)</f>
        <v>59495.060240017861</v>
      </c>
      <c r="BT42" s="751">
        <f t="shared" si="141"/>
        <v>52430.911859342399</v>
      </c>
      <c r="BU42" s="751">
        <f t="shared" ref="BU42" si="142">SUM(BU31:BU41)</f>
        <v>59800.761293425341</v>
      </c>
      <c r="BV42" s="751">
        <f t="shared" ref="BV42" si="143">SUM(BV31:BV41)</f>
        <v>60897.015955131668</v>
      </c>
      <c r="BW42" s="751">
        <f t="shared" ref="BW42" si="144">SUM(BW31:BW41)</f>
        <v>59729.595429017994</v>
      </c>
      <c r="BX42" s="1141">
        <f t="shared" ref="BX42" si="145">SUM(BX31:BX41)</f>
        <v>56145.387762684804</v>
      </c>
      <c r="BY42" s="751">
        <f t="shared" ref="BY42:BZ42" si="146">SUM(BY31:BY41)</f>
        <v>60969.116019240937</v>
      </c>
      <c r="BZ42" s="751">
        <f t="shared" si="146"/>
        <v>57272.30848810944</v>
      </c>
      <c r="CA42" s="751">
        <f t="shared" ref="CA42" si="147">SUM(CA31:CA41)</f>
        <v>61895.709371609912</v>
      </c>
      <c r="CB42" s="751">
        <f t="shared" ref="CB42" si="148">SUM(CB31:CB41)</f>
        <v>58791.865274698735</v>
      </c>
      <c r="CC42" s="751">
        <f t="shared" ref="CC42" si="149">SUM(CC31:CC41)</f>
        <v>93026.300705008456</v>
      </c>
      <c r="CD42" s="751">
        <f t="shared" ref="CD42:CE42" si="150">SUM(CD31:CD41)</f>
        <v>61605.507263937587</v>
      </c>
      <c r="CE42" s="751">
        <f t="shared" si="150"/>
        <v>59495.060240017861</v>
      </c>
      <c r="CF42" s="751">
        <f t="shared" ref="CF42" si="151">SUM(CF31:CF41)</f>
        <v>52430.911859342399</v>
      </c>
      <c r="CG42" s="751">
        <f t="shared" ref="CG42" si="152">SUM(CG31:CG41)</f>
        <v>59800.761293425341</v>
      </c>
      <c r="CH42" s="751">
        <f t="shared" ref="CH42" si="153">SUM(CH31:CH41)</f>
        <v>60897.015955131668</v>
      </c>
      <c r="CI42" s="751">
        <f t="shared" ref="CI42" si="154">SUM(CI31:CI41)</f>
        <v>59729.595429017994</v>
      </c>
      <c r="CJ42" s="1141">
        <f t="shared" ref="CJ42:CK42" si="155">SUM(CJ31:CJ41)</f>
        <v>56145.387762684804</v>
      </c>
      <c r="CK42" s="751">
        <f t="shared" si="155"/>
        <v>60969.116019240937</v>
      </c>
      <c r="CL42" s="751">
        <f t="shared" ref="CL42" si="156">SUM(CL31:CL41)</f>
        <v>57272.30848810944</v>
      </c>
      <c r="CM42" s="751">
        <f t="shared" ref="CM42" si="157">SUM(CM31:CM41)</f>
        <v>61895.709371609912</v>
      </c>
      <c r="CN42" s="751">
        <f t="shared" ref="CN42" si="158">SUM(CN31:CN41)</f>
        <v>58791.865274698735</v>
      </c>
      <c r="CO42" s="751">
        <f t="shared" ref="CO42:CP42" si="159">SUM(CO31:CO41)</f>
        <v>93026.300705008456</v>
      </c>
      <c r="CP42" s="751">
        <f t="shared" si="159"/>
        <v>61605.507263937587</v>
      </c>
      <c r="CQ42" s="751">
        <f t="shared" ref="CQ42" si="160">SUM(CQ31:CQ41)</f>
        <v>59495.060240017861</v>
      </c>
      <c r="CR42" s="751">
        <f t="shared" ref="CR42" si="161">SUM(CR31:CR41)</f>
        <v>52430.911859342399</v>
      </c>
      <c r="CS42" s="751">
        <f t="shared" ref="CS42" si="162">SUM(CS31:CS41)</f>
        <v>59800.761293425341</v>
      </c>
      <c r="CT42" s="751">
        <f t="shared" ref="CT42" si="163">SUM(CT31:CT41)</f>
        <v>60897.015955131668</v>
      </c>
      <c r="CU42" s="751">
        <f t="shared" ref="CU42:CV42" si="164">SUM(CU31:CU41)</f>
        <v>59729.595429017994</v>
      </c>
      <c r="CV42" s="1141">
        <f t="shared" si="164"/>
        <v>56145.387762684804</v>
      </c>
      <c r="CW42" s="751">
        <f t="shared" ref="CW42" si="165">SUM(CW31:CW41)</f>
        <v>60969.116019240937</v>
      </c>
      <c r="CX42" s="751">
        <f t="shared" ref="CX42" si="166">SUM(CX31:CX41)</f>
        <v>57272.30848810944</v>
      </c>
      <c r="CY42" s="751">
        <f t="shared" ref="CY42" si="167">SUM(CY31:CY41)</f>
        <v>61895.709371609912</v>
      </c>
      <c r="CZ42" s="751">
        <f t="shared" ref="CZ42:DA42" si="168">SUM(CZ31:CZ41)</f>
        <v>58791.865274698735</v>
      </c>
      <c r="DA42" s="751">
        <f t="shared" si="168"/>
        <v>93026.300705008456</v>
      </c>
      <c r="DB42" s="751">
        <f t="shared" ref="DB42" si="169">SUM(DB31:DB41)</f>
        <v>61605.507263937587</v>
      </c>
      <c r="DC42" s="751">
        <f t="shared" ref="DC42" si="170">SUM(DC31:DC41)</f>
        <v>59495.060240017861</v>
      </c>
      <c r="DD42" s="751">
        <f t="shared" ref="DD42" si="171">SUM(DD31:DD41)</f>
        <v>52430.911859342399</v>
      </c>
      <c r="DE42" s="751">
        <f t="shared" ref="DE42" si="172">SUM(DE31:DE41)</f>
        <v>59800.761293425341</v>
      </c>
      <c r="DF42" s="751">
        <f t="shared" ref="DF42:DG42" si="173">SUM(DF31:DF41)</f>
        <v>60897.015955131668</v>
      </c>
      <c r="DG42" s="751">
        <f t="shared" si="173"/>
        <v>59729.595429017994</v>
      </c>
      <c r="DH42" s="1141">
        <f t="shared" ref="DH42" si="174">SUM(DH31:DH41)</f>
        <v>56145.387762684804</v>
      </c>
      <c r="DI42" s="751">
        <f t="shared" ref="DI42" si="175">SUM(DI31:DI41)</f>
        <v>60969.116019240937</v>
      </c>
      <c r="DJ42" s="751">
        <f t="shared" ref="DJ42" si="176">SUM(DJ31:DJ41)</f>
        <v>57272.30848810944</v>
      </c>
      <c r="DK42" s="751">
        <f t="shared" ref="DK42:DL42" si="177">SUM(DK31:DK41)</f>
        <v>61895.709371609912</v>
      </c>
      <c r="DL42" s="751">
        <f t="shared" si="177"/>
        <v>58791.865274698735</v>
      </c>
      <c r="DM42" s="751">
        <f t="shared" ref="DM42" si="178">SUM(DM31:DM41)</f>
        <v>93026.300705008456</v>
      </c>
      <c r="DN42" s="751">
        <f t="shared" ref="DN42" si="179">SUM(DN31:DN41)</f>
        <v>61605.507263937587</v>
      </c>
      <c r="DO42" s="751">
        <f t="shared" ref="DO42" si="180">SUM(DO31:DO41)</f>
        <v>59495.060240017861</v>
      </c>
      <c r="DP42" s="751">
        <f t="shared" ref="DP42" si="181">SUM(DP31:DP41)</f>
        <v>52430.911859342399</v>
      </c>
      <c r="DQ42" s="751">
        <f t="shared" ref="DQ42:DR42" si="182">SUM(DQ31:DQ41)</f>
        <v>59800.761293425341</v>
      </c>
      <c r="DR42" s="751">
        <f t="shared" si="182"/>
        <v>60897.015955131668</v>
      </c>
      <c r="DS42" s="751">
        <f t="shared" ref="DS42" si="183">SUM(DS31:DS41)</f>
        <v>59440.717779756218</v>
      </c>
      <c r="DT42" s="1141">
        <f t="shared" ref="DT42" si="184">SUM(DT31:DT41)</f>
        <v>55640.486436782914</v>
      </c>
    </row>
    <row r="43" spans="2:124" ht="15" x14ac:dyDescent="0.25">
      <c r="B43" s="161"/>
      <c r="C43" s="83"/>
      <c r="D43" s="83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759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765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765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765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765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765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765"/>
      <c r="CK43" s="392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765"/>
      <c r="CW43" s="393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765"/>
      <c r="DI43" s="392"/>
      <c r="DJ43" s="392"/>
      <c r="DK43" s="392"/>
      <c r="DL43" s="392"/>
      <c r="DM43" s="392"/>
      <c r="DN43" s="392"/>
      <c r="DO43" s="392"/>
      <c r="DP43" s="392"/>
      <c r="DQ43" s="392"/>
      <c r="DR43" s="392"/>
      <c r="DS43" s="392"/>
      <c r="DT43" s="765"/>
    </row>
    <row r="44" spans="2:124" ht="18.75" customHeight="1" x14ac:dyDescent="0.3">
      <c r="B44" s="159" t="s">
        <v>1381</v>
      </c>
      <c r="C44" s="123"/>
      <c r="D44" s="123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521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89"/>
      <c r="AB44" s="726"/>
      <c r="AC44" s="889"/>
      <c r="AD44" s="889"/>
      <c r="AE44" s="889"/>
      <c r="AF44" s="889"/>
      <c r="AG44" s="889"/>
      <c r="AH44" s="889"/>
      <c r="AI44" s="889"/>
      <c r="AJ44" s="889"/>
      <c r="AK44" s="889"/>
      <c r="AL44" s="889"/>
      <c r="AM44" s="889"/>
      <c r="AN44" s="726"/>
      <c r="AO44" s="889"/>
      <c r="AP44" s="889"/>
      <c r="AQ44" s="889"/>
      <c r="AR44" s="889"/>
      <c r="AS44" s="889"/>
      <c r="AT44" s="889"/>
      <c r="AU44" s="889"/>
      <c r="AV44" s="889"/>
      <c r="AW44" s="889"/>
      <c r="AX44" s="889"/>
      <c r="AY44" s="889"/>
      <c r="AZ44" s="726"/>
      <c r="BA44" s="889"/>
      <c r="BB44" s="889"/>
      <c r="BC44" s="889"/>
      <c r="BD44" s="889"/>
      <c r="BE44" s="889"/>
      <c r="BF44" s="889"/>
      <c r="BG44" s="889"/>
      <c r="BH44" s="889"/>
      <c r="BI44" s="889"/>
      <c r="BJ44" s="889"/>
      <c r="BK44" s="889"/>
      <c r="BL44" s="726"/>
      <c r="BM44" s="889"/>
      <c r="BN44" s="889"/>
      <c r="BO44" s="889"/>
      <c r="BP44" s="889"/>
      <c r="BQ44" s="889"/>
      <c r="BR44" s="889"/>
      <c r="BS44" s="889"/>
      <c r="BT44" s="889"/>
      <c r="BU44" s="889"/>
      <c r="BV44" s="889"/>
      <c r="BW44" s="889"/>
      <c r="BX44" s="726"/>
      <c r="BY44" s="889"/>
      <c r="BZ44" s="889"/>
      <c r="CA44" s="889"/>
      <c r="CB44" s="889"/>
      <c r="CC44" s="889"/>
      <c r="CD44" s="889"/>
      <c r="CE44" s="889"/>
      <c r="CF44" s="889"/>
      <c r="CG44" s="889"/>
      <c r="CH44" s="889"/>
      <c r="CI44" s="889"/>
      <c r="CJ44" s="726"/>
      <c r="CK44" s="889"/>
      <c r="CL44" s="889"/>
      <c r="CM44" s="889"/>
      <c r="CN44" s="889"/>
      <c r="CO44" s="889"/>
      <c r="CP44" s="889"/>
      <c r="CQ44" s="889"/>
      <c r="CR44" s="889"/>
      <c r="CS44" s="889"/>
      <c r="CT44" s="889"/>
      <c r="CU44" s="889"/>
      <c r="CV44" s="726"/>
      <c r="CW44" s="889"/>
      <c r="CX44" s="889"/>
      <c r="CY44" s="889"/>
      <c r="CZ44" s="889"/>
      <c r="DA44" s="889"/>
      <c r="DB44" s="889"/>
      <c r="DC44" s="889"/>
      <c r="DD44" s="889"/>
      <c r="DE44" s="889"/>
      <c r="DF44" s="889"/>
      <c r="DG44" s="889"/>
      <c r="DH44" s="726"/>
      <c r="DI44" s="889"/>
      <c r="DJ44" s="889"/>
      <c r="DK44" s="889"/>
      <c r="DL44" s="889"/>
      <c r="DM44" s="889"/>
      <c r="DN44" s="889"/>
      <c r="DO44" s="889"/>
      <c r="DP44" s="889"/>
      <c r="DQ44" s="889"/>
      <c r="DR44" s="889"/>
      <c r="DS44" s="889"/>
      <c r="DT44" s="726"/>
    </row>
    <row r="45" spans="2:124" ht="15" x14ac:dyDescent="0.25">
      <c r="B45" s="754" t="s">
        <v>381</v>
      </c>
      <c r="C45" s="510"/>
      <c r="D45" s="75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97"/>
      <c r="Q45" s="107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8"/>
      <c r="AC45" s="107"/>
      <c r="AD45" s="106">
        <f>'Batch 1'!S64</f>
        <v>0</v>
      </c>
      <c r="AE45" s="106">
        <f>'Batch 1'!T64</f>
        <v>0</v>
      </c>
      <c r="AF45" s="106">
        <f>'Batch 1'!U64</f>
        <v>0</v>
      </c>
      <c r="AG45" s="106">
        <f>'Batch 1'!V64</f>
        <v>0</v>
      </c>
      <c r="AH45" s="106">
        <f>'Batch 1'!W64</f>
        <v>0</v>
      </c>
      <c r="AI45" s="106">
        <f>'Batch 1'!X64</f>
        <v>0</v>
      </c>
      <c r="AJ45" s="106">
        <f>'Batch 1'!Y64</f>
        <v>0</v>
      </c>
      <c r="AK45" s="106">
        <f>'Batch 1'!Z64</f>
        <v>0</v>
      </c>
      <c r="AL45" s="106">
        <f>'Batch 1'!AA64</f>
        <v>40164.577489631527</v>
      </c>
      <c r="AM45" s="106">
        <f>'Batch 1'!AB64</f>
        <v>44819.688006079276</v>
      </c>
      <c r="AN45" s="108">
        <f>'Batch 1'!AC64</f>
        <v>39438.024282604434</v>
      </c>
      <c r="AO45" s="107">
        <f>'Batch 1'!AD64</f>
        <v>0</v>
      </c>
      <c r="AP45" s="106">
        <f>'Batch 1'!AE64</f>
        <v>0</v>
      </c>
      <c r="AQ45" s="106"/>
      <c r="AR45" s="106"/>
      <c r="AS45" s="106"/>
      <c r="AT45" s="106"/>
      <c r="AU45" s="106"/>
      <c r="AV45" s="106"/>
      <c r="AW45" s="106"/>
      <c r="AX45" s="106"/>
      <c r="AY45" s="106"/>
      <c r="AZ45" s="108"/>
      <c r="BA45" s="107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8"/>
      <c r="BM45" s="107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8"/>
      <c r="BY45" s="107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8"/>
      <c r="CK45" s="107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8"/>
      <c r="CW45" s="107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8"/>
      <c r="DI45" s="107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8"/>
    </row>
    <row r="46" spans="2:124" ht="15" x14ac:dyDescent="0.25">
      <c r="B46" s="754" t="s">
        <v>382</v>
      </c>
      <c r="C46" s="542"/>
      <c r="D46" s="754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9"/>
      <c r="Q46" s="107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8"/>
      <c r="AC46" s="107"/>
      <c r="AD46" s="106"/>
      <c r="AE46" s="106"/>
      <c r="AF46" s="106"/>
      <c r="AG46" s="106">
        <f>Batch2!S64</f>
        <v>0</v>
      </c>
      <c r="AH46" s="106">
        <f>Batch2!T64</f>
        <v>0</v>
      </c>
      <c r="AI46" s="106">
        <f>Batch2!U64</f>
        <v>0</v>
      </c>
      <c r="AJ46" s="106">
        <f>Batch2!V64</f>
        <v>0</v>
      </c>
      <c r="AK46" s="106">
        <f>Batch2!W64</f>
        <v>0</v>
      </c>
      <c r="AL46" s="106">
        <f>Batch2!X64</f>
        <v>0</v>
      </c>
      <c r="AM46" s="106">
        <f>Batch2!Y64</f>
        <v>0</v>
      </c>
      <c r="AN46" s="108">
        <f>Batch2!Z64</f>
        <v>0</v>
      </c>
      <c r="AO46" s="107">
        <f>Batch2!AA64</f>
        <v>41099.915462942678</v>
      </c>
      <c r="AP46" s="106">
        <f>Batch2!AB64</f>
        <v>45863.432488512</v>
      </c>
      <c r="AQ46" s="106">
        <f>Batch2!AC64</f>
        <v>40206.872983377849</v>
      </c>
      <c r="AR46" s="106">
        <f>Batch2!AD64</f>
        <v>0</v>
      </c>
      <c r="AS46" s="106">
        <f>Batch2!AE64</f>
        <v>0</v>
      </c>
      <c r="AT46" s="106"/>
      <c r="AU46" s="106"/>
      <c r="AV46" s="106"/>
      <c r="AW46" s="106"/>
      <c r="AX46" s="106"/>
      <c r="AY46" s="106"/>
      <c r="AZ46" s="108"/>
      <c r="BA46" s="107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8"/>
      <c r="BM46" s="107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8"/>
      <c r="BY46" s="107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8"/>
      <c r="CK46" s="107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8"/>
      <c r="CW46" s="107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8"/>
      <c r="DI46" s="107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8"/>
    </row>
    <row r="47" spans="2:124" ht="15" x14ac:dyDescent="0.25">
      <c r="B47" s="754" t="s">
        <v>383</v>
      </c>
      <c r="C47" s="542"/>
      <c r="D47" s="754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9"/>
      <c r="Q47" s="28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3"/>
      <c r="AC47" s="107"/>
      <c r="AD47" s="106"/>
      <c r="AE47" s="106"/>
      <c r="AF47" s="106"/>
      <c r="AG47" s="106"/>
      <c r="AH47" s="106"/>
      <c r="AI47" s="106"/>
      <c r="AJ47" s="106">
        <f>Batch3!S64</f>
        <v>0</v>
      </c>
      <c r="AK47" s="106">
        <f>Batch3!T64</f>
        <v>0</v>
      </c>
      <c r="AL47" s="106">
        <f>Batch3!U64</f>
        <v>0</v>
      </c>
      <c r="AM47" s="106"/>
      <c r="AN47" s="108">
        <f>Batch3!W64</f>
        <v>0</v>
      </c>
      <c r="AO47" s="739">
        <f>Batch3!X64</f>
        <v>0</v>
      </c>
      <c r="AP47" s="108">
        <f>Batch3!Y64</f>
        <v>0</v>
      </c>
      <c r="AQ47" s="108">
        <f>Batch3!Z64</f>
        <v>0</v>
      </c>
      <c r="AR47" s="108">
        <f>Batch3!AA64</f>
        <v>41781.05342146675</v>
      </c>
      <c r="AS47" s="108">
        <f>Batch3!AB64</f>
        <v>46458.87630379208</v>
      </c>
      <c r="AT47" s="108">
        <f>Batch3!AC64</f>
        <v>40880.389251325098</v>
      </c>
      <c r="AU47" s="108">
        <f>Batch3!AD64</f>
        <v>0</v>
      </c>
      <c r="AV47" s="312"/>
      <c r="AW47" s="312"/>
      <c r="AX47" s="312"/>
      <c r="AY47" s="312"/>
      <c r="AZ47" s="313"/>
      <c r="BA47" s="28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3"/>
      <c r="BM47" s="28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3"/>
      <c r="BY47" s="282"/>
      <c r="BZ47" s="312"/>
      <c r="CA47" s="312"/>
      <c r="CB47" s="312"/>
      <c r="CC47" s="312"/>
      <c r="CD47" s="106"/>
      <c r="CE47" s="106"/>
      <c r="CF47" s="106"/>
      <c r="CG47" s="106"/>
      <c r="CH47" s="106"/>
      <c r="CI47" s="106"/>
      <c r="CJ47" s="108"/>
      <c r="CK47" s="107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8"/>
      <c r="CW47" s="107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8"/>
      <c r="DI47" s="107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8"/>
    </row>
    <row r="48" spans="2:124" ht="15" x14ac:dyDescent="0.25">
      <c r="B48" s="754" t="s">
        <v>492</v>
      </c>
      <c r="C48" s="542"/>
      <c r="D48" s="754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99"/>
      <c r="Q48" s="107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8"/>
      <c r="AC48" s="107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>
        <f>Batch4!S64</f>
        <v>0</v>
      </c>
      <c r="AN48" s="108">
        <f>Batch4!T64</f>
        <v>0</v>
      </c>
      <c r="AO48" s="107">
        <f>Batch4!U64</f>
        <v>0</v>
      </c>
      <c r="AP48" s="106">
        <f>Batch4!V64</f>
        <v>0</v>
      </c>
      <c r="AQ48" s="106">
        <f>Batch4!W64</f>
        <v>0</v>
      </c>
      <c r="AR48" s="106">
        <f>Batch4!X64</f>
        <v>0</v>
      </c>
      <c r="AS48" s="106">
        <f>Batch4!Y64</f>
        <v>0</v>
      </c>
      <c r="AT48" s="106">
        <f>Batch4!Z64</f>
        <v>0</v>
      </c>
      <c r="AU48" s="106">
        <f>Batch4!AA64</f>
        <v>40964.670363466583</v>
      </c>
      <c r="AV48" s="106">
        <f>Batch4!AB64</f>
        <v>45551.09068322528</v>
      </c>
      <c r="AW48" s="106">
        <f>Batch4!AC64</f>
        <v>40081.604767540732</v>
      </c>
      <c r="AX48" s="106"/>
      <c r="AY48" s="106"/>
      <c r="AZ48" s="108"/>
      <c r="BA48" s="107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8"/>
      <c r="BM48" s="107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8"/>
      <c r="BY48" s="107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8"/>
      <c r="CK48" s="107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8"/>
      <c r="CW48" s="107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8"/>
      <c r="DI48" s="107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8"/>
    </row>
    <row r="49" spans="1:124" ht="15" x14ac:dyDescent="0.25">
      <c r="B49" s="405" t="s">
        <v>370</v>
      </c>
      <c r="C49" s="83"/>
      <c r="D49" s="8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9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764"/>
      <c r="AC49" s="107"/>
      <c r="AD49" s="106">
        <f>SUM(AD45:AD48)</f>
        <v>0</v>
      </c>
      <c r="AE49" s="106">
        <f t="shared" ref="AE49:AO49" si="185">SUM(AE45:AE48)</f>
        <v>0</v>
      </c>
      <c r="AF49" s="106">
        <f t="shared" si="185"/>
        <v>0</v>
      </c>
      <c r="AG49" s="106">
        <f t="shared" si="185"/>
        <v>0</v>
      </c>
      <c r="AH49" s="106">
        <f t="shared" si="185"/>
        <v>0</v>
      </c>
      <c r="AI49" s="106">
        <f t="shared" si="185"/>
        <v>0</v>
      </c>
      <c r="AJ49" s="106">
        <f t="shared" si="185"/>
        <v>0</v>
      </c>
      <c r="AK49" s="106">
        <f t="shared" si="185"/>
        <v>0</v>
      </c>
      <c r="AL49" s="106">
        <f t="shared" si="185"/>
        <v>40164.577489631527</v>
      </c>
      <c r="AM49" s="106">
        <f t="shared" si="185"/>
        <v>44819.688006079276</v>
      </c>
      <c r="AN49" s="108">
        <f t="shared" si="185"/>
        <v>39438.024282604434</v>
      </c>
      <c r="AO49" s="107">
        <f t="shared" si="185"/>
        <v>41099.915462942678</v>
      </c>
      <c r="AP49" s="106">
        <f>SUM(AP45:AP48)</f>
        <v>45863.432488512</v>
      </c>
      <c r="AQ49" s="106">
        <f t="shared" ref="AQ49:BB49" si="186">SUM(AQ45:AQ48)</f>
        <v>40206.872983377849</v>
      </c>
      <c r="AR49" s="106">
        <f t="shared" si="186"/>
        <v>41781.05342146675</v>
      </c>
      <c r="AS49" s="106">
        <f t="shared" si="186"/>
        <v>46458.87630379208</v>
      </c>
      <c r="AT49" s="106">
        <f t="shared" si="186"/>
        <v>40880.389251325098</v>
      </c>
      <c r="AU49" s="106">
        <f t="shared" si="186"/>
        <v>40964.670363466583</v>
      </c>
      <c r="AV49" s="106">
        <f t="shared" si="186"/>
        <v>45551.09068322528</v>
      </c>
      <c r="AW49" s="106">
        <f t="shared" si="186"/>
        <v>40081.604767540732</v>
      </c>
      <c r="AX49" s="106">
        <f t="shared" si="186"/>
        <v>0</v>
      </c>
      <c r="AY49" s="106">
        <f t="shared" si="186"/>
        <v>0</v>
      </c>
      <c r="AZ49" s="108">
        <f t="shared" si="186"/>
        <v>0</v>
      </c>
      <c r="BA49" s="107">
        <f t="shared" si="186"/>
        <v>0</v>
      </c>
      <c r="BB49" s="106">
        <f t="shared" si="186"/>
        <v>0</v>
      </c>
      <c r="BC49" s="106"/>
      <c r="BD49" s="106"/>
      <c r="BE49" s="106"/>
      <c r="BF49" s="106"/>
      <c r="BG49" s="106"/>
      <c r="BH49" s="106"/>
      <c r="BI49" s="106"/>
      <c r="BJ49" s="106"/>
      <c r="BK49" s="106"/>
      <c r="BL49" s="108"/>
      <c r="BM49" s="107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8"/>
      <c r="BY49" s="107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8"/>
      <c r="CK49" s="107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8"/>
      <c r="CW49" s="107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8"/>
      <c r="DI49" s="107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8"/>
    </row>
    <row r="50" spans="1:124" s="265" customFormat="1" ht="15" x14ac:dyDescent="0.25">
      <c r="A50" s="2"/>
      <c r="B50" s="405" t="s">
        <v>384</v>
      </c>
      <c r="C50" s="83">
        <v>1</v>
      </c>
      <c r="D50" s="8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97"/>
      <c r="Q50" s="387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8"/>
      <c r="AC50" s="107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8"/>
      <c r="AO50" s="251"/>
      <c r="AP50" s="282">
        <f>AD49</f>
        <v>0</v>
      </c>
      <c r="AQ50" s="282">
        <f t="shared" ref="AQ50:BA50" si="187">AE49</f>
        <v>0</v>
      </c>
      <c r="AR50" s="282">
        <f t="shared" si="187"/>
        <v>0</v>
      </c>
      <c r="AS50" s="282">
        <f t="shared" si="187"/>
        <v>0</v>
      </c>
      <c r="AT50" s="282">
        <f t="shared" si="187"/>
        <v>0</v>
      </c>
      <c r="AU50" s="282">
        <f t="shared" si="187"/>
        <v>0</v>
      </c>
      <c r="AV50" s="282">
        <f t="shared" si="187"/>
        <v>0</v>
      </c>
      <c r="AW50" s="282">
        <f t="shared" si="187"/>
        <v>0</v>
      </c>
      <c r="AX50" s="282">
        <f t="shared" si="187"/>
        <v>40164.577489631527</v>
      </c>
      <c r="AY50" s="282">
        <f t="shared" si="187"/>
        <v>44819.688006079276</v>
      </c>
      <c r="AZ50" s="766">
        <f t="shared" si="187"/>
        <v>39438.024282604434</v>
      </c>
      <c r="BA50" s="282">
        <f t="shared" si="187"/>
        <v>41099.915462942678</v>
      </c>
      <c r="BB50" s="282">
        <f t="shared" ref="BB50" si="188">AP49*$C50</f>
        <v>45863.432488512</v>
      </c>
      <c r="BC50" s="282">
        <f t="shared" ref="BC50" si="189">AQ49*$C50</f>
        <v>40206.872983377849</v>
      </c>
      <c r="BD50" s="282">
        <f t="shared" ref="BD50" si="190">AR49*$C50</f>
        <v>41781.05342146675</v>
      </c>
      <c r="BE50" s="282">
        <f t="shared" ref="BE50" si="191">AS49*$C50</f>
        <v>46458.87630379208</v>
      </c>
      <c r="BF50" s="282">
        <f t="shared" ref="BF50" si="192">AT49*$C50</f>
        <v>40880.389251325098</v>
      </c>
      <c r="BG50" s="282">
        <f t="shared" ref="BG50" si="193">AU49*$C50</f>
        <v>40964.670363466583</v>
      </c>
      <c r="BH50" s="282">
        <f t="shared" ref="BH50" si="194">AV49*$C50</f>
        <v>45551.09068322528</v>
      </c>
      <c r="BI50" s="282">
        <f t="shared" ref="BI50" si="195">AW49*$C50</f>
        <v>40081.604767540732</v>
      </c>
      <c r="BJ50" s="282">
        <f t="shared" ref="BJ50" si="196">AX49*$C50</f>
        <v>0</v>
      </c>
      <c r="BK50" s="282">
        <f t="shared" ref="BK50" si="197">AY49*$C50</f>
        <v>0</v>
      </c>
      <c r="BL50" s="766">
        <f t="shared" ref="BL50" si="198">AZ49*$C50</f>
        <v>0</v>
      </c>
      <c r="BM50" s="282">
        <f t="shared" ref="BM50" si="199">BA49*$C50</f>
        <v>0</v>
      </c>
      <c r="BN50" s="282">
        <f t="shared" ref="BN50" si="200">BB49*$C50</f>
        <v>0</v>
      </c>
      <c r="BO50" s="282">
        <f t="shared" ref="BO50" si="201">BC49*$C50</f>
        <v>0</v>
      </c>
      <c r="BP50" s="282">
        <f t="shared" ref="BP50" si="202">BD49*$C50</f>
        <v>0</v>
      </c>
      <c r="BQ50" s="282">
        <f t="shared" ref="BQ50" si="203">BE49*$C50</f>
        <v>0</v>
      </c>
      <c r="BR50" s="312"/>
      <c r="BS50" s="312"/>
      <c r="BT50" s="312"/>
      <c r="BU50" s="312"/>
      <c r="BV50" s="312"/>
      <c r="BW50" s="312"/>
      <c r="BX50" s="313"/>
      <c r="BY50" s="28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3"/>
      <c r="CK50" s="28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3"/>
      <c r="CW50" s="28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3"/>
      <c r="DI50" s="28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3"/>
    </row>
    <row r="51" spans="1:124" s="265" customFormat="1" ht="15" x14ac:dyDescent="0.25">
      <c r="A51" s="2"/>
      <c r="B51" s="405" t="s">
        <v>385</v>
      </c>
      <c r="C51" s="83">
        <v>1</v>
      </c>
      <c r="D51" s="8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97"/>
      <c r="Q51" s="387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8"/>
      <c r="AC51" s="107"/>
      <c r="AD51" s="252"/>
      <c r="AE51" s="106"/>
      <c r="AF51" s="106"/>
      <c r="AG51" s="106"/>
      <c r="AH51" s="106"/>
      <c r="AI51" s="106"/>
      <c r="AJ51" s="106"/>
      <c r="AK51" s="106"/>
      <c r="AL51" s="106"/>
      <c r="AM51" s="106"/>
      <c r="AN51" s="108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739"/>
      <c r="BA51" s="410"/>
      <c r="BB51" s="282">
        <f t="shared" ref="BB51:BF51" si="204">AD49*$C51</f>
        <v>0</v>
      </c>
      <c r="BC51" s="282">
        <f t="shared" si="204"/>
        <v>0</v>
      </c>
      <c r="BD51" s="282">
        <f t="shared" si="204"/>
        <v>0</v>
      </c>
      <c r="BE51" s="282">
        <f t="shared" si="204"/>
        <v>0</v>
      </c>
      <c r="BF51" s="282">
        <f t="shared" si="204"/>
        <v>0</v>
      </c>
      <c r="BG51" s="282">
        <f t="shared" ref="BG51" si="205">AI49*$C51</f>
        <v>0</v>
      </c>
      <c r="BH51" s="282">
        <f t="shared" ref="BH51" si="206">AJ49*$C51</f>
        <v>0</v>
      </c>
      <c r="BI51" s="282">
        <f t="shared" ref="BI51" si="207">AK49*$C51</f>
        <v>0</v>
      </c>
      <c r="BJ51" s="282">
        <f t="shared" ref="BJ51" si="208">AL49*$C51</f>
        <v>40164.577489631527</v>
      </c>
      <c r="BK51" s="282">
        <f t="shared" ref="BK51" si="209">AM49*$C51</f>
        <v>44819.688006079276</v>
      </c>
      <c r="BL51" s="766">
        <f t="shared" ref="BL51" si="210">AN49*$C51</f>
        <v>39438.024282604434</v>
      </c>
      <c r="BM51" s="282">
        <f t="shared" ref="BM51" si="211">AO49*$C51</f>
        <v>41099.915462942678</v>
      </c>
      <c r="BN51" s="282">
        <f t="shared" ref="BN51" si="212">AP49*$C51</f>
        <v>45863.432488512</v>
      </c>
      <c r="BO51" s="282">
        <f t="shared" ref="BO51" si="213">AQ49*$C51</f>
        <v>40206.872983377849</v>
      </c>
      <c r="BP51" s="282">
        <f t="shared" ref="BP51" si="214">AR49*$C51</f>
        <v>41781.05342146675</v>
      </c>
      <c r="BQ51" s="282">
        <f t="shared" ref="BQ51" si="215">AS49*$C51</f>
        <v>46458.87630379208</v>
      </c>
      <c r="BR51" s="282">
        <f t="shared" ref="BR51" si="216">AT49*$C51</f>
        <v>40880.389251325098</v>
      </c>
      <c r="BS51" s="282">
        <f t="shared" ref="BS51" si="217">AU49*$C51</f>
        <v>40964.670363466583</v>
      </c>
      <c r="BT51" s="282">
        <f t="shared" ref="BT51" si="218">AV49*$C51</f>
        <v>45551.09068322528</v>
      </c>
      <c r="BU51" s="282">
        <f t="shared" ref="BU51" si="219">AW49*$C51</f>
        <v>40081.604767540732</v>
      </c>
      <c r="BV51" s="282">
        <f t="shared" ref="BV51" si="220">AX49*$C51</f>
        <v>0</v>
      </c>
      <c r="BW51" s="282">
        <f t="shared" ref="BW51" si="221">AY49*$C51</f>
        <v>0</v>
      </c>
      <c r="BX51" s="766">
        <f t="shared" ref="BX51" si="222">AZ49*$C51</f>
        <v>0</v>
      </c>
      <c r="BY51" s="282">
        <f t="shared" ref="BY51" si="223">BA49*$C51</f>
        <v>0</v>
      </c>
      <c r="BZ51" s="282">
        <f t="shared" ref="BZ51" si="224">BB49*$C51</f>
        <v>0</v>
      </c>
      <c r="CA51" s="282">
        <f t="shared" ref="CA51" si="225">BC49*$C51</f>
        <v>0</v>
      </c>
      <c r="CB51" s="282">
        <f t="shared" ref="CB51" si="226">BD49*$C51</f>
        <v>0</v>
      </c>
      <c r="CC51" s="282">
        <f t="shared" ref="CC51" si="227">BE49*$C51</f>
        <v>0</v>
      </c>
      <c r="CD51" s="282">
        <f t="shared" ref="CD51" si="228">BF49*$C51</f>
        <v>0</v>
      </c>
      <c r="CE51" s="282">
        <f t="shared" ref="CE51" si="229">BG49*$C51</f>
        <v>0</v>
      </c>
      <c r="CF51" s="282">
        <f t="shared" ref="CF51" si="230">BH49*$C51</f>
        <v>0</v>
      </c>
      <c r="CG51" s="282">
        <f t="shared" ref="CG51" si="231">BI49*$C51</f>
        <v>0</v>
      </c>
      <c r="CH51" s="312"/>
      <c r="CI51" s="312"/>
      <c r="CJ51" s="313"/>
      <c r="CK51" s="28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3"/>
      <c r="CW51" s="28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3"/>
      <c r="DI51" s="28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3"/>
    </row>
    <row r="52" spans="1:124" s="265" customFormat="1" ht="15" x14ac:dyDescent="0.25">
      <c r="A52" s="2"/>
      <c r="B52" s="405" t="s">
        <v>386</v>
      </c>
      <c r="C52" s="83">
        <v>1</v>
      </c>
      <c r="D52" s="83"/>
      <c r="E52" s="538"/>
      <c r="F52" s="538"/>
      <c r="G52" s="538"/>
      <c r="H52" s="538"/>
      <c r="I52" s="538"/>
      <c r="J52" s="538"/>
      <c r="K52" s="471"/>
      <c r="L52" s="471"/>
      <c r="M52" s="471"/>
      <c r="N52" s="471"/>
      <c r="O52" s="471"/>
      <c r="P52" s="498"/>
      <c r="Q52" s="527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3"/>
      <c r="AC52" s="282"/>
      <c r="AD52" s="312"/>
      <c r="AE52" s="312"/>
      <c r="AF52" s="312"/>
      <c r="AG52" s="106"/>
      <c r="AH52" s="106"/>
      <c r="AI52" s="106"/>
      <c r="AJ52" s="106"/>
      <c r="AK52" s="106"/>
      <c r="AL52" s="106"/>
      <c r="AM52" s="106"/>
      <c r="AN52" s="108"/>
      <c r="AO52" s="107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8"/>
      <c r="BA52" s="107">
        <f>Q49*$C52</f>
        <v>0</v>
      </c>
      <c r="BB52" s="282">
        <f t="shared" ref="BB52:BR52" si="232">R49*$C52</f>
        <v>0</v>
      </c>
      <c r="BC52" s="282">
        <f t="shared" si="232"/>
        <v>0</v>
      </c>
      <c r="BD52" s="282">
        <f t="shared" si="232"/>
        <v>0</v>
      </c>
      <c r="BE52" s="282">
        <f t="shared" si="232"/>
        <v>0</v>
      </c>
      <c r="BF52" s="282">
        <f t="shared" si="232"/>
        <v>0</v>
      </c>
      <c r="BG52" s="282">
        <f t="shared" si="232"/>
        <v>0</v>
      </c>
      <c r="BH52" s="282">
        <f t="shared" si="232"/>
        <v>0</v>
      </c>
      <c r="BI52" s="282">
        <f t="shared" si="232"/>
        <v>0</v>
      </c>
      <c r="BJ52" s="282">
        <f t="shared" si="232"/>
        <v>0</v>
      </c>
      <c r="BK52" s="282">
        <f t="shared" si="232"/>
        <v>0</v>
      </c>
      <c r="BL52" s="766">
        <f t="shared" si="232"/>
        <v>0</v>
      </c>
      <c r="BM52" s="752"/>
      <c r="BN52" s="282">
        <f t="shared" si="232"/>
        <v>0</v>
      </c>
      <c r="BO52" s="282">
        <f t="shared" si="232"/>
        <v>0</v>
      </c>
      <c r="BP52" s="282">
        <f t="shared" si="232"/>
        <v>0</v>
      </c>
      <c r="BQ52" s="282">
        <f t="shared" si="232"/>
        <v>0</v>
      </c>
      <c r="BR52" s="282">
        <f t="shared" si="232"/>
        <v>0</v>
      </c>
      <c r="BS52" s="282">
        <f t="shared" ref="BS52" si="233">AI49*$C52</f>
        <v>0</v>
      </c>
      <c r="BT52" s="282">
        <f t="shared" ref="BT52" si="234">AJ49*$C52</f>
        <v>0</v>
      </c>
      <c r="BU52" s="282">
        <f t="shared" ref="BU52" si="235">AK49*$C52</f>
        <v>0</v>
      </c>
      <c r="BV52" s="282">
        <f t="shared" ref="BV52" si="236">AL49*$C52</f>
        <v>40164.577489631527</v>
      </c>
      <c r="BW52" s="282">
        <f t="shared" ref="BW52" si="237">AM49*$C52</f>
        <v>44819.688006079276</v>
      </c>
      <c r="BX52" s="766">
        <f t="shared" ref="BX52" si="238">AN49*$C52</f>
        <v>39438.024282604434</v>
      </c>
      <c r="BY52" s="282">
        <f t="shared" ref="BY52" si="239">AO49*$C52</f>
        <v>41099.915462942678</v>
      </c>
      <c r="BZ52" s="282">
        <f t="shared" ref="BZ52" si="240">AP49*$C52</f>
        <v>45863.432488512</v>
      </c>
      <c r="CA52" s="282">
        <f t="shared" ref="CA52" si="241">AQ49*$C52</f>
        <v>40206.872983377849</v>
      </c>
      <c r="CB52" s="282">
        <f t="shared" ref="CB52" si="242">AR49*$C52</f>
        <v>41781.05342146675</v>
      </c>
      <c r="CC52" s="282">
        <f t="shared" ref="CC52" si="243">AS49*$C52</f>
        <v>46458.87630379208</v>
      </c>
      <c r="CD52" s="282">
        <f t="shared" ref="CD52" si="244">AT49*$C52</f>
        <v>40880.389251325098</v>
      </c>
      <c r="CE52" s="282">
        <f t="shared" ref="CE52" si="245">AU49*$C52</f>
        <v>40964.670363466583</v>
      </c>
      <c r="CF52" s="282">
        <f t="shared" ref="CF52" si="246">AV49*$C52</f>
        <v>45551.09068322528</v>
      </c>
      <c r="CG52" s="282">
        <f t="shared" ref="CG52" si="247">AW49*$C52</f>
        <v>40081.604767540732</v>
      </c>
      <c r="CH52" s="282">
        <f t="shared" ref="CH52" si="248">AX49*$C52</f>
        <v>0</v>
      </c>
      <c r="CI52" s="282">
        <f t="shared" ref="CI52" si="249">AY49*$C52</f>
        <v>0</v>
      </c>
      <c r="CJ52" s="766">
        <f t="shared" ref="CJ52" si="250">AZ49*$C52</f>
        <v>0</v>
      </c>
      <c r="CK52" s="282">
        <f t="shared" ref="CK52" si="251">BA49*$C52</f>
        <v>0</v>
      </c>
      <c r="CL52" s="282">
        <f t="shared" ref="CL52" si="252">BB49*$C52</f>
        <v>0</v>
      </c>
      <c r="CM52" s="282">
        <f t="shared" ref="CM52" si="253">BC49*$C52</f>
        <v>0</v>
      </c>
      <c r="CN52" s="282">
        <f t="shared" ref="CN52" si="254">BD49*$C52</f>
        <v>0</v>
      </c>
      <c r="CO52" s="282">
        <f t="shared" ref="CO52" si="255">BE49*$C52</f>
        <v>0</v>
      </c>
      <c r="CP52" s="282">
        <f t="shared" ref="CP52" si="256">BF49*$C52</f>
        <v>0</v>
      </c>
      <c r="CQ52" s="282">
        <f t="shared" ref="CQ52" si="257">BG49*$C52</f>
        <v>0</v>
      </c>
      <c r="CR52" s="282">
        <f t="shared" ref="CR52" si="258">BH49*$C52</f>
        <v>0</v>
      </c>
      <c r="CS52" s="406"/>
      <c r="CT52" s="406"/>
      <c r="CU52" s="406"/>
      <c r="CV52" s="753"/>
      <c r="CW52" s="406"/>
      <c r="CX52" s="406"/>
      <c r="CY52" s="406"/>
      <c r="CZ52" s="406"/>
      <c r="DA52" s="406"/>
      <c r="DB52" s="406"/>
      <c r="DC52" s="406"/>
      <c r="DD52" s="406"/>
      <c r="DE52" s="406"/>
      <c r="DF52" s="406"/>
      <c r="DG52" s="406"/>
      <c r="DH52" s="753"/>
      <c r="DI52" s="406"/>
      <c r="DJ52" s="406"/>
      <c r="DK52" s="406"/>
      <c r="DL52" s="406"/>
      <c r="DM52" s="406"/>
      <c r="DN52" s="406"/>
      <c r="DO52" s="406"/>
      <c r="DP52" s="406"/>
      <c r="DQ52" s="406"/>
      <c r="DR52" s="406"/>
      <c r="DS52" s="406"/>
      <c r="DT52" s="753"/>
    </row>
    <row r="53" spans="1:124" s="265" customFormat="1" ht="15" x14ac:dyDescent="0.25">
      <c r="A53" s="2"/>
      <c r="B53" s="405" t="s">
        <v>387</v>
      </c>
      <c r="C53" s="83">
        <v>1</v>
      </c>
      <c r="D53" s="83"/>
      <c r="E53" s="538"/>
      <c r="F53" s="538"/>
      <c r="G53" s="538"/>
      <c r="H53" s="538"/>
      <c r="I53" s="538"/>
      <c r="J53" s="538"/>
      <c r="K53" s="404"/>
      <c r="L53" s="404"/>
      <c r="M53" s="404"/>
      <c r="N53" s="404"/>
      <c r="O53" s="404"/>
      <c r="P53" s="497"/>
      <c r="Q53" s="387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8"/>
      <c r="AC53" s="251"/>
      <c r="AD53" s="252"/>
      <c r="AE53" s="106"/>
      <c r="AF53" s="106"/>
      <c r="AG53" s="106"/>
      <c r="AH53" s="106"/>
      <c r="AI53" s="106"/>
      <c r="AJ53" s="106"/>
      <c r="AK53" s="106"/>
      <c r="AL53" s="106"/>
      <c r="AM53" s="106"/>
      <c r="AN53" s="108"/>
      <c r="AO53" s="107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8"/>
      <c r="BA53" s="107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3"/>
      <c r="BM53" s="282">
        <f>Q49*$C53</f>
        <v>0</v>
      </c>
      <c r="BN53" s="282">
        <f t="shared" ref="BN53:CF53" si="259">R49*$C53</f>
        <v>0</v>
      </c>
      <c r="BO53" s="282">
        <f t="shared" si="259"/>
        <v>0</v>
      </c>
      <c r="BP53" s="282">
        <f t="shared" si="259"/>
        <v>0</v>
      </c>
      <c r="BQ53" s="282">
        <f t="shared" si="259"/>
        <v>0</v>
      </c>
      <c r="BR53" s="282">
        <f t="shared" si="259"/>
        <v>0</v>
      </c>
      <c r="BS53" s="282">
        <f t="shared" si="259"/>
        <v>0</v>
      </c>
      <c r="BT53" s="282">
        <f t="shared" si="259"/>
        <v>0</v>
      </c>
      <c r="BU53" s="282">
        <f t="shared" si="259"/>
        <v>0</v>
      </c>
      <c r="BV53" s="282">
        <f t="shared" si="259"/>
        <v>0</v>
      </c>
      <c r="BW53" s="282">
        <f t="shared" si="259"/>
        <v>0</v>
      </c>
      <c r="BX53" s="766">
        <f t="shared" si="259"/>
        <v>0</v>
      </c>
      <c r="BY53" s="752"/>
      <c r="BZ53" s="282">
        <f t="shared" si="259"/>
        <v>0</v>
      </c>
      <c r="CA53" s="282">
        <f t="shared" si="259"/>
        <v>0</v>
      </c>
      <c r="CB53" s="282">
        <f t="shared" si="259"/>
        <v>0</v>
      </c>
      <c r="CC53" s="282">
        <f t="shared" si="259"/>
        <v>0</v>
      </c>
      <c r="CD53" s="282">
        <f t="shared" si="259"/>
        <v>0</v>
      </c>
      <c r="CE53" s="282">
        <f t="shared" si="259"/>
        <v>0</v>
      </c>
      <c r="CF53" s="282">
        <f t="shared" si="259"/>
        <v>0</v>
      </c>
      <c r="CG53" s="282">
        <f t="shared" ref="CG53" si="260">AK49*$C53</f>
        <v>0</v>
      </c>
      <c r="CH53" s="282">
        <f t="shared" ref="CH53" si="261">AL49*$C53</f>
        <v>40164.577489631527</v>
      </c>
      <c r="CI53" s="282">
        <f t="shared" ref="CI53" si="262">AM49*$C53</f>
        <v>44819.688006079276</v>
      </c>
      <c r="CJ53" s="766">
        <f t="shared" ref="CJ53" si="263">AN49*$C53</f>
        <v>39438.024282604434</v>
      </c>
      <c r="CK53" s="282">
        <f t="shared" ref="CK53" si="264">AO49*$C53</f>
        <v>41099.915462942678</v>
      </c>
      <c r="CL53" s="282">
        <f t="shared" ref="CL53" si="265">AP49*$C53</f>
        <v>45863.432488512</v>
      </c>
      <c r="CM53" s="282">
        <f t="shared" ref="CM53" si="266">AQ49*$C53</f>
        <v>40206.872983377849</v>
      </c>
      <c r="CN53" s="282">
        <f t="shared" ref="CN53" si="267">AR49*$C53</f>
        <v>41781.05342146675</v>
      </c>
      <c r="CO53" s="282">
        <f t="shared" ref="CO53" si="268">AS49*$C53</f>
        <v>46458.87630379208</v>
      </c>
      <c r="CP53" s="282">
        <f t="shared" ref="CP53" si="269">AT49*$C53</f>
        <v>40880.389251325098</v>
      </c>
      <c r="CQ53" s="282">
        <f t="shared" ref="CQ53" si="270">AU49*$C53</f>
        <v>40964.670363466583</v>
      </c>
      <c r="CR53" s="282">
        <f t="shared" ref="CR53" si="271">AV49*$C53</f>
        <v>45551.09068322528</v>
      </c>
      <c r="CS53" s="282">
        <f t="shared" ref="CS53" si="272">AW49*$C53</f>
        <v>40081.604767540732</v>
      </c>
      <c r="CT53" s="282">
        <f t="shared" ref="CT53" si="273">AX49*$C53</f>
        <v>0</v>
      </c>
      <c r="CU53" s="282">
        <f t="shared" ref="CU53" si="274">AY49*$C53</f>
        <v>0</v>
      </c>
      <c r="CV53" s="766">
        <f t="shared" ref="CV53" si="275">AZ49*$C53</f>
        <v>0</v>
      </c>
      <c r="CW53" s="282">
        <f t="shared" ref="CW53" si="276">BA49*$C53</f>
        <v>0</v>
      </c>
      <c r="CX53" s="282">
        <f t="shared" ref="CX53" si="277">BB49*$C53</f>
        <v>0</v>
      </c>
      <c r="CY53" s="282">
        <f t="shared" ref="CY53" si="278">BC49*$C53</f>
        <v>0</v>
      </c>
      <c r="CZ53" s="282">
        <f t="shared" ref="CZ53" si="279">BD49*$C53</f>
        <v>0</v>
      </c>
      <c r="DA53" s="282">
        <f t="shared" ref="DA53" si="280">BE49*$C53</f>
        <v>0</v>
      </c>
      <c r="DB53" s="282">
        <f t="shared" ref="DB53" si="281">BF49*$C53</f>
        <v>0</v>
      </c>
      <c r="DC53" s="282">
        <f t="shared" ref="DC53" si="282">BG49*$C53</f>
        <v>0</v>
      </c>
      <c r="DD53" s="282">
        <f t="shared" ref="DD53" si="283">BH49*$C53</f>
        <v>0</v>
      </c>
      <c r="DE53" s="406"/>
      <c r="DF53" s="406"/>
      <c r="DG53" s="406"/>
      <c r="DH53" s="753"/>
      <c r="DI53" s="406"/>
      <c r="DJ53" s="406"/>
      <c r="DK53" s="406"/>
      <c r="DL53" s="406"/>
      <c r="DM53" s="406"/>
      <c r="DN53" s="406"/>
      <c r="DO53" s="406"/>
      <c r="DP53" s="406"/>
      <c r="DQ53" s="406"/>
      <c r="DR53" s="406"/>
      <c r="DS53" s="406"/>
      <c r="DT53" s="753"/>
    </row>
    <row r="54" spans="1:124" s="265" customFormat="1" ht="15" x14ac:dyDescent="0.25">
      <c r="A54" s="2"/>
      <c r="B54" s="405" t="s">
        <v>388</v>
      </c>
      <c r="C54" s="83">
        <v>1</v>
      </c>
      <c r="D54" s="83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99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5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5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5"/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14"/>
      <c r="BL54" s="315"/>
      <c r="BM54" s="314"/>
      <c r="BN54" s="314"/>
      <c r="BO54" s="314"/>
      <c r="BP54" s="314"/>
      <c r="BQ54" s="314"/>
      <c r="BR54" s="314"/>
      <c r="BS54" s="314"/>
      <c r="BT54" s="314"/>
      <c r="BU54" s="314"/>
      <c r="BV54" s="314"/>
      <c r="BW54" s="314"/>
      <c r="BX54" s="315"/>
      <c r="BY54" s="314">
        <f>Q49*$C54</f>
        <v>0</v>
      </c>
      <c r="BZ54" s="314">
        <f t="shared" ref="BZ54:CP54" si="284">R49*$C54</f>
        <v>0</v>
      </c>
      <c r="CA54" s="314">
        <f t="shared" si="284"/>
        <v>0</v>
      </c>
      <c r="CB54" s="314">
        <f t="shared" si="284"/>
        <v>0</v>
      </c>
      <c r="CC54" s="314">
        <f t="shared" si="284"/>
        <v>0</v>
      </c>
      <c r="CD54" s="314">
        <f t="shared" si="284"/>
        <v>0</v>
      </c>
      <c r="CE54" s="314">
        <f t="shared" si="284"/>
        <v>0</v>
      </c>
      <c r="CF54" s="314">
        <f t="shared" si="284"/>
        <v>0</v>
      </c>
      <c r="CG54" s="314">
        <f t="shared" si="284"/>
        <v>0</v>
      </c>
      <c r="CH54" s="314">
        <f t="shared" si="284"/>
        <v>0</v>
      </c>
      <c r="CI54" s="314">
        <f t="shared" si="284"/>
        <v>0</v>
      </c>
      <c r="CJ54" s="315">
        <f t="shared" si="284"/>
        <v>0</v>
      </c>
      <c r="CK54" s="648"/>
      <c r="CL54" s="314">
        <f t="shared" si="284"/>
        <v>0</v>
      </c>
      <c r="CM54" s="314">
        <f t="shared" si="284"/>
        <v>0</v>
      </c>
      <c r="CN54" s="314">
        <f t="shared" si="284"/>
        <v>0</v>
      </c>
      <c r="CO54" s="314">
        <f t="shared" si="284"/>
        <v>0</v>
      </c>
      <c r="CP54" s="314">
        <f t="shared" si="284"/>
        <v>0</v>
      </c>
      <c r="CQ54" s="314">
        <f t="shared" ref="CQ54" si="285">AI49*$C54</f>
        <v>0</v>
      </c>
      <c r="CR54" s="314">
        <f t="shared" ref="CR54" si="286">AJ49*$C54</f>
        <v>0</v>
      </c>
      <c r="CS54" s="314">
        <f t="shared" ref="CS54" si="287">AK49*$C54</f>
        <v>0</v>
      </c>
      <c r="CT54" s="314">
        <f t="shared" ref="CT54" si="288">AL49*$C54</f>
        <v>40164.577489631527</v>
      </c>
      <c r="CU54" s="314">
        <f t="shared" ref="CU54" si="289">AM49*$C54</f>
        <v>44819.688006079276</v>
      </c>
      <c r="CV54" s="315">
        <f t="shared" ref="CV54" si="290">AN49*$C54</f>
        <v>39438.024282604434</v>
      </c>
      <c r="CW54" s="314">
        <f t="shared" ref="CW54" si="291">AO49*$C54</f>
        <v>41099.915462942678</v>
      </c>
      <c r="CX54" s="314">
        <f t="shared" ref="CX54" si="292">AP49*$C54</f>
        <v>45863.432488512</v>
      </c>
      <c r="CY54" s="314">
        <f t="shared" ref="CY54" si="293">AQ49*$C54</f>
        <v>40206.872983377849</v>
      </c>
      <c r="CZ54" s="314">
        <f t="shared" ref="CZ54" si="294">AR49*$C54</f>
        <v>41781.05342146675</v>
      </c>
      <c r="DA54" s="314">
        <f t="shared" ref="DA54" si="295">AS49*$C54</f>
        <v>46458.87630379208</v>
      </c>
      <c r="DB54" s="314">
        <f t="shared" ref="DB54" si="296">AT49*$C54</f>
        <v>40880.389251325098</v>
      </c>
      <c r="DC54" s="314">
        <f t="shared" ref="DC54" si="297">AU49*$C54</f>
        <v>40964.670363466583</v>
      </c>
      <c r="DD54" s="314">
        <f t="shared" ref="DD54" si="298">AV49*$C54</f>
        <v>45551.09068322528</v>
      </c>
      <c r="DE54" s="314">
        <f t="shared" ref="DE54" si="299">AW49*$C54</f>
        <v>40081.604767540732</v>
      </c>
      <c r="DF54" s="314">
        <f t="shared" ref="DF54" si="300">AX49*$C54</f>
        <v>0</v>
      </c>
      <c r="DG54" s="314">
        <f t="shared" ref="DG54" si="301">AY49*$C54</f>
        <v>0</v>
      </c>
      <c r="DH54" s="315">
        <f t="shared" ref="DH54" si="302">AZ49*$C54</f>
        <v>0</v>
      </c>
      <c r="DI54" s="314">
        <f t="shared" ref="DI54" si="303">BA49*$C54</f>
        <v>0</v>
      </c>
      <c r="DJ54" s="314">
        <f t="shared" ref="DJ54" si="304">BB49*$C54</f>
        <v>0</v>
      </c>
      <c r="DK54" s="314">
        <f t="shared" ref="DK54" si="305">BC49*$C54</f>
        <v>0</v>
      </c>
      <c r="DL54" s="314">
        <f t="shared" ref="DL54" si="306">BD49*$C54</f>
        <v>0</v>
      </c>
      <c r="DM54" s="314">
        <f t="shared" ref="DM54" si="307">BE49*$C54</f>
        <v>0</v>
      </c>
      <c r="DN54" s="314"/>
      <c r="DO54" s="314"/>
      <c r="DP54" s="314"/>
      <c r="DQ54" s="314"/>
      <c r="DR54" s="314"/>
      <c r="DS54" s="314"/>
      <c r="DT54" s="315"/>
    </row>
    <row r="55" spans="1:124" s="265" customFormat="1" ht="15" x14ac:dyDescent="0.25">
      <c r="A55" s="2"/>
      <c r="B55" s="405" t="s">
        <v>389</v>
      </c>
      <c r="C55" s="83">
        <v>1</v>
      </c>
      <c r="D55" s="83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99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5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5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5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5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5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5"/>
      <c r="CK55" s="314">
        <f>Q49*$C55</f>
        <v>0</v>
      </c>
      <c r="CL55" s="314">
        <f t="shared" ref="CL55:DH55" si="308">R49*$C55</f>
        <v>0</v>
      </c>
      <c r="CM55" s="314">
        <f t="shared" si="308"/>
        <v>0</v>
      </c>
      <c r="CN55" s="314">
        <f t="shared" si="308"/>
        <v>0</v>
      </c>
      <c r="CO55" s="314">
        <f t="shared" si="308"/>
        <v>0</v>
      </c>
      <c r="CP55" s="314">
        <f t="shared" si="308"/>
        <v>0</v>
      </c>
      <c r="CQ55" s="314">
        <f t="shared" si="308"/>
        <v>0</v>
      </c>
      <c r="CR55" s="314">
        <f t="shared" si="308"/>
        <v>0</v>
      </c>
      <c r="CS55" s="314">
        <f t="shared" si="308"/>
        <v>0</v>
      </c>
      <c r="CT55" s="314">
        <f t="shared" si="308"/>
        <v>0</v>
      </c>
      <c r="CU55" s="314">
        <f t="shared" si="308"/>
        <v>0</v>
      </c>
      <c r="CV55" s="315">
        <f t="shared" si="308"/>
        <v>0</v>
      </c>
      <c r="CW55" s="648"/>
      <c r="CX55" s="314">
        <f t="shared" si="308"/>
        <v>0</v>
      </c>
      <c r="CY55" s="314">
        <f t="shared" si="308"/>
        <v>0</v>
      </c>
      <c r="CZ55" s="314">
        <f t="shared" si="308"/>
        <v>0</v>
      </c>
      <c r="DA55" s="314">
        <f t="shared" si="308"/>
        <v>0</v>
      </c>
      <c r="DB55" s="314">
        <f t="shared" si="308"/>
        <v>0</v>
      </c>
      <c r="DC55" s="314">
        <f t="shared" si="308"/>
        <v>0</v>
      </c>
      <c r="DD55" s="314">
        <f t="shared" si="308"/>
        <v>0</v>
      </c>
      <c r="DE55" s="314">
        <f t="shared" si="308"/>
        <v>0</v>
      </c>
      <c r="DF55" s="314">
        <f t="shared" si="308"/>
        <v>40164.577489631527</v>
      </c>
      <c r="DG55" s="314">
        <f t="shared" si="308"/>
        <v>44819.688006079276</v>
      </c>
      <c r="DH55" s="315">
        <f t="shared" si="308"/>
        <v>39438.024282604434</v>
      </c>
      <c r="DI55" s="314">
        <f t="shared" ref="DI55" si="309">AO49*$C55</f>
        <v>41099.915462942678</v>
      </c>
      <c r="DJ55" s="314">
        <f t="shared" ref="DJ55" si="310">AP49*$C55</f>
        <v>45863.432488512</v>
      </c>
      <c r="DK55" s="314">
        <f t="shared" ref="DK55" si="311">AQ49*$C55</f>
        <v>40206.872983377849</v>
      </c>
      <c r="DL55" s="314">
        <f t="shared" ref="DL55" si="312">AR49*$C55</f>
        <v>41781.05342146675</v>
      </c>
      <c r="DM55" s="314">
        <f t="shared" ref="DM55" si="313">AS49*$C55</f>
        <v>46458.87630379208</v>
      </c>
      <c r="DN55" s="314">
        <f t="shared" ref="DN55" si="314">AT49*$C55</f>
        <v>40880.389251325098</v>
      </c>
      <c r="DO55" s="314">
        <f t="shared" ref="DO55" si="315">AU49*$C55</f>
        <v>40964.670363466583</v>
      </c>
      <c r="DP55" s="314">
        <f t="shared" ref="DP55" si="316">AV49*$C55</f>
        <v>45551.09068322528</v>
      </c>
      <c r="DQ55" s="314">
        <f t="shared" ref="DQ55" si="317">AW49*$C55</f>
        <v>40081.604767540732</v>
      </c>
      <c r="DR55" s="314">
        <f t="shared" ref="DR55" si="318">AX49*$C55</f>
        <v>0</v>
      </c>
      <c r="DS55" s="314">
        <f t="shared" ref="DS55" si="319">AY49*$C55</f>
        <v>0</v>
      </c>
      <c r="DT55" s="315">
        <f t="shared" ref="DT55" si="320">AZ49*$C55</f>
        <v>0</v>
      </c>
    </row>
    <row r="56" spans="1:124" s="265" customFormat="1" ht="15" x14ac:dyDescent="0.25">
      <c r="A56" s="2"/>
      <c r="B56" s="405" t="s">
        <v>390</v>
      </c>
      <c r="C56" s="83">
        <v>1</v>
      </c>
      <c r="D56" s="83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99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5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5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5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5"/>
      <c r="BM56" s="314"/>
      <c r="BN56" s="314"/>
      <c r="BO56" s="314"/>
      <c r="BP56" s="314"/>
      <c r="BQ56" s="314"/>
      <c r="BR56" s="314"/>
      <c r="BS56" s="314"/>
      <c r="BT56" s="314"/>
      <c r="BU56" s="314"/>
      <c r="BV56" s="314"/>
      <c r="BW56" s="314"/>
      <c r="BX56" s="315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5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14"/>
      <c r="CV56" s="315"/>
      <c r="CW56" s="390">
        <f>Q49*$C56</f>
        <v>0</v>
      </c>
      <c r="CX56" s="390">
        <f t="shared" ref="CX56:DN56" si="321">R49*$C56</f>
        <v>0</v>
      </c>
      <c r="CY56" s="390">
        <f t="shared" si="321"/>
        <v>0</v>
      </c>
      <c r="CZ56" s="390">
        <f t="shared" si="321"/>
        <v>0</v>
      </c>
      <c r="DA56" s="390">
        <f t="shared" si="321"/>
        <v>0</v>
      </c>
      <c r="DB56" s="390">
        <f t="shared" si="321"/>
        <v>0</v>
      </c>
      <c r="DC56" s="390">
        <f t="shared" si="321"/>
        <v>0</v>
      </c>
      <c r="DD56" s="390">
        <f t="shared" si="321"/>
        <v>0</v>
      </c>
      <c r="DE56" s="390">
        <f t="shared" si="321"/>
        <v>0</v>
      </c>
      <c r="DF56" s="390">
        <f t="shared" si="321"/>
        <v>0</v>
      </c>
      <c r="DG56" s="390">
        <f t="shared" si="321"/>
        <v>0</v>
      </c>
      <c r="DH56" s="731">
        <f t="shared" si="321"/>
        <v>0</v>
      </c>
      <c r="DI56" s="390"/>
      <c r="DJ56" s="390">
        <f t="shared" si="321"/>
        <v>0</v>
      </c>
      <c r="DK56" s="390">
        <f t="shared" si="321"/>
        <v>0</v>
      </c>
      <c r="DL56" s="390">
        <f t="shared" si="321"/>
        <v>0</v>
      </c>
      <c r="DM56" s="390">
        <f t="shared" si="321"/>
        <v>0</v>
      </c>
      <c r="DN56" s="390">
        <f t="shared" si="321"/>
        <v>0</v>
      </c>
      <c r="DO56" s="390">
        <f t="shared" ref="DO56" si="322">AI49*$C56</f>
        <v>0</v>
      </c>
      <c r="DP56" s="390">
        <f t="shared" ref="DP56" si="323">AJ49*$C56</f>
        <v>0</v>
      </c>
      <c r="DQ56" s="390">
        <f t="shared" ref="DQ56" si="324">AK49*$C56</f>
        <v>0</v>
      </c>
      <c r="DR56" s="390">
        <f t="shared" ref="DR56" si="325">AL49*$C56</f>
        <v>40164.577489631527</v>
      </c>
      <c r="DS56" s="390">
        <f t="shared" ref="DS56" si="326">AM49*$C56</f>
        <v>44819.688006079276</v>
      </c>
      <c r="DT56" s="731">
        <f t="shared" ref="DT56" si="327">AN49*$C56</f>
        <v>39438.024282604434</v>
      </c>
    </row>
    <row r="57" spans="1:124" s="265" customFormat="1" ht="15" x14ac:dyDescent="0.25">
      <c r="A57" s="2"/>
      <c r="B57" s="405" t="s">
        <v>391</v>
      </c>
      <c r="C57" s="83">
        <v>1</v>
      </c>
      <c r="D57" s="83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99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5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5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5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5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314"/>
      <c r="BX57" s="315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5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5"/>
      <c r="CW57" s="390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5"/>
      <c r="DI57" s="314">
        <f>Q49*$C57</f>
        <v>0</v>
      </c>
      <c r="DJ57" s="314">
        <f t="shared" ref="DJ57:DT57" si="328">R49*$C57</f>
        <v>0</v>
      </c>
      <c r="DK57" s="314">
        <f t="shared" si="328"/>
        <v>0</v>
      </c>
      <c r="DL57" s="314">
        <f t="shared" si="328"/>
        <v>0</v>
      </c>
      <c r="DM57" s="314">
        <f t="shared" si="328"/>
        <v>0</v>
      </c>
      <c r="DN57" s="314">
        <f t="shared" si="328"/>
        <v>0</v>
      </c>
      <c r="DO57" s="314">
        <f t="shared" si="328"/>
        <v>0</v>
      </c>
      <c r="DP57" s="314">
        <f t="shared" si="328"/>
        <v>0</v>
      </c>
      <c r="DQ57" s="314">
        <f t="shared" si="328"/>
        <v>0</v>
      </c>
      <c r="DR57" s="314">
        <f t="shared" si="328"/>
        <v>0</v>
      </c>
      <c r="DS57" s="314">
        <f t="shared" si="328"/>
        <v>0</v>
      </c>
      <c r="DT57" s="315">
        <f t="shared" si="328"/>
        <v>0</v>
      </c>
    </row>
    <row r="58" spans="1:124" s="265" customFormat="1" ht="15" x14ac:dyDescent="0.25">
      <c r="A58" s="2"/>
      <c r="B58" s="405" t="s">
        <v>392</v>
      </c>
      <c r="C58" s="83">
        <v>1</v>
      </c>
      <c r="D58" s="83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99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5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5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5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5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314"/>
      <c r="BX58" s="315"/>
      <c r="BY58" s="314"/>
      <c r="BZ58" s="314"/>
      <c r="CA58" s="314"/>
      <c r="CB58" s="314"/>
      <c r="CC58" s="314"/>
      <c r="CD58" s="314"/>
      <c r="CE58" s="314"/>
      <c r="CF58" s="314"/>
      <c r="CG58" s="314"/>
      <c r="CH58" s="314"/>
      <c r="CI58" s="314"/>
      <c r="CJ58" s="315"/>
      <c r="CK58" s="314"/>
      <c r="CL58" s="314"/>
      <c r="CM58" s="314"/>
      <c r="CN58" s="314"/>
      <c r="CO58" s="314"/>
      <c r="CP58" s="314"/>
      <c r="CQ58" s="314"/>
      <c r="CR58" s="314"/>
      <c r="CS58" s="314"/>
      <c r="CT58" s="314"/>
      <c r="CU58" s="314"/>
      <c r="CV58" s="315"/>
      <c r="CW58" s="390"/>
      <c r="CX58" s="314"/>
      <c r="CY58" s="314"/>
      <c r="CZ58" s="314"/>
      <c r="DA58" s="314"/>
      <c r="DB58" s="314"/>
      <c r="DC58" s="314"/>
      <c r="DD58" s="314"/>
      <c r="DE58" s="314"/>
      <c r="DF58" s="314"/>
      <c r="DG58" s="314"/>
      <c r="DH58" s="315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5"/>
    </row>
    <row r="59" spans="1:124" s="265" customFormat="1" ht="15" x14ac:dyDescent="0.25">
      <c r="A59" s="2"/>
      <c r="B59" s="405"/>
      <c r="C59" s="83"/>
      <c r="D59" s="83"/>
      <c r="E59" s="543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99"/>
      <c r="Q59" s="54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5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5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5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5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5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5"/>
      <c r="CK59" s="314"/>
      <c r="CL59" s="314"/>
      <c r="CM59" s="314"/>
      <c r="CN59" s="314"/>
      <c r="CO59" s="314"/>
      <c r="CP59" s="314"/>
      <c r="CQ59" s="314"/>
      <c r="CR59" s="314"/>
      <c r="CS59" s="314"/>
      <c r="CT59" s="314"/>
      <c r="CU59" s="314"/>
      <c r="CV59" s="315"/>
      <c r="CW59" s="390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5"/>
      <c r="DI59" s="314"/>
      <c r="DJ59" s="314"/>
      <c r="DK59" s="314"/>
      <c r="DL59" s="314"/>
      <c r="DM59" s="314"/>
      <c r="DN59" s="314"/>
      <c r="DO59" s="314"/>
      <c r="DP59" s="314"/>
      <c r="DQ59" s="314"/>
      <c r="DR59" s="314"/>
      <c r="DS59" s="314"/>
      <c r="DT59" s="315"/>
    </row>
    <row r="60" spans="1:124" ht="19.5" thickBot="1" x14ac:dyDescent="0.35">
      <c r="B60" s="159" t="s">
        <v>736</v>
      </c>
      <c r="C60" s="83"/>
      <c r="D60" s="83"/>
      <c r="E60" s="532"/>
      <c r="F60" s="532"/>
      <c r="G60" s="532"/>
      <c r="H60" s="532"/>
      <c r="I60" s="532"/>
      <c r="J60" s="532"/>
      <c r="K60" s="532">
        <f t="shared" ref="K60:P60" si="329">SUM(K45:K59)</f>
        <v>0</v>
      </c>
      <c r="L60" s="532">
        <f t="shared" si="329"/>
        <v>0</v>
      </c>
      <c r="M60" s="532">
        <f t="shared" si="329"/>
        <v>0</v>
      </c>
      <c r="N60" s="532">
        <f t="shared" si="329"/>
        <v>0</v>
      </c>
      <c r="O60" s="532">
        <f t="shared" si="329"/>
        <v>0</v>
      </c>
      <c r="P60" s="758">
        <f t="shared" si="329"/>
        <v>0</v>
      </c>
      <c r="Q60" s="391">
        <f>SUM(Q49:Q59)</f>
        <v>0</v>
      </c>
      <c r="R60" s="391">
        <f t="shared" ref="R60:CC60" si="330">SUM(R49:R59)</f>
        <v>0</v>
      </c>
      <c r="S60" s="391">
        <f t="shared" si="330"/>
        <v>0</v>
      </c>
      <c r="T60" s="391">
        <f t="shared" si="330"/>
        <v>0</v>
      </c>
      <c r="U60" s="391">
        <f t="shared" si="330"/>
        <v>0</v>
      </c>
      <c r="V60" s="391">
        <f t="shared" si="330"/>
        <v>0</v>
      </c>
      <c r="W60" s="391">
        <f t="shared" si="330"/>
        <v>0</v>
      </c>
      <c r="X60" s="391">
        <f t="shared" si="330"/>
        <v>0</v>
      </c>
      <c r="Y60" s="391">
        <f t="shared" si="330"/>
        <v>0</v>
      </c>
      <c r="Z60" s="391">
        <f t="shared" si="330"/>
        <v>0</v>
      </c>
      <c r="AA60" s="391">
        <f t="shared" si="330"/>
        <v>0</v>
      </c>
      <c r="AB60" s="762">
        <f t="shared" si="330"/>
        <v>0</v>
      </c>
      <c r="AC60" s="391">
        <f t="shared" si="330"/>
        <v>0</v>
      </c>
      <c r="AD60" s="391">
        <f t="shared" si="330"/>
        <v>0</v>
      </c>
      <c r="AE60" s="391">
        <f t="shared" si="330"/>
        <v>0</v>
      </c>
      <c r="AF60" s="391">
        <f t="shared" si="330"/>
        <v>0</v>
      </c>
      <c r="AG60" s="391">
        <f t="shared" si="330"/>
        <v>0</v>
      </c>
      <c r="AH60" s="391">
        <f t="shared" si="330"/>
        <v>0</v>
      </c>
      <c r="AI60" s="391">
        <f t="shared" si="330"/>
        <v>0</v>
      </c>
      <c r="AJ60" s="391">
        <f t="shared" si="330"/>
        <v>0</v>
      </c>
      <c r="AK60" s="391">
        <f t="shared" si="330"/>
        <v>0</v>
      </c>
      <c r="AL60" s="391">
        <f t="shared" si="330"/>
        <v>40164.577489631527</v>
      </c>
      <c r="AM60" s="391">
        <f t="shared" si="330"/>
        <v>44819.688006079276</v>
      </c>
      <c r="AN60" s="762">
        <f t="shared" si="330"/>
        <v>39438.024282604434</v>
      </c>
      <c r="AO60" s="391">
        <f t="shared" si="330"/>
        <v>41099.915462942678</v>
      </c>
      <c r="AP60" s="391">
        <f t="shared" si="330"/>
        <v>45863.432488512</v>
      </c>
      <c r="AQ60" s="391">
        <f t="shared" si="330"/>
        <v>40206.872983377849</v>
      </c>
      <c r="AR60" s="391">
        <f t="shared" si="330"/>
        <v>41781.05342146675</v>
      </c>
      <c r="AS60" s="391">
        <f t="shared" si="330"/>
        <v>46458.87630379208</v>
      </c>
      <c r="AT60" s="391">
        <f t="shared" si="330"/>
        <v>40880.389251325098</v>
      </c>
      <c r="AU60" s="391">
        <f t="shared" si="330"/>
        <v>40964.670363466583</v>
      </c>
      <c r="AV60" s="391">
        <f t="shared" si="330"/>
        <v>45551.09068322528</v>
      </c>
      <c r="AW60" s="391">
        <f t="shared" si="330"/>
        <v>40081.604767540732</v>
      </c>
      <c r="AX60" s="391">
        <f t="shared" si="330"/>
        <v>40164.577489631527</v>
      </c>
      <c r="AY60" s="391">
        <f t="shared" si="330"/>
        <v>44819.688006079276</v>
      </c>
      <c r="AZ60" s="762">
        <f t="shared" si="330"/>
        <v>39438.024282604434</v>
      </c>
      <c r="BA60" s="391">
        <f t="shared" si="330"/>
        <v>41099.915462942678</v>
      </c>
      <c r="BB60" s="391">
        <f t="shared" si="330"/>
        <v>45863.432488512</v>
      </c>
      <c r="BC60" s="391">
        <f t="shared" si="330"/>
        <v>40206.872983377849</v>
      </c>
      <c r="BD60" s="391">
        <f t="shared" si="330"/>
        <v>41781.05342146675</v>
      </c>
      <c r="BE60" s="391">
        <f t="shared" si="330"/>
        <v>46458.87630379208</v>
      </c>
      <c r="BF60" s="391">
        <f t="shared" si="330"/>
        <v>40880.389251325098</v>
      </c>
      <c r="BG60" s="391">
        <f t="shared" si="330"/>
        <v>40964.670363466583</v>
      </c>
      <c r="BH60" s="391">
        <f t="shared" si="330"/>
        <v>45551.09068322528</v>
      </c>
      <c r="BI60" s="391">
        <f t="shared" si="330"/>
        <v>40081.604767540732</v>
      </c>
      <c r="BJ60" s="391">
        <f t="shared" si="330"/>
        <v>40164.577489631527</v>
      </c>
      <c r="BK60" s="391">
        <f t="shared" si="330"/>
        <v>44819.688006079276</v>
      </c>
      <c r="BL60" s="762">
        <f t="shared" si="330"/>
        <v>39438.024282604434</v>
      </c>
      <c r="BM60" s="391">
        <f t="shared" si="330"/>
        <v>41099.915462942678</v>
      </c>
      <c r="BN60" s="391">
        <f t="shared" si="330"/>
        <v>45863.432488512</v>
      </c>
      <c r="BO60" s="391">
        <f t="shared" si="330"/>
        <v>40206.872983377849</v>
      </c>
      <c r="BP60" s="391">
        <f t="shared" si="330"/>
        <v>41781.05342146675</v>
      </c>
      <c r="BQ60" s="391">
        <f t="shared" si="330"/>
        <v>46458.87630379208</v>
      </c>
      <c r="BR60" s="391">
        <f t="shared" si="330"/>
        <v>40880.389251325098</v>
      </c>
      <c r="BS60" s="391">
        <f t="shared" si="330"/>
        <v>40964.670363466583</v>
      </c>
      <c r="BT60" s="391">
        <f t="shared" si="330"/>
        <v>45551.09068322528</v>
      </c>
      <c r="BU60" s="391">
        <f t="shared" si="330"/>
        <v>40081.604767540732</v>
      </c>
      <c r="BV60" s="391">
        <f t="shared" si="330"/>
        <v>40164.577489631527</v>
      </c>
      <c r="BW60" s="391">
        <f t="shared" si="330"/>
        <v>44819.688006079276</v>
      </c>
      <c r="BX60" s="762">
        <f t="shared" si="330"/>
        <v>39438.024282604434</v>
      </c>
      <c r="BY60" s="391">
        <f t="shared" si="330"/>
        <v>41099.915462942678</v>
      </c>
      <c r="BZ60" s="391">
        <f t="shared" si="330"/>
        <v>45863.432488512</v>
      </c>
      <c r="CA60" s="391">
        <f t="shared" si="330"/>
        <v>40206.872983377849</v>
      </c>
      <c r="CB60" s="391">
        <f t="shared" si="330"/>
        <v>41781.05342146675</v>
      </c>
      <c r="CC60" s="391">
        <f t="shared" si="330"/>
        <v>46458.87630379208</v>
      </c>
      <c r="CD60" s="391">
        <f t="shared" ref="CD60:DT60" si="331">SUM(CD49:CD59)</f>
        <v>40880.389251325098</v>
      </c>
      <c r="CE60" s="391">
        <f t="shared" si="331"/>
        <v>40964.670363466583</v>
      </c>
      <c r="CF60" s="391">
        <f t="shared" si="331"/>
        <v>45551.09068322528</v>
      </c>
      <c r="CG60" s="391">
        <f t="shared" si="331"/>
        <v>40081.604767540732</v>
      </c>
      <c r="CH60" s="391">
        <f t="shared" si="331"/>
        <v>40164.577489631527</v>
      </c>
      <c r="CI60" s="391">
        <f t="shared" si="331"/>
        <v>44819.688006079276</v>
      </c>
      <c r="CJ60" s="762">
        <f t="shared" si="331"/>
        <v>39438.024282604434</v>
      </c>
      <c r="CK60" s="391">
        <f t="shared" si="331"/>
        <v>41099.915462942678</v>
      </c>
      <c r="CL60" s="391">
        <f t="shared" si="331"/>
        <v>45863.432488512</v>
      </c>
      <c r="CM60" s="391">
        <f t="shared" si="331"/>
        <v>40206.872983377849</v>
      </c>
      <c r="CN60" s="391">
        <f t="shared" si="331"/>
        <v>41781.05342146675</v>
      </c>
      <c r="CO60" s="391">
        <f t="shared" si="331"/>
        <v>46458.87630379208</v>
      </c>
      <c r="CP60" s="391">
        <f t="shared" si="331"/>
        <v>40880.389251325098</v>
      </c>
      <c r="CQ60" s="391">
        <f t="shared" si="331"/>
        <v>40964.670363466583</v>
      </c>
      <c r="CR60" s="391">
        <f t="shared" si="331"/>
        <v>45551.09068322528</v>
      </c>
      <c r="CS60" s="391">
        <f t="shared" si="331"/>
        <v>40081.604767540732</v>
      </c>
      <c r="CT60" s="391">
        <f t="shared" si="331"/>
        <v>40164.577489631527</v>
      </c>
      <c r="CU60" s="391">
        <f t="shared" si="331"/>
        <v>44819.688006079276</v>
      </c>
      <c r="CV60" s="762">
        <f t="shared" si="331"/>
        <v>39438.024282604434</v>
      </c>
      <c r="CW60" s="391">
        <f t="shared" si="331"/>
        <v>41099.915462942678</v>
      </c>
      <c r="CX60" s="391">
        <f t="shared" si="331"/>
        <v>45863.432488512</v>
      </c>
      <c r="CY60" s="391">
        <f t="shared" si="331"/>
        <v>40206.872983377849</v>
      </c>
      <c r="CZ60" s="391">
        <f t="shared" si="331"/>
        <v>41781.05342146675</v>
      </c>
      <c r="DA60" s="391">
        <f t="shared" si="331"/>
        <v>46458.87630379208</v>
      </c>
      <c r="DB60" s="391">
        <f t="shared" si="331"/>
        <v>40880.389251325098</v>
      </c>
      <c r="DC60" s="391">
        <f t="shared" si="331"/>
        <v>40964.670363466583</v>
      </c>
      <c r="DD60" s="391">
        <f t="shared" si="331"/>
        <v>45551.09068322528</v>
      </c>
      <c r="DE60" s="391">
        <f t="shared" si="331"/>
        <v>40081.604767540732</v>
      </c>
      <c r="DF60" s="391">
        <f t="shared" si="331"/>
        <v>40164.577489631527</v>
      </c>
      <c r="DG60" s="391">
        <f t="shared" si="331"/>
        <v>44819.688006079276</v>
      </c>
      <c r="DH60" s="762">
        <f t="shared" si="331"/>
        <v>39438.024282604434</v>
      </c>
      <c r="DI60" s="391">
        <f t="shared" si="331"/>
        <v>41099.915462942678</v>
      </c>
      <c r="DJ60" s="391">
        <f t="shared" si="331"/>
        <v>45863.432488512</v>
      </c>
      <c r="DK60" s="391">
        <f t="shared" si="331"/>
        <v>40206.872983377849</v>
      </c>
      <c r="DL60" s="391">
        <f t="shared" si="331"/>
        <v>41781.05342146675</v>
      </c>
      <c r="DM60" s="391">
        <f t="shared" si="331"/>
        <v>46458.87630379208</v>
      </c>
      <c r="DN60" s="391">
        <f t="shared" si="331"/>
        <v>40880.389251325098</v>
      </c>
      <c r="DO60" s="391">
        <f t="shared" si="331"/>
        <v>40964.670363466583</v>
      </c>
      <c r="DP60" s="391">
        <f t="shared" si="331"/>
        <v>45551.09068322528</v>
      </c>
      <c r="DQ60" s="391">
        <f t="shared" si="331"/>
        <v>40081.604767540732</v>
      </c>
      <c r="DR60" s="391">
        <f t="shared" si="331"/>
        <v>40164.577489631527</v>
      </c>
      <c r="DS60" s="391">
        <f t="shared" si="331"/>
        <v>44819.688006079276</v>
      </c>
      <c r="DT60" s="762">
        <f t="shared" si="331"/>
        <v>39438.024282604434</v>
      </c>
    </row>
    <row r="61" spans="1:124" ht="15" x14ac:dyDescent="0.25">
      <c r="B61" s="161"/>
      <c r="C61" s="83"/>
      <c r="D61" s="83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521"/>
      <c r="Q61" s="889"/>
      <c r="R61" s="889"/>
      <c r="S61" s="889"/>
      <c r="T61" s="889"/>
      <c r="U61" s="889"/>
      <c r="V61" s="889"/>
      <c r="W61" s="889"/>
      <c r="X61" s="889"/>
      <c r="Y61" s="889"/>
      <c r="Z61" s="889"/>
      <c r="AA61" s="889"/>
      <c r="AB61" s="726"/>
      <c r="AC61" s="889"/>
      <c r="AD61" s="889"/>
      <c r="AE61" s="889"/>
      <c r="AF61" s="889"/>
      <c r="AG61" s="889"/>
      <c r="AH61" s="889"/>
      <c r="AI61" s="889"/>
      <c r="AJ61" s="889"/>
      <c r="AK61" s="889"/>
      <c r="AL61" s="889"/>
      <c r="AM61" s="889"/>
      <c r="AN61" s="726"/>
      <c r="AO61" s="877"/>
      <c r="AP61" s="889"/>
      <c r="AQ61" s="889"/>
      <c r="AR61" s="889"/>
      <c r="AS61" s="889"/>
      <c r="AT61" s="889"/>
      <c r="AU61" s="889"/>
      <c r="AV61" s="889"/>
      <c r="AW61" s="889"/>
      <c r="AX61" s="889"/>
      <c r="AY61" s="889"/>
      <c r="AZ61" s="726"/>
      <c r="BA61" s="889"/>
      <c r="BB61" s="889"/>
      <c r="BC61" s="889"/>
      <c r="BD61" s="889"/>
      <c r="BE61" s="889"/>
      <c r="BF61" s="889"/>
      <c r="BG61" s="889"/>
      <c r="BH61" s="889"/>
      <c r="BI61" s="889"/>
      <c r="BJ61" s="889"/>
      <c r="BK61" s="889"/>
      <c r="BL61" s="726"/>
      <c r="BM61" s="889"/>
      <c r="BN61" s="889"/>
      <c r="BO61" s="889"/>
      <c r="BP61" s="889"/>
      <c r="BQ61" s="889"/>
      <c r="BR61" s="889"/>
      <c r="BS61" s="889"/>
      <c r="BT61" s="889"/>
      <c r="BU61" s="889"/>
      <c r="BV61" s="889"/>
      <c r="BW61" s="889"/>
      <c r="BX61" s="726"/>
      <c r="BY61" s="889"/>
      <c r="BZ61" s="889"/>
      <c r="CA61" s="889"/>
      <c r="CB61" s="889"/>
      <c r="CC61" s="889"/>
      <c r="CD61" s="889"/>
      <c r="CE61" s="889"/>
      <c r="CF61" s="889"/>
      <c r="CG61" s="889"/>
      <c r="CH61" s="889"/>
      <c r="CI61" s="889"/>
      <c r="CJ61" s="726"/>
      <c r="CK61" s="889"/>
      <c r="CL61" s="889"/>
      <c r="CM61" s="889"/>
      <c r="CN61" s="889"/>
      <c r="CO61" s="889"/>
      <c r="CP61" s="889"/>
      <c r="CQ61" s="889"/>
      <c r="CR61" s="889"/>
      <c r="CS61" s="889"/>
      <c r="CT61" s="889"/>
      <c r="CU61" s="889"/>
      <c r="CV61" s="726"/>
      <c r="CW61" s="889"/>
      <c r="CX61" s="889"/>
      <c r="CY61" s="889"/>
      <c r="CZ61" s="889"/>
      <c r="DA61" s="889"/>
      <c r="DB61" s="889"/>
      <c r="DC61" s="889"/>
      <c r="DD61" s="889"/>
      <c r="DE61" s="889"/>
      <c r="DF61" s="889"/>
      <c r="DG61" s="889"/>
      <c r="DH61" s="726"/>
      <c r="DI61" s="889"/>
      <c r="DJ61" s="889"/>
      <c r="DK61" s="889"/>
      <c r="DL61" s="889"/>
      <c r="DM61" s="889"/>
      <c r="DN61" s="889"/>
      <c r="DO61" s="889"/>
      <c r="DP61" s="889"/>
      <c r="DQ61" s="889"/>
      <c r="DR61" s="889"/>
      <c r="DS61" s="889"/>
      <c r="DT61" s="726"/>
    </row>
    <row r="62" spans="1:124" ht="15.75" thickBot="1" x14ac:dyDescent="0.3">
      <c r="B62" s="161"/>
      <c r="C62" s="83"/>
      <c r="D62" s="83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759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765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765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765"/>
      <c r="BA62" s="392"/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765"/>
      <c r="BM62" s="392"/>
      <c r="BN62" s="392"/>
      <c r="BO62" s="392"/>
      <c r="BP62" s="392"/>
      <c r="BQ62" s="392"/>
      <c r="BR62" s="392"/>
      <c r="BS62" s="392"/>
      <c r="BT62" s="392"/>
      <c r="BU62" s="392"/>
      <c r="BV62" s="392"/>
      <c r="BW62" s="392"/>
      <c r="BX62" s="765"/>
      <c r="BY62" s="392"/>
      <c r="BZ62" s="392"/>
      <c r="CA62" s="392"/>
      <c r="CB62" s="392"/>
      <c r="CC62" s="392"/>
      <c r="CD62" s="392"/>
      <c r="CE62" s="392"/>
      <c r="CF62" s="392"/>
      <c r="CG62" s="392"/>
      <c r="CH62" s="392"/>
      <c r="CI62" s="392"/>
      <c r="CJ62" s="765"/>
      <c r="CK62" s="392"/>
      <c r="CL62" s="392"/>
      <c r="CM62" s="392"/>
      <c r="CN62" s="392"/>
      <c r="CO62" s="392"/>
      <c r="CP62" s="392"/>
      <c r="CQ62" s="392"/>
      <c r="CR62" s="392"/>
      <c r="CS62" s="392"/>
      <c r="CT62" s="392"/>
      <c r="CU62" s="392"/>
      <c r="CV62" s="765"/>
      <c r="CW62" s="393"/>
      <c r="CX62" s="392"/>
      <c r="CY62" s="392"/>
      <c r="CZ62" s="392"/>
      <c r="DA62" s="392"/>
      <c r="DB62" s="392"/>
      <c r="DC62" s="392"/>
      <c r="DD62" s="392"/>
      <c r="DE62" s="392"/>
      <c r="DF62" s="392"/>
      <c r="DG62" s="392"/>
      <c r="DH62" s="765"/>
      <c r="DI62" s="392"/>
      <c r="DJ62" s="392"/>
      <c r="DK62" s="392"/>
      <c r="DL62" s="392"/>
      <c r="DM62" s="392"/>
      <c r="DN62" s="392"/>
      <c r="DO62" s="392"/>
      <c r="DP62" s="392"/>
      <c r="DQ62" s="392"/>
      <c r="DR62" s="392"/>
      <c r="DS62" s="392"/>
      <c r="DT62" s="765"/>
    </row>
    <row r="63" spans="1:124" s="756" customFormat="1" ht="18.75" x14ac:dyDescent="0.3">
      <c r="A63" s="2"/>
      <c r="B63" s="159" t="s">
        <v>1382</v>
      </c>
      <c r="C63" s="83"/>
      <c r="D63" s="83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521"/>
      <c r="Q63" s="388"/>
      <c r="R63" s="1258"/>
      <c r="S63" s="1258"/>
      <c r="T63" s="1258"/>
      <c r="U63" s="1258"/>
      <c r="V63" s="1258"/>
      <c r="W63" s="1258"/>
      <c r="X63" s="1258"/>
      <c r="Y63" s="1258"/>
      <c r="Z63" s="1258"/>
      <c r="AA63" s="1258"/>
      <c r="AB63" s="1259"/>
      <c r="AC63" s="388"/>
      <c r="AD63" s="1258"/>
      <c r="AE63" s="1258"/>
      <c r="AF63" s="1258"/>
      <c r="AG63" s="1258"/>
      <c r="AH63" s="1258"/>
      <c r="AI63" s="1258"/>
      <c r="AJ63" s="1258"/>
      <c r="AK63" s="1258"/>
      <c r="AL63" s="1258"/>
      <c r="AM63" s="1258"/>
      <c r="AN63" s="1259"/>
      <c r="AO63" s="388"/>
      <c r="AP63" s="1258"/>
      <c r="AQ63" s="1258"/>
      <c r="AR63" s="1258"/>
      <c r="AS63" s="1258"/>
      <c r="AT63" s="1258"/>
      <c r="AU63" s="1258"/>
      <c r="AV63" s="1258"/>
      <c r="AW63" s="1258"/>
      <c r="AX63" s="1258"/>
      <c r="AY63" s="1258"/>
      <c r="AZ63" s="1259"/>
      <c r="BA63" s="388"/>
      <c r="BB63" s="1258"/>
      <c r="BC63" s="1258"/>
      <c r="BD63" s="1258"/>
      <c r="BE63" s="1258"/>
      <c r="BF63" s="1258"/>
      <c r="BG63" s="1258"/>
      <c r="BH63" s="1258"/>
      <c r="BI63" s="1258"/>
      <c r="BJ63" s="1258"/>
      <c r="BK63" s="1258"/>
      <c r="BL63" s="1259"/>
      <c r="BM63" s="388"/>
      <c r="BN63" s="1258"/>
      <c r="BO63" s="1258"/>
      <c r="BP63" s="1258"/>
      <c r="BQ63" s="1258"/>
      <c r="BR63" s="1258"/>
      <c r="BS63" s="1258"/>
      <c r="BT63" s="1258"/>
      <c r="BU63" s="1258"/>
      <c r="BV63" s="1258"/>
      <c r="BW63" s="1258"/>
      <c r="BX63" s="1259"/>
      <c r="BY63" s="388"/>
      <c r="BZ63" s="1258"/>
      <c r="CA63" s="1258"/>
      <c r="CB63" s="1258"/>
      <c r="CC63" s="1258"/>
      <c r="CD63" s="1258"/>
      <c r="CE63" s="1258"/>
      <c r="CF63" s="1258"/>
      <c r="CG63" s="1258"/>
      <c r="CH63" s="1258"/>
      <c r="CI63" s="1258"/>
      <c r="CJ63" s="1259"/>
      <c r="CK63" s="388"/>
      <c r="CL63" s="1258"/>
      <c r="CM63" s="1258"/>
      <c r="CN63" s="1258"/>
      <c r="CO63" s="1258"/>
      <c r="CP63" s="1258"/>
      <c r="CQ63" s="1258"/>
      <c r="CR63" s="1258"/>
      <c r="CS63" s="1258"/>
      <c r="CT63" s="1258"/>
      <c r="CU63" s="1258"/>
      <c r="CV63" s="1259"/>
      <c r="CW63" s="388"/>
      <c r="CX63" s="1258"/>
      <c r="CY63" s="1258"/>
      <c r="CZ63" s="1258"/>
      <c r="DA63" s="1258"/>
      <c r="DB63" s="1258"/>
      <c r="DC63" s="1258"/>
      <c r="DD63" s="1258"/>
      <c r="DE63" s="1258"/>
      <c r="DF63" s="1258"/>
      <c r="DG63" s="1258"/>
      <c r="DH63" s="1259"/>
      <c r="DI63" s="388"/>
      <c r="DJ63" s="1258"/>
      <c r="DK63" s="1258"/>
      <c r="DL63" s="1258"/>
      <c r="DM63" s="1258"/>
      <c r="DN63" s="1258"/>
      <c r="DO63" s="1258"/>
      <c r="DP63" s="1258"/>
      <c r="DQ63" s="1258"/>
      <c r="DR63" s="1258"/>
      <c r="DS63" s="1258"/>
      <c r="DT63" s="1259"/>
    </row>
    <row r="64" spans="1:124" ht="18.75" x14ac:dyDescent="0.3">
      <c r="A64" s="159"/>
      <c r="B64" s="754" t="s">
        <v>381</v>
      </c>
      <c r="C64" s="127"/>
      <c r="D64" s="127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>
        <f>'Batch 1'!D63</f>
        <v>14.76</v>
      </c>
      <c r="P64" s="497">
        <f>'Batch 1'!E63</f>
        <v>41.160719999999998</v>
      </c>
      <c r="Q64" s="107">
        <f>'Batch 1'!F63</f>
        <v>54.7715064</v>
      </c>
      <c r="R64" s="107">
        <f>'Batch 1'!G63</f>
        <v>76.567757151999999</v>
      </c>
      <c r="S64" s="107">
        <f>'Batch 1'!H63</f>
        <v>126.73283942400001</v>
      </c>
      <c r="T64" s="107">
        <f>'Batch 1'!I63</f>
        <v>113.69456490405889</v>
      </c>
      <c r="U64" s="107">
        <f>'Batch 1'!J63</f>
        <v>176.34027016619532</v>
      </c>
      <c r="V64" s="107">
        <f>'Batch 1'!K63</f>
        <v>144.82628072944269</v>
      </c>
      <c r="W64" s="107">
        <f>'Batch 1'!L63</f>
        <v>32.603870690076562</v>
      </c>
      <c r="X64" s="107">
        <f>'Batch 1'!M63</f>
        <v>40.242162657398381</v>
      </c>
      <c r="Y64" s="107">
        <f>'Batch 1'!N63</f>
        <v>47.964518693745539</v>
      </c>
      <c r="Z64" s="107">
        <f>'Batch 1'!O63</f>
        <v>56.686487750950327</v>
      </c>
      <c r="AA64" s="107">
        <f>'Batch 1'!P63</f>
        <v>66.287690039919369</v>
      </c>
      <c r="AB64" s="739">
        <f>'Batch 1'!Q63</f>
        <v>75.736200231264547</v>
      </c>
      <c r="AC64" s="107">
        <f>'Batch 1'!R63</f>
        <v>84.918986388220347</v>
      </c>
      <c r="AD64" s="107">
        <f>'Batch 1'!S63</f>
        <v>96.564043100706868</v>
      </c>
      <c r="AE64" s="107">
        <f>'Batch 1'!T63</f>
        <v>109.29595538115677</v>
      </c>
      <c r="AF64" s="107">
        <f>'Batch 1'!U63</f>
        <v>124.01326801198373</v>
      </c>
      <c r="AG64" s="107">
        <f>'Batch 1'!V63</f>
        <v>140.02636809323914</v>
      </c>
      <c r="AH64" s="107">
        <f>'Batch 1'!W63</f>
        <v>158.56698847368799</v>
      </c>
      <c r="AI64" s="107">
        <f>'Batch 1'!X63</f>
        <v>178.27009195261823</v>
      </c>
      <c r="AJ64" s="107">
        <f>'Batch 1'!Y63</f>
        <v>199.57747321436699</v>
      </c>
      <c r="AK64" s="107">
        <f>'Batch 1'!Z63</f>
        <v>222.5912926875103</v>
      </c>
      <c r="AL64" s="107">
        <f>'Batch 1'!AA63</f>
        <v>247.07745512114693</v>
      </c>
      <c r="AM64" s="107">
        <f>'Batch 1'!AB63</f>
        <v>176.50679561995062</v>
      </c>
      <c r="AN64" s="739">
        <f>'Batch 1'!AC63</f>
        <v>86.943682518821532</v>
      </c>
      <c r="AO64" s="107">
        <f>'Batch 1'!AD63</f>
        <v>0</v>
      </c>
      <c r="AP64" s="107">
        <f>'Batch 1'!AE63</f>
        <v>0</v>
      </c>
      <c r="AQ64" s="107">
        <f>'Batch 1'!AF63</f>
        <v>0</v>
      </c>
      <c r="AR64" s="107">
        <f>'Batch 1'!AG63</f>
        <v>0</v>
      </c>
      <c r="AS64" s="107">
        <f>'Batch 1'!AH63</f>
        <v>0</v>
      </c>
      <c r="AT64" s="107">
        <f>'Batch 1'!AI63</f>
        <v>0</v>
      </c>
      <c r="AU64" s="107">
        <f>'Batch 1'!AJ63</f>
        <v>0</v>
      </c>
      <c r="AV64" s="107">
        <f>'Batch 1'!AK63</f>
        <v>0</v>
      </c>
      <c r="AW64" s="107">
        <f>'Batch 1'!AL63</f>
        <v>0</v>
      </c>
      <c r="AX64" s="107">
        <f>'Batch 1'!AM63</f>
        <v>0</v>
      </c>
      <c r="AY64" s="107">
        <f>'Batch 1'!AN63</f>
        <v>0</v>
      </c>
      <c r="AZ64" s="739">
        <f>'Batch 1'!AO63</f>
        <v>0</v>
      </c>
      <c r="BA64" s="107">
        <f>'Batch 1'!AP63</f>
        <v>0</v>
      </c>
      <c r="BB64" s="107">
        <f>'Batch 1'!AQ63</f>
        <v>0</v>
      </c>
      <c r="BC64" s="107">
        <f>'Batch 1'!AR63</f>
        <v>0</v>
      </c>
      <c r="BD64" s="107">
        <f>'Batch 1'!AS63</f>
        <v>0</v>
      </c>
      <c r="BE64" s="107">
        <f>'Batch 1'!AT63</f>
        <v>0</v>
      </c>
      <c r="BF64" s="107">
        <f>'Batch 1'!AU63</f>
        <v>0</v>
      </c>
      <c r="BG64" s="107">
        <f>'Batch 1'!AV63</f>
        <v>0</v>
      </c>
      <c r="BH64" s="107">
        <f>'Batch 1'!AW63</f>
        <v>0</v>
      </c>
      <c r="BI64" s="107">
        <f>'Batch 1'!AX63</f>
        <v>0</v>
      </c>
      <c r="BJ64" s="107">
        <f>'Batch 1'!AY63</f>
        <v>0</v>
      </c>
      <c r="BK64" s="107"/>
      <c r="BL64" s="739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739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739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739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739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739"/>
    </row>
    <row r="65" spans="1:1103" s="15" customFormat="1" ht="15" x14ac:dyDescent="0.25">
      <c r="A65" s="2"/>
      <c r="B65" s="754" t="s">
        <v>382</v>
      </c>
      <c r="C65" s="127"/>
      <c r="D65" s="127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9"/>
      <c r="Q65" s="107"/>
      <c r="R65" s="106">
        <f>Batch2!D63</f>
        <v>14.76</v>
      </c>
      <c r="S65" s="106">
        <f>Batch2!E63</f>
        <v>41.160719999999998</v>
      </c>
      <c r="T65" s="106">
        <f>Batch2!F63</f>
        <v>54.7715064</v>
      </c>
      <c r="U65" s="106">
        <f>Batch2!G63</f>
        <v>79.208024640000005</v>
      </c>
      <c r="V65" s="106">
        <f>Batch2!H63</f>
        <v>134.33680978944003</v>
      </c>
      <c r="W65" s="106">
        <f>Batch2!I63</f>
        <v>118.80443298963456</v>
      </c>
      <c r="X65" s="106">
        <f>Batch2!J63</f>
        <v>183.84411144986322</v>
      </c>
      <c r="Y65" s="106">
        <f>Batch2!K63</f>
        <v>151.82271941202444</v>
      </c>
      <c r="Z65" s="106">
        <f>Batch2!L63</f>
        <v>33.755950926475023</v>
      </c>
      <c r="AA65" s="106">
        <f>Batch2!M63</f>
        <v>42.081804378879454</v>
      </c>
      <c r="AB65" s="108">
        <f>Batch2!N63</f>
        <v>50.029976436538412</v>
      </c>
      <c r="AC65" s="107">
        <f>Batch2!O63</f>
        <v>58.518778264112356</v>
      </c>
      <c r="AD65" s="106">
        <f>Batch2!P63</f>
        <v>68.459183334330518</v>
      </c>
      <c r="AE65" s="106">
        <f>Batch2!Q63</f>
        <v>77.78928999656992</v>
      </c>
      <c r="AF65" s="106">
        <f>Batch2!R63</f>
        <v>88.333959031178281</v>
      </c>
      <c r="AG65" s="106">
        <f>Batch2!S63</f>
        <v>99.972185798378874</v>
      </c>
      <c r="AH65" s="106">
        <f>Batch2!T63</f>
        <v>113.71767971711644</v>
      </c>
      <c r="AI65" s="106">
        <f>Batch2!U63</f>
        <v>128.99190285918016</v>
      </c>
      <c r="AJ65" s="106">
        <f>Batch2!V63</f>
        <v>145.44674363233227</v>
      </c>
      <c r="AK65" s="106">
        <f>Batch2!W63</f>
        <v>164.65271511020478</v>
      </c>
      <c r="AL65" s="106">
        <f>Batch2!X63</f>
        <v>184.343647135862</v>
      </c>
      <c r="AM65" s="106">
        <f>Batch2!Y63</f>
        <v>205.63888128724429</v>
      </c>
      <c r="AN65" s="108">
        <f>Batch2!Z63</f>
        <v>229.42474455159595</v>
      </c>
      <c r="AO65" s="107">
        <f>Batch2!AA63</f>
        <v>252.77924254701955</v>
      </c>
      <c r="AP65" s="107">
        <f>Batch2!AB63</f>
        <v>180.58663639462102</v>
      </c>
      <c r="AQ65" s="107">
        <f>Batch2!AC63</f>
        <v>88.641064607041471</v>
      </c>
      <c r="AR65" s="107">
        <f>Batch2!AD63</f>
        <v>0</v>
      </c>
      <c r="AS65" s="107">
        <f>Batch2!AE63</f>
        <v>0</v>
      </c>
      <c r="AT65" s="107">
        <f>Batch2!AF63</f>
        <v>0</v>
      </c>
      <c r="AU65" s="106">
        <f>Batch2!AE63</f>
        <v>0</v>
      </c>
      <c r="AV65" s="106">
        <f>Batch2!AF63</f>
        <v>0</v>
      </c>
      <c r="AW65" s="106"/>
      <c r="AX65" s="106">
        <f>Batch2!AF63</f>
        <v>0</v>
      </c>
      <c r="AY65" s="106">
        <f>Batch2!AG63</f>
        <v>0</v>
      </c>
      <c r="AZ65" s="108">
        <f>Batch2!AH63</f>
        <v>0</v>
      </c>
      <c r="BA65" s="107">
        <f>Batch2!AI63</f>
        <v>0</v>
      </c>
      <c r="BB65" s="106">
        <f>Batch2!AJ63</f>
        <v>0</v>
      </c>
      <c r="BC65" s="106">
        <f>Batch2!AK63</f>
        <v>0</v>
      </c>
      <c r="BD65" s="106">
        <f>Batch2!AL63</f>
        <v>0</v>
      </c>
      <c r="BE65" s="106">
        <f>Batch2!AM63</f>
        <v>0</v>
      </c>
      <c r="BF65" s="106">
        <f>Batch2!AN63</f>
        <v>0</v>
      </c>
      <c r="BG65" s="106">
        <f>Batch2!AO63</f>
        <v>0</v>
      </c>
      <c r="BH65" s="106">
        <f>Batch2!AP63</f>
        <v>0</v>
      </c>
      <c r="BI65" s="106">
        <f>Batch2!AQ63</f>
        <v>0</v>
      </c>
      <c r="BJ65" s="106">
        <f>Batch2!AR63</f>
        <v>0</v>
      </c>
      <c r="BK65" s="106">
        <f>Batch2!AS63</f>
        <v>0</v>
      </c>
      <c r="BL65" s="108">
        <f>Batch2!AT63</f>
        <v>0</v>
      </c>
      <c r="BM65" s="107">
        <f>Batch2!AU63</f>
        <v>0</v>
      </c>
      <c r="BN65" s="106">
        <f>Batch2!AV63</f>
        <v>0</v>
      </c>
      <c r="BO65" s="106">
        <f>Batch2!AW63</f>
        <v>0</v>
      </c>
      <c r="BP65" s="106">
        <f>Batch2!AX63</f>
        <v>0</v>
      </c>
      <c r="BQ65" s="106">
        <f>Batch2!AY63</f>
        <v>0</v>
      </c>
      <c r="BR65" s="106">
        <f>Batch2!AZ63</f>
        <v>0</v>
      </c>
      <c r="BS65" s="106">
        <f>Batch2!BA63</f>
        <v>0</v>
      </c>
      <c r="BT65" s="106">
        <f>Batch2!BB63</f>
        <v>0</v>
      </c>
      <c r="BU65" s="106">
        <f>Batch2!BC63</f>
        <v>0</v>
      </c>
      <c r="BV65" s="106">
        <f>Batch2!BD63</f>
        <v>0</v>
      </c>
      <c r="BW65" s="106">
        <f>Batch2!BE63</f>
        <v>0</v>
      </c>
      <c r="BX65" s="108">
        <f>Batch2!BF63</f>
        <v>0</v>
      </c>
      <c r="BY65" s="107">
        <f>Batch2!BG63</f>
        <v>0</v>
      </c>
      <c r="BZ65" s="106">
        <f>Batch2!BH63</f>
        <v>0</v>
      </c>
      <c r="CA65" s="106">
        <f>Batch2!BI63</f>
        <v>0</v>
      </c>
      <c r="CB65" s="106">
        <f>Batch2!BJ63</f>
        <v>0</v>
      </c>
      <c r="CC65" s="106">
        <f>Batch2!BK63</f>
        <v>0</v>
      </c>
      <c r="CD65" s="106">
        <f>Batch2!BL63</f>
        <v>0</v>
      </c>
      <c r="CE65" s="106">
        <f>Batch2!BM63</f>
        <v>0</v>
      </c>
      <c r="CF65" s="106">
        <f>Batch2!BN63</f>
        <v>0</v>
      </c>
      <c r="CG65" s="106">
        <f>Batch2!BO63</f>
        <v>0</v>
      </c>
      <c r="CH65" s="106">
        <f>Batch2!BP63</f>
        <v>0</v>
      </c>
      <c r="CI65" s="106">
        <f>Batch2!BQ63</f>
        <v>0</v>
      </c>
      <c r="CJ65" s="108">
        <f>Batch2!BR63</f>
        <v>0</v>
      </c>
      <c r="CK65" s="107">
        <f>Batch2!BS63</f>
        <v>0</v>
      </c>
      <c r="CL65" s="106">
        <f>Batch2!BT63</f>
        <v>0</v>
      </c>
      <c r="CM65" s="106">
        <f>Batch2!BU63</f>
        <v>0</v>
      </c>
      <c r="CN65" s="106">
        <f>Batch2!BV63</f>
        <v>0</v>
      </c>
      <c r="CO65" s="106">
        <f>Batch2!BW63</f>
        <v>0</v>
      </c>
      <c r="CP65" s="106">
        <f>Batch2!BX63</f>
        <v>0</v>
      </c>
      <c r="CQ65" s="106">
        <f>Batch2!BY63</f>
        <v>0</v>
      </c>
      <c r="CR65" s="106">
        <f>Batch2!BZ63</f>
        <v>0</v>
      </c>
      <c r="CS65" s="106">
        <f>Batch2!CA63</f>
        <v>0</v>
      </c>
      <c r="CT65" s="106">
        <f>Batch2!CB63</f>
        <v>0</v>
      </c>
      <c r="CU65" s="106">
        <f>Batch2!CC63</f>
        <v>0</v>
      </c>
      <c r="CV65" s="108">
        <f>Batch2!CD63</f>
        <v>0</v>
      </c>
      <c r="CW65" s="107">
        <f>Batch2!CE63</f>
        <v>0</v>
      </c>
      <c r="CX65" s="106">
        <f>Batch2!CF63</f>
        <v>0</v>
      </c>
      <c r="CY65" s="106">
        <f>Batch2!CG63</f>
        <v>0</v>
      </c>
      <c r="CZ65" s="106">
        <f>Batch2!CH63</f>
        <v>0</v>
      </c>
      <c r="DA65" s="106">
        <f>Batch2!CI63</f>
        <v>0</v>
      </c>
      <c r="DB65" s="106">
        <f>Batch2!CJ63</f>
        <v>0</v>
      </c>
      <c r="DC65" s="106">
        <f>Batch2!CK63</f>
        <v>0</v>
      </c>
      <c r="DD65" s="106">
        <f>Batch2!CL63</f>
        <v>0</v>
      </c>
      <c r="DE65" s="106">
        <f>Batch2!CM63</f>
        <v>0</v>
      </c>
      <c r="DF65" s="106">
        <f>Batch2!CN63</f>
        <v>0</v>
      </c>
      <c r="DG65" s="106">
        <f>Batch2!CO63</f>
        <v>0</v>
      </c>
      <c r="DH65" s="108">
        <f>Batch2!CP63</f>
        <v>0</v>
      </c>
      <c r="DI65" s="107">
        <f>Batch2!CQ63</f>
        <v>0</v>
      </c>
      <c r="DJ65" s="106">
        <f>Batch2!CR63</f>
        <v>0</v>
      </c>
      <c r="DK65" s="106">
        <f>Batch2!CS63</f>
        <v>0</v>
      </c>
      <c r="DL65" s="106">
        <f>Batch2!CT63</f>
        <v>0</v>
      </c>
      <c r="DM65" s="106">
        <f>Batch2!CU63</f>
        <v>0</v>
      </c>
      <c r="DN65" s="106">
        <f>Batch2!CV63</f>
        <v>0</v>
      </c>
      <c r="DO65" s="106">
        <f>Batch2!CW63</f>
        <v>0</v>
      </c>
      <c r="DP65" s="106">
        <f>Batch2!CX63</f>
        <v>0</v>
      </c>
      <c r="DQ65" s="106">
        <f>Batch2!CY63</f>
        <v>0</v>
      </c>
      <c r="DR65" s="106">
        <f>Batch2!CZ63</f>
        <v>0</v>
      </c>
      <c r="DS65" s="106">
        <f>Batch2!DA63</f>
        <v>0</v>
      </c>
      <c r="DT65" s="108">
        <f>Batch2!DB63</f>
        <v>0</v>
      </c>
      <c r="DU65" s="886"/>
      <c r="DV65" s="886"/>
      <c r="DW65" s="886"/>
      <c r="DX65" s="886"/>
      <c r="DY65" s="886"/>
      <c r="DZ65" s="886"/>
      <c r="EA65" s="886"/>
      <c r="EB65" s="886"/>
      <c r="EC65" s="886"/>
      <c r="ED65" s="886"/>
      <c r="EE65" s="886"/>
      <c r="EF65" s="886"/>
      <c r="EG65" s="886"/>
      <c r="EH65" s="886"/>
      <c r="EI65" s="886"/>
      <c r="EJ65" s="886"/>
      <c r="EK65" s="886"/>
      <c r="EL65" s="886"/>
      <c r="EM65" s="886"/>
      <c r="EN65" s="886"/>
      <c r="EO65" s="886"/>
      <c r="EP65" s="886"/>
      <c r="EQ65" s="886"/>
      <c r="ER65" s="886"/>
      <c r="ES65" s="886"/>
      <c r="ET65" s="886"/>
      <c r="EU65" s="886"/>
      <c r="EV65" s="886"/>
      <c r="EW65" s="886"/>
      <c r="EX65" s="886"/>
      <c r="EY65" s="886"/>
      <c r="EZ65" s="886"/>
      <c r="FA65" s="886"/>
      <c r="FB65" s="886"/>
      <c r="FC65" s="886"/>
      <c r="FD65" s="886"/>
      <c r="FE65" s="886"/>
      <c r="FF65" s="886"/>
      <c r="FG65" s="886"/>
      <c r="FH65" s="886"/>
      <c r="FI65" s="886"/>
      <c r="FJ65" s="886"/>
      <c r="FK65" s="886"/>
      <c r="FL65" s="886"/>
      <c r="FM65" s="886"/>
      <c r="FN65" s="886"/>
      <c r="FO65" s="886"/>
      <c r="FP65" s="886"/>
      <c r="FQ65" s="886"/>
      <c r="FR65" s="886"/>
      <c r="FS65" s="886"/>
      <c r="FT65" s="886"/>
      <c r="FU65" s="886"/>
      <c r="FV65" s="886"/>
      <c r="FW65" s="886"/>
      <c r="FX65" s="886"/>
      <c r="FY65" s="886"/>
      <c r="FZ65" s="886"/>
      <c r="GA65" s="886"/>
      <c r="GB65" s="886"/>
      <c r="GC65" s="886"/>
      <c r="GD65" s="886"/>
      <c r="GE65" s="886"/>
      <c r="GF65" s="886"/>
      <c r="GG65" s="886"/>
      <c r="GH65" s="886"/>
      <c r="GI65" s="886"/>
      <c r="GJ65" s="886"/>
      <c r="GK65" s="886"/>
      <c r="GL65" s="886"/>
      <c r="GM65" s="886"/>
      <c r="GN65" s="886"/>
      <c r="GO65" s="886"/>
      <c r="GP65" s="886"/>
      <c r="GQ65" s="886"/>
      <c r="GR65" s="886"/>
      <c r="GS65" s="886"/>
      <c r="GT65" s="886"/>
      <c r="GU65" s="886"/>
      <c r="GV65" s="886"/>
      <c r="GW65" s="886"/>
      <c r="GX65" s="886"/>
      <c r="GY65" s="886"/>
      <c r="GZ65" s="886"/>
      <c r="HA65" s="886"/>
      <c r="HB65" s="886"/>
      <c r="HC65" s="886"/>
      <c r="HD65" s="886"/>
      <c r="HE65" s="886"/>
      <c r="HF65" s="886"/>
      <c r="HG65" s="886"/>
      <c r="HH65" s="886"/>
      <c r="HI65" s="886"/>
      <c r="HJ65" s="886"/>
      <c r="HK65" s="886"/>
      <c r="HL65" s="886"/>
      <c r="HM65" s="886"/>
      <c r="HN65" s="886"/>
      <c r="HO65" s="886"/>
      <c r="HP65" s="886"/>
      <c r="HQ65" s="886"/>
      <c r="HR65" s="886"/>
      <c r="HS65" s="886"/>
      <c r="HT65" s="886"/>
      <c r="HU65" s="886"/>
      <c r="HV65" s="886"/>
      <c r="HW65" s="886"/>
      <c r="HX65" s="886"/>
      <c r="HY65" s="886"/>
      <c r="HZ65" s="886"/>
      <c r="IA65" s="886"/>
      <c r="IB65" s="886"/>
      <c r="IC65" s="886"/>
      <c r="ID65" s="886"/>
      <c r="IE65" s="886"/>
      <c r="IF65" s="886"/>
      <c r="IG65" s="886"/>
      <c r="IH65" s="886"/>
      <c r="II65" s="886"/>
      <c r="IJ65" s="886"/>
      <c r="IK65" s="886"/>
      <c r="IL65" s="886"/>
      <c r="IM65" s="886"/>
      <c r="IN65" s="886"/>
      <c r="IO65" s="886"/>
      <c r="IP65" s="886"/>
      <c r="IQ65" s="886"/>
      <c r="IR65" s="886"/>
      <c r="IS65" s="886"/>
      <c r="IT65" s="886"/>
      <c r="IU65" s="886"/>
      <c r="IV65" s="886"/>
      <c r="IW65" s="886"/>
      <c r="IX65" s="886"/>
      <c r="IY65" s="886"/>
      <c r="IZ65" s="886"/>
      <c r="JA65" s="886"/>
      <c r="JB65" s="886"/>
      <c r="JC65" s="886"/>
      <c r="JD65" s="886"/>
      <c r="JE65" s="886"/>
      <c r="JF65" s="886"/>
      <c r="JG65" s="886"/>
      <c r="JH65" s="886"/>
      <c r="JI65" s="886"/>
      <c r="JJ65" s="886"/>
      <c r="JK65" s="886"/>
      <c r="JL65" s="886"/>
      <c r="JM65" s="886"/>
      <c r="JN65" s="886"/>
      <c r="JO65" s="886"/>
      <c r="JP65" s="886"/>
      <c r="JQ65" s="886"/>
      <c r="JR65" s="886"/>
      <c r="JS65" s="886"/>
      <c r="JT65" s="886"/>
      <c r="JU65" s="886"/>
      <c r="JV65" s="886"/>
      <c r="JW65" s="886"/>
      <c r="JX65" s="886"/>
      <c r="JY65" s="886"/>
      <c r="JZ65" s="886"/>
      <c r="KA65" s="886"/>
      <c r="KB65" s="886"/>
      <c r="KC65" s="886"/>
      <c r="KD65" s="886"/>
      <c r="KE65" s="886"/>
      <c r="KF65" s="886"/>
      <c r="KG65" s="886"/>
      <c r="KH65" s="886"/>
      <c r="KI65" s="886"/>
      <c r="KJ65" s="886"/>
      <c r="KK65" s="886"/>
      <c r="KL65" s="886"/>
      <c r="KM65" s="886"/>
      <c r="KN65" s="886"/>
      <c r="KO65" s="886"/>
      <c r="KP65" s="886"/>
      <c r="KQ65" s="886"/>
      <c r="KR65" s="886"/>
      <c r="KS65" s="886"/>
      <c r="KT65" s="886"/>
      <c r="KU65" s="886"/>
      <c r="KV65" s="886"/>
      <c r="KW65" s="886"/>
      <c r="KX65" s="886"/>
      <c r="KY65" s="886"/>
      <c r="KZ65" s="886"/>
      <c r="LA65" s="886"/>
      <c r="LB65" s="886"/>
      <c r="LC65" s="886"/>
      <c r="LD65" s="886"/>
      <c r="LE65" s="886"/>
      <c r="LF65" s="886"/>
      <c r="LG65" s="886"/>
      <c r="LH65" s="886"/>
      <c r="LI65" s="886"/>
      <c r="LJ65" s="886"/>
      <c r="LK65" s="886"/>
      <c r="LL65" s="886"/>
      <c r="LM65" s="886"/>
      <c r="LN65" s="886"/>
      <c r="LO65" s="886"/>
      <c r="LP65" s="886"/>
      <c r="LQ65" s="886"/>
      <c r="LR65" s="886"/>
      <c r="LS65" s="886"/>
      <c r="LT65" s="886"/>
      <c r="LU65" s="886"/>
      <c r="LV65" s="886"/>
      <c r="LW65" s="886"/>
      <c r="LX65" s="886"/>
      <c r="LY65" s="886"/>
      <c r="LZ65" s="886"/>
      <c r="MA65" s="886"/>
      <c r="MB65" s="886"/>
      <c r="MC65" s="886"/>
      <c r="MD65" s="886"/>
      <c r="ME65" s="886"/>
      <c r="MF65" s="886"/>
      <c r="MG65" s="886"/>
      <c r="MH65" s="886"/>
      <c r="MI65" s="886"/>
      <c r="MJ65" s="886"/>
      <c r="MK65" s="886"/>
      <c r="ML65" s="886"/>
      <c r="MM65" s="886"/>
      <c r="MN65" s="886"/>
      <c r="MO65" s="886"/>
      <c r="MP65" s="886"/>
      <c r="MQ65" s="886"/>
      <c r="MR65" s="886"/>
      <c r="MS65" s="886"/>
      <c r="MT65" s="886"/>
      <c r="MU65" s="886"/>
      <c r="MV65" s="886"/>
      <c r="MW65" s="886"/>
      <c r="MX65" s="886"/>
      <c r="MY65" s="886"/>
      <c r="MZ65" s="886"/>
      <c r="NA65" s="886"/>
      <c r="NB65" s="886"/>
      <c r="NC65" s="886"/>
      <c r="ND65" s="886"/>
      <c r="NE65" s="886"/>
      <c r="NF65" s="886"/>
      <c r="NG65" s="886"/>
      <c r="NH65" s="886"/>
      <c r="NI65" s="886"/>
      <c r="NJ65" s="886"/>
      <c r="NK65" s="886"/>
      <c r="NL65" s="886"/>
      <c r="NM65" s="886"/>
      <c r="NN65" s="886"/>
      <c r="NO65" s="886"/>
      <c r="NP65" s="886"/>
      <c r="NQ65" s="886"/>
      <c r="NR65" s="886"/>
      <c r="NS65" s="886"/>
      <c r="NT65" s="886"/>
      <c r="NU65" s="886"/>
      <c r="NV65" s="886"/>
      <c r="NW65" s="886"/>
      <c r="NX65" s="886"/>
      <c r="NY65" s="886"/>
      <c r="NZ65" s="886"/>
      <c r="OA65" s="886"/>
      <c r="OB65" s="886"/>
      <c r="OC65" s="886"/>
      <c r="OD65" s="886"/>
      <c r="OE65" s="886"/>
      <c r="OF65" s="886"/>
      <c r="OG65" s="886"/>
      <c r="OH65" s="886"/>
      <c r="OI65" s="886"/>
      <c r="OJ65" s="886"/>
      <c r="OK65" s="886"/>
      <c r="OL65" s="886"/>
      <c r="OM65" s="886"/>
      <c r="ON65" s="886"/>
      <c r="OO65" s="886"/>
      <c r="OP65" s="886"/>
      <c r="OQ65" s="886"/>
      <c r="OR65" s="886"/>
      <c r="OS65" s="886"/>
      <c r="OT65" s="886"/>
      <c r="OU65" s="886"/>
      <c r="OV65" s="886"/>
      <c r="OW65" s="886"/>
      <c r="OX65" s="886"/>
      <c r="OY65" s="886"/>
      <c r="OZ65" s="886"/>
      <c r="PA65" s="886"/>
      <c r="PB65" s="886"/>
      <c r="PC65" s="886"/>
      <c r="PD65" s="886"/>
      <c r="PE65" s="886"/>
      <c r="PF65" s="886"/>
      <c r="PG65" s="886"/>
      <c r="PH65" s="886"/>
      <c r="PI65" s="886"/>
      <c r="PJ65" s="886"/>
      <c r="PK65" s="886"/>
      <c r="PL65" s="886"/>
      <c r="PM65" s="886"/>
      <c r="PN65" s="886"/>
      <c r="PO65" s="886"/>
      <c r="PP65" s="886"/>
      <c r="PQ65" s="886"/>
      <c r="PR65" s="886"/>
      <c r="PS65" s="886"/>
      <c r="PT65" s="886"/>
      <c r="PU65" s="886"/>
      <c r="PV65" s="886"/>
      <c r="PW65" s="886"/>
      <c r="PX65" s="886"/>
      <c r="PY65" s="886"/>
      <c r="PZ65" s="886"/>
      <c r="QA65" s="886"/>
      <c r="QB65" s="886"/>
      <c r="QC65" s="886"/>
      <c r="QD65" s="886"/>
      <c r="QE65" s="886"/>
      <c r="QF65" s="886"/>
      <c r="QG65" s="886"/>
      <c r="QH65" s="886"/>
      <c r="QI65" s="886"/>
      <c r="QJ65" s="886"/>
      <c r="QK65" s="886"/>
      <c r="QL65" s="886"/>
      <c r="QM65" s="886"/>
      <c r="QN65" s="886"/>
      <c r="QO65" s="886"/>
      <c r="QP65" s="886"/>
      <c r="QQ65" s="886"/>
      <c r="QR65" s="886"/>
      <c r="QS65" s="886"/>
      <c r="QT65" s="886"/>
      <c r="QU65" s="886"/>
      <c r="QV65" s="886"/>
      <c r="QW65" s="886"/>
      <c r="QX65" s="886"/>
      <c r="QY65" s="886"/>
      <c r="QZ65" s="886"/>
      <c r="RA65" s="886"/>
      <c r="RB65" s="886"/>
      <c r="RC65" s="886"/>
      <c r="RD65" s="886"/>
      <c r="RE65" s="886"/>
      <c r="RF65" s="886"/>
      <c r="RG65" s="886"/>
      <c r="RH65" s="886"/>
      <c r="RI65" s="886"/>
      <c r="RJ65" s="886"/>
      <c r="RK65" s="886"/>
      <c r="RL65" s="886"/>
      <c r="RM65" s="886"/>
      <c r="RN65" s="886"/>
      <c r="RO65" s="886"/>
      <c r="RP65" s="886"/>
      <c r="RQ65" s="886"/>
      <c r="RR65" s="886"/>
      <c r="RS65" s="886"/>
      <c r="RT65" s="886"/>
      <c r="RU65" s="886"/>
      <c r="RV65" s="886"/>
      <c r="RW65" s="886"/>
      <c r="RX65" s="886"/>
      <c r="RY65" s="886"/>
      <c r="RZ65" s="886"/>
      <c r="SA65" s="886"/>
      <c r="SB65" s="886"/>
      <c r="SC65" s="886"/>
      <c r="SD65" s="886"/>
      <c r="SE65" s="886"/>
      <c r="SF65" s="886"/>
      <c r="SG65" s="886"/>
      <c r="SH65" s="886"/>
      <c r="SI65" s="886"/>
      <c r="SJ65" s="886"/>
      <c r="SK65" s="886"/>
      <c r="SL65" s="886"/>
      <c r="SM65" s="886"/>
      <c r="SN65" s="886"/>
      <c r="SO65" s="886"/>
      <c r="SP65" s="886"/>
      <c r="SQ65" s="886"/>
      <c r="SR65" s="886"/>
      <c r="SS65" s="886"/>
      <c r="ST65" s="886"/>
      <c r="SU65" s="886"/>
      <c r="SV65" s="886"/>
      <c r="SW65" s="886"/>
      <c r="SX65" s="886"/>
      <c r="SY65" s="886"/>
      <c r="SZ65" s="886"/>
      <c r="TA65" s="886"/>
      <c r="TB65" s="886"/>
      <c r="TC65" s="886"/>
      <c r="TD65" s="886"/>
      <c r="TE65" s="886"/>
      <c r="TF65" s="886"/>
      <c r="TG65" s="886"/>
      <c r="TH65" s="886"/>
      <c r="TI65" s="886"/>
      <c r="TJ65" s="886"/>
      <c r="TK65" s="886"/>
      <c r="TL65" s="886"/>
      <c r="TM65" s="886"/>
      <c r="TN65" s="886"/>
      <c r="TO65" s="886"/>
      <c r="TP65" s="886"/>
      <c r="TQ65" s="886"/>
      <c r="TR65" s="886"/>
      <c r="TS65" s="886"/>
      <c r="TT65" s="886"/>
      <c r="TU65" s="886"/>
      <c r="TV65" s="886"/>
      <c r="TW65" s="886"/>
      <c r="TX65" s="886"/>
      <c r="TY65" s="886"/>
      <c r="TZ65" s="886"/>
      <c r="UA65" s="886"/>
      <c r="UB65" s="886"/>
      <c r="UC65" s="886"/>
      <c r="UD65" s="886"/>
      <c r="UE65" s="886"/>
      <c r="UF65" s="886"/>
      <c r="UG65" s="886"/>
      <c r="UH65" s="886"/>
      <c r="UI65" s="886"/>
      <c r="UJ65" s="886"/>
      <c r="UK65" s="886"/>
      <c r="UL65" s="886"/>
      <c r="UM65" s="886"/>
      <c r="UN65" s="886"/>
      <c r="UO65" s="886"/>
      <c r="UP65" s="886"/>
      <c r="UQ65" s="886"/>
      <c r="UR65" s="886"/>
      <c r="US65" s="886"/>
      <c r="UT65" s="886"/>
      <c r="UU65" s="886"/>
      <c r="UV65" s="886"/>
      <c r="UW65" s="886"/>
      <c r="UX65" s="886"/>
      <c r="UY65" s="886"/>
      <c r="UZ65" s="886"/>
      <c r="VA65" s="886"/>
      <c r="VB65" s="886"/>
      <c r="VC65" s="886"/>
      <c r="VD65" s="886"/>
      <c r="VE65" s="886"/>
      <c r="VF65" s="886"/>
      <c r="VG65" s="886"/>
      <c r="VH65" s="886"/>
      <c r="VI65" s="886"/>
      <c r="VJ65" s="886"/>
      <c r="VK65" s="886"/>
      <c r="VL65" s="886"/>
      <c r="VM65" s="886"/>
      <c r="VN65" s="886"/>
      <c r="VO65" s="886"/>
      <c r="VP65" s="886"/>
      <c r="VQ65" s="886"/>
      <c r="VR65" s="886"/>
      <c r="VS65" s="886"/>
      <c r="VT65" s="886"/>
      <c r="VU65" s="886"/>
      <c r="VV65" s="886"/>
      <c r="VW65" s="886"/>
      <c r="VX65" s="886"/>
      <c r="VY65" s="886"/>
      <c r="VZ65" s="886"/>
      <c r="WA65" s="886"/>
      <c r="WB65" s="886"/>
      <c r="WC65" s="886"/>
      <c r="WD65" s="886"/>
      <c r="WE65" s="886"/>
      <c r="WF65" s="886"/>
      <c r="WG65" s="886"/>
      <c r="WH65" s="886"/>
      <c r="WI65" s="886"/>
      <c r="WJ65" s="886"/>
      <c r="WK65" s="886"/>
      <c r="WL65" s="886"/>
      <c r="WM65" s="886"/>
      <c r="WN65" s="886"/>
      <c r="WO65" s="886"/>
      <c r="WP65" s="886"/>
      <c r="WQ65" s="886"/>
      <c r="WR65" s="886"/>
      <c r="WS65" s="886"/>
      <c r="WT65" s="886"/>
      <c r="WU65" s="886"/>
      <c r="WV65" s="886"/>
      <c r="WW65" s="886"/>
      <c r="WX65" s="886"/>
      <c r="WY65" s="886"/>
      <c r="WZ65" s="886"/>
      <c r="XA65" s="886"/>
      <c r="XB65" s="886"/>
      <c r="XC65" s="886"/>
      <c r="XD65" s="886"/>
      <c r="XE65" s="886"/>
      <c r="XF65" s="886"/>
      <c r="XG65" s="886"/>
      <c r="XH65" s="886"/>
      <c r="XI65" s="886"/>
      <c r="XJ65" s="886"/>
      <c r="XK65" s="886"/>
      <c r="XL65" s="886"/>
      <c r="XM65" s="886"/>
      <c r="XN65" s="886"/>
      <c r="XO65" s="886"/>
      <c r="XP65" s="886"/>
      <c r="XQ65" s="886"/>
      <c r="XR65" s="886"/>
      <c r="XS65" s="886"/>
      <c r="XT65" s="886"/>
      <c r="XU65" s="886"/>
      <c r="XV65" s="886"/>
      <c r="XW65" s="886"/>
      <c r="XX65" s="886"/>
      <c r="XY65" s="886"/>
      <c r="XZ65" s="886"/>
      <c r="YA65" s="886"/>
      <c r="YB65" s="886"/>
      <c r="YC65" s="886"/>
      <c r="YD65" s="886"/>
      <c r="YE65" s="886"/>
      <c r="YF65" s="886"/>
      <c r="YG65" s="886"/>
      <c r="YH65" s="886"/>
      <c r="YI65" s="886"/>
      <c r="YJ65" s="886"/>
      <c r="YK65" s="886"/>
      <c r="YL65" s="886"/>
      <c r="YM65" s="886"/>
      <c r="YN65" s="886"/>
      <c r="YO65" s="886"/>
      <c r="YP65" s="886"/>
      <c r="YQ65" s="886"/>
      <c r="YR65" s="886"/>
      <c r="YS65" s="886"/>
      <c r="YT65" s="886"/>
      <c r="YU65" s="886"/>
      <c r="YV65" s="886"/>
      <c r="YW65" s="886"/>
      <c r="YX65" s="886"/>
      <c r="YY65" s="886"/>
      <c r="YZ65" s="886"/>
      <c r="ZA65" s="886"/>
      <c r="ZB65" s="886"/>
      <c r="ZC65" s="886"/>
      <c r="ZD65" s="886"/>
      <c r="ZE65" s="886"/>
      <c r="ZF65" s="886"/>
      <c r="ZG65" s="886"/>
      <c r="ZH65" s="886"/>
      <c r="ZI65" s="886"/>
      <c r="ZJ65" s="886"/>
      <c r="ZK65" s="886"/>
      <c r="ZL65" s="886"/>
      <c r="ZM65" s="886"/>
      <c r="ZN65" s="886"/>
      <c r="ZO65" s="886"/>
      <c r="ZP65" s="886"/>
      <c r="ZQ65" s="886"/>
      <c r="ZR65" s="886"/>
      <c r="ZS65" s="886"/>
      <c r="ZT65" s="886"/>
      <c r="ZU65" s="886"/>
      <c r="ZV65" s="886"/>
      <c r="ZW65" s="886"/>
      <c r="ZX65" s="886"/>
      <c r="ZY65" s="886"/>
      <c r="ZZ65" s="886"/>
      <c r="AAA65" s="886"/>
      <c r="AAB65" s="886"/>
      <c r="AAC65" s="886"/>
      <c r="AAD65" s="886"/>
      <c r="AAE65" s="886"/>
      <c r="AAF65" s="886"/>
      <c r="AAG65" s="886"/>
      <c r="AAH65" s="886"/>
      <c r="AAI65" s="886"/>
      <c r="AAJ65" s="886"/>
      <c r="AAK65" s="886"/>
      <c r="AAL65" s="886"/>
      <c r="AAM65" s="886"/>
      <c r="AAN65" s="886"/>
      <c r="AAO65" s="886"/>
      <c r="AAP65" s="886"/>
      <c r="AAQ65" s="886"/>
      <c r="AAR65" s="886"/>
      <c r="AAS65" s="886"/>
      <c r="AAT65" s="886"/>
      <c r="AAU65" s="886"/>
      <c r="AAV65" s="886"/>
      <c r="AAW65" s="886"/>
      <c r="AAX65" s="886"/>
      <c r="AAY65" s="886"/>
      <c r="AAZ65" s="886"/>
      <c r="ABA65" s="886"/>
      <c r="ABB65" s="886"/>
      <c r="ABC65" s="886"/>
      <c r="ABD65" s="886"/>
      <c r="ABE65" s="886"/>
      <c r="ABF65" s="886"/>
      <c r="ABG65" s="886"/>
      <c r="ABH65" s="886"/>
      <c r="ABI65" s="886"/>
      <c r="ABJ65" s="886"/>
      <c r="ABK65" s="886"/>
      <c r="ABL65" s="886"/>
      <c r="ABM65" s="886"/>
      <c r="ABN65" s="886"/>
      <c r="ABO65" s="886"/>
      <c r="ABP65" s="886"/>
      <c r="ABQ65" s="886"/>
      <c r="ABR65" s="886"/>
      <c r="ABS65" s="886"/>
      <c r="ABT65" s="886"/>
      <c r="ABU65" s="886"/>
      <c r="ABV65" s="886"/>
      <c r="ABW65" s="886"/>
      <c r="ABX65" s="886"/>
      <c r="ABY65" s="886"/>
      <c r="ABZ65" s="886"/>
      <c r="ACA65" s="886"/>
      <c r="ACB65" s="886"/>
      <c r="ACC65" s="886"/>
      <c r="ACD65" s="886"/>
      <c r="ACE65" s="886"/>
      <c r="ACF65" s="886"/>
      <c r="ACG65" s="886"/>
      <c r="ACH65" s="886"/>
      <c r="ACI65" s="886"/>
      <c r="ACJ65" s="886"/>
      <c r="ACK65" s="886"/>
      <c r="ACL65" s="886"/>
      <c r="ACM65" s="886"/>
      <c r="ACN65" s="886"/>
      <c r="ACO65" s="886"/>
      <c r="ACP65" s="886"/>
      <c r="ACQ65" s="886"/>
      <c r="ACR65" s="886"/>
      <c r="ACS65" s="886"/>
      <c r="ACT65" s="886"/>
      <c r="ACU65" s="886"/>
      <c r="ACV65" s="886"/>
      <c r="ACW65" s="886"/>
      <c r="ACX65" s="886"/>
      <c r="ACY65" s="886"/>
      <c r="ACZ65" s="886"/>
      <c r="ADA65" s="886"/>
      <c r="ADB65" s="886"/>
      <c r="ADC65" s="886"/>
      <c r="ADD65" s="886"/>
      <c r="ADE65" s="886"/>
      <c r="ADF65" s="886"/>
      <c r="ADG65" s="886"/>
      <c r="ADH65" s="886"/>
      <c r="ADI65" s="886"/>
      <c r="ADJ65" s="886"/>
      <c r="ADK65" s="886"/>
      <c r="ADL65" s="886"/>
      <c r="ADM65" s="886"/>
      <c r="ADN65" s="886"/>
      <c r="ADO65" s="886"/>
      <c r="ADP65" s="886"/>
      <c r="ADQ65" s="886"/>
      <c r="ADR65" s="886"/>
      <c r="ADS65" s="886"/>
      <c r="ADT65" s="886"/>
      <c r="ADU65" s="886"/>
      <c r="ADV65" s="886"/>
      <c r="ADW65" s="886"/>
      <c r="ADX65" s="886"/>
      <c r="ADY65" s="886"/>
      <c r="ADZ65" s="886"/>
      <c r="AEA65" s="886"/>
      <c r="AEB65" s="886"/>
      <c r="AEC65" s="886"/>
      <c r="AED65" s="886"/>
      <c r="AEE65" s="886"/>
      <c r="AEF65" s="886"/>
      <c r="AEG65" s="886"/>
      <c r="AEH65" s="886"/>
      <c r="AEI65" s="886"/>
      <c r="AEJ65" s="886"/>
      <c r="AEK65" s="886"/>
      <c r="AEL65" s="886"/>
      <c r="AEM65" s="886"/>
      <c r="AEN65" s="886"/>
      <c r="AEO65" s="886"/>
      <c r="AEP65" s="886"/>
      <c r="AEQ65" s="886"/>
      <c r="AER65" s="886"/>
      <c r="AES65" s="886"/>
      <c r="AET65" s="886"/>
      <c r="AEU65" s="886"/>
      <c r="AEV65" s="886"/>
      <c r="AEW65" s="886"/>
      <c r="AEX65" s="886"/>
      <c r="AEY65" s="886"/>
      <c r="AEZ65" s="886"/>
      <c r="AFA65" s="886"/>
      <c r="AFB65" s="886"/>
      <c r="AFC65" s="886"/>
      <c r="AFD65" s="886"/>
      <c r="AFE65" s="886"/>
      <c r="AFF65" s="886"/>
      <c r="AFG65" s="886"/>
      <c r="AFH65" s="886"/>
      <c r="AFI65" s="886"/>
      <c r="AFJ65" s="886"/>
      <c r="AFK65" s="886"/>
      <c r="AFL65" s="886"/>
      <c r="AFM65" s="886"/>
      <c r="AFN65" s="886"/>
      <c r="AFO65" s="886"/>
      <c r="AFP65" s="886"/>
      <c r="AFQ65" s="886"/>
      <c r="AFR65" s="886"/>
      <c r="AFS65" s="886"/>
      <c r="AFT65" s="886"/>
      <c r="AFU65" s="886"/>
      <c r="AFV65" s="886"/>
      <c r="AFW65" s="886"/>
      <c r="AFX65" s="886"/>
      <c r="AFY65" s="886"/>
      <c r="AFZ65" s="886"/>
      <c r="AGA65" s="886"/>
      <c r="AGB65" s="886"/>
      <c r="AGC65" s="886"/>
      <c r="AGD65" s="886"/>
      <c r="AGE65" s="886"/>
      <c r="AGF65" s="886"/>
      <c r="AGG65" s="886"/>
      <c r="AGH65" s="886"/>
      <c r="AGI65" s="886"/>
      <c r="AGJ65" s="886"/>
      <c r="AGK65" s="886"/>
      <c r="AGL65" s="886"/>
      <c r="AGM65" s="886"/>
      <c r="AGN65" s="886"/>
      <c r="AGO65" s="886"/>
      <c r="AGP65" s="886"/>
      <c r="AGQ65" s="886"/>
      <c r="AGR65" s="886"/>
      <c r="AGS65" s="886"/>
      <c r="AGT65" s="886"/>
      <c r="AGU65" s="886"/>
      <c r="AGV65" s="886"/>
      <c r="AGW65" s="886"/>
      <c r="AGX65" s="886"/>
      <c r="AGY65" s="886"/>
      <c r="AGZ65" s="886"/>
      <c r="AHA65" s="886"/>
      <c r="AHB65" s="886"/>
      <c r="AHC65" s="886"/>
      <c r="AHD65" s="886"/>
      <c r="AHE65" s="886"/>
      <c r="AHF65" s="886"/>
      <c r="AHG65" s="886"/>
      <c r="AHH65" s="886"/>
      <c r="AHI65" s="886"/>
      <c r="AHJ65" s="886"/>
      <c r="AHK65" s="886"/>
      <c r="AHL65" s="886"/>
      <c r="AHM65" s="886"/>
      <c r="AHN65" s="886"/>
      <c r="AHO65" s="886"/>
      <c r="AHP65" s="886"/>
      <c r="AHQ65" s="886"/>
      <c r="AHR65" s="886"/>
      <c r="AHS65" s="886"/>
      <c r="AHT65" s="886"/>
      <c r="AHU65" s="886"/>
      <c r="AHV65" s="886"/>
      <c r="AHW65" s="886"/>
      <c r="AHX65" s="886"/>
      <c r="AHY65" s="886"/>
      <c r="AHZ65" s="886"/>
      <c r="AIA65" s="886"/>
      <c r="AIB65" s="886"/>
      <c r="AIC65" s="886"/>
      <c r="AID65" s="886"/>
      <c r="AIE65" s="886"/>
      <c r="AIF65" s="886"/>
      <c r="AIG65" s="886"/>
      <c r="AIH65" s="886"/>
      <c r="AII65" s="886"/>
      <c r="AIJ65" s="886"/>
      <c r="AIK65" s="886"/>
      <c r="AIL65" s="886"/>
      <c r="AIM65" s="886"/>
      <c r="AIN65" s="886"/>
      <c r="AIO65" s="886"/>
      <c r="AIP65" s="886"/>
      <c r="AIQ65" s="886"/>
      <c r="AIR65" s="886"/>
      <c r="AIS65" s="886"/>
      <c r="AIT65" s="886"/>
      <c r="AIU65" s="886"/>
      <c r="AIV65" s="886"/>
      <c r="AIW65" s="886"/>
      <c r="AIX65" s="886"/>
      <c r="AIY65" s="886"/>
      <c r="AIZ65" s="886"/>
      <c r="AJA65" s="886"/>
      <c r="AJB65" s="886"/>
      <c r="AJC65" s="886"/>
      <c r="AJD65" s="886"/>
      <c r="AJE65" s="886"/>
      <c r="AJF65" s="886"/>
      <c r="AJG65" s="886"/>
      <c r="AJH65" s="886"/>
      <c r="AJI65" s="886"/>
      <c r="AJJ65" s="886"/>
      <c r="AJK65" s="886"/>
      <c r="AJL65" s="886"/>
      <c r="AJM65" s="886"/>
      <c r="AJN65" s="886"/>
      <c r="AJO65" s="886"/>
      <c r="AJP65" s="886"/>
      <c r="AJQ65" s="886"/>
      <c r="AJR65" s="886"/>
      <c r="AJS65" s="886"/>
      <c r="AJT65" s="886"/>
      <c r="AJU65" s="886"/>
      <c r="AJV65" s="886"/>
      <c r="AJW65" s="886"/>
      <c r="AJX65" s="886"/>
      <c r="AJY65" s="886"/>
      <c r="AJZ65" s="886"/>
      <c r="AKA65" s="886"/>
      <c r="AKB65" s="886"/>
      <c r="AKC65" s="886"/>
      <c r="AKD65" s="886"/>
      <c r="AKE65" s="886"/>
      <c r="AKF65" s="886"/>
      <c r="AKG65" s="886"/>
      <c r="AKH65" s="886"/>
      <c r="AKI65" s="886"/>
      <c r="AKJ65" s="886"/>
      <c r="AKK65" s="886"/>
      <c r="AKL65" s="886"/>
      <c r="AKM65" s="886"/>
      <c r="AKN65" s="886"/>
      <c r="AKO65" s="886"/>
      <c r="AKP65" s="886"/>
      <c r="AKQ65" s="886"/>
      <c r="AKR65" s="886"/>
      <c r="AKS65" s="886"/>
      <c r="AKT65" s="886"/>
      <c r="AKU65" s="886"/>
      <c r="AKV65" s="886"/>
      <c r="AKW65" s="886"/>
      <c r="AKX65" s="886"/>
      <c r="AKY65" s="886"/>
      <c r="AKZ65" s="886"/>
      <c r="ALA65" s="886"/>
      <c r="ALB65" s="886"/>
      <c r="ALC65" s="886"/>
      <c r="ALD65" s="886"/>
      <c r="ALE65" s="886"/>
      <c r="ALF65" s="886"/>
      <c r="ALG65" s="886"/>
      <c r="ALH65" s="886"/>
      <c r="ALI65" s="886"/>
      <c r="ALJ65" s="886"/>
      <c r="ALK65" s="886"/>
      <c r="ALL65" s="886"/>
      <c r="ALM65" s="886"/>
      <c r="ALN65" s="886"/>
      <c r="ALO65" s="886"/>
      <c r="ALP65" s="886"/>
      <c r="ALQ65" s="886"/>
      <c r="ALR65" s="886"/>
      <c r="ALS65" s="886"/>
      <c r="ALT65" s="886"/>
      <c r="ALU65" s="886"/>
      <c r="ALV65" s="886"/>
      <c r="ALW65" s="886"/>
      <c r="ALX65" s="886"/>
      <c r="ALY65" s="886"/>
      <c r="ALZ65" s="886"/>
      <c r="AMA65" s="886"/>
      <c r="AMB65" s="886"/>
      <c r="AMC65" s="886"/>
      <c r="AMD65" s="886"/>
      <c r="AME65" s="886"/>
      <c r="AMF65" s="886"/>
      <c r="AMG65" s="886"/>
      <c r="AMH65" s="886"/>
      <c r="AMI65" s="886"/>
      <c r="AMJ65" s="886"/>
      <c r="AMK65" s="886"/>
      <c r="AML65" s="886"/>
      <c r="AMM65" s="886"/>
      <c r="AMN65" s="886"/>
      <c r="AMO65" s="886"/>
      <c r="AMP65" s="886"/>
      <c r="AMQ65" s="886"/>
      <c r="AMR65" s="886"/>
      <c r="AMS65" s="886"/>
      <c r="AMT65" s="886"/>
      <c r="AMU65" s="886"/>
      <c r="AMV65" s="886"/>
      <c r="AMW65" s="886"/>
      <c r="AMX65" s="886"/>
      <c r="AMY65" s="886"/>
      <c r="AMZ65" s="886"/>
      <c r="ANA65" s="886"/>
      <c r="ANB65" s="886"/>
      <c r="ANC65" s="886"/>
      <c r="AND65" s="886"/>
      <c r="ANE65" s="886"/>
      <c r="ANF65" s="886"/>
      <c r="ANG65" s="886"/>
      <c r="ANH65" s="886"/>
      <c r="ANI65" s="886"/>
      <c r="ANJ65" s="886"/>
      <c r="ANK65" s="886"/>
      <c r="ANL65" s="886"/>
      <c r="ANM65" s="886"/>
      <c r="ANN65" s="886"/>
      <c r="ANO65" s="886"/>
      <c r="ANP65" s="886"/>
      <c r="ANQ65" s="886"/>
      <c r="ANR65" s="886"/>
      <c r="ANS65" s="886"/>
      <c r="ANT65" s="886"/>
      <c r="ANU65" s="886"/>
      <c r="ANV65" s="886"/>
      <c r="ANW65" s="886"/>
      <c r="ANX65" s="886"/>
      <c r="ANY65" s="886"/>
      <c r="ANZ65" s="886"/>
      <c r="AOA65" s="886"/>
      <c r="AOB65" s="886"/>
      <c r="AOC65" s="886"/>
      <c r="AOD65" s="886"/>
      <c r="AOE65" s="886"/>
      <c r="AOF65" s="886"/>
      <c r="AOG65" s="886"/>
      <c r="AOH65" s="886"/>
      <c r="AOI65" s="886"/>
      <c r="AOJ65" s="886"/>
      <c r="AOK65" s="886"/>
      <c r="AOL65" s="886"/>
      <c r="AOM65" s="886"/>
      <c r="AON65" s="886"/>
      <c r="AOO65" s="886"/>
      <c r="AOP65" s="886"/>
      <c r="AOQ65" s="886"/>
      <c r="AOR65" s="886"/>
      <c r="AOS65" s="886"/>
      <c r="AOT65" s="886"/>
      <c r="AOU65" s="886"/>
      <c r="AOV65" s="886"/>
      <c r="AOW65" s="886"/>
      <c r="AOX65" s="886"/>
      <c r="AOY65" s="886"/>
      <c r="AOZ65" s="886"/>
      <c r="APA65" s="886"/>
      <c r="APB65" s="886"/>
      <c r="APC65" s="886"/>
      <c r="APD65" s="886"/>
      <c r="APE65" s="886"/>
      <c r="APF65" s="886"/>
      <c r="APG65" s="886"/>
      <c r="APH65" s="886"/>
      <c r="API65" s="886"/>
      <c r="APJ65" s="886"/>
      <c r="APK65" s="886"/>
    </row>
    <row r="66" spans="1:1103" s="15" customFormat="1" ht="15" x14ac:dyDescent="0.25">
      <c r="A66" s="2"/>
      <c r="B66" s="754" t="s">
        <v>383</v>
      </c>
      <c r="C66" s="127"/>
      <c r="D66" s="127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9"/>
      <c r="Q66" s="282"/>
      <c r="R66" s="312"/>
      <c r="S66" s="312"/>
      <c r="T66" s="312"/>
      <c r="U66" s="312">
        <f>Batch3!D63</f>
        <v>14.76</v>
      </c>
      <c r="V66" s="312">
        <f>Batch3!E63</f>
        <v>41.160719999999998</v>
      </c>
      <c r="W66" s="312">
        <f>Batch3!F63</f>
        <v>58.984699199999994</v>
      </c>
      <c r="X66" s="312">
        <f>Batch3!G63</f>
        <v>81.848292127999997</v>
      </c>
      <c r="Y66" s="312">
        <f>Batch3!H63</f>
        <v>136.87146657792002</v>
      </c>
      <c r="Z66" s="312">
        <f>Batch3!I63</f>
        <v>120.08190001102848</v>
      </c>
      <c r="AA66" s="312">
        <f>Batch3!J63</f>
        <v>188.84667230564182</v>
      </c>
      <c r="AB66" s="313">
        <f>Batch3!K63</f>
        <v>155.32093875331535</v>
      </c>
      <c r="AC66" s="282">
        <f>Batch3!L63</f>
        <v>33.98636697375472</v>
      </c>
      <c r="AD66" s="312">
        <f>Batch3!M63</f>
        <v>42.311759594064583</v>
      </c>
      <c r="AE66" s="312">
        <f>Batch3!N63</f>
        <v>50.029976436538412</v>
      </c>
      <c r="AF66" s="312">
        <f>Batch3!O63</f>
        <v>59.549441677765998</v>
      </c>
      <c r="AG66" s="312">
        <f>Batch3!P63</f>
        <v>69.259207179639887</v>
      </c>
      <c r="AH66" s="312">
        <f>Batch3!Q63</f>
        <v>79.043955964256526</v>
      </c>
      <c r="AI66" s="312">
        <f>Batch3!R63</f>
        <v>89.927612931225298</v>
      </c>
      <c r="AJ66" s="312">
        <f>Batch3!S63</f>
        <v>101.78986190380395</v>
      </c>
      <c r="AK66" s="312">
        <f>Batch3!T63</f>
        <v>115.64509801740655</v>
      </c>
      <c r="AL66" s="312">
        <f>Batch3!U63</f>
        <v>130.68916473890621</v>
      </c>
      <c r="AM66" s="312">
        <f>Batch3!V63</f>
        <v>147.93108242108329</v>
      </c>
      <c r="AN66" s="313">
        <f>Batch3!W63</f>
        <v>167.47018114562925</v>
      </c>
      <c r="AO66" s="282">
        <f>Batch3!X63</f>
        <v>186.03074579787418</v>
      </c>
      <c r="AP66" s="312">
        <f>Batch3!Y63</f>
        <v>207.54710234722418</v>
      </c>
      <c r="AQ66" s="312">
        <f>Batch3!Z63</f>
        <v>230.76903016420295</v>
      </c>
      <c r="AR66" s="312">
        <f>Batch3!AA63</f>
        <v>256.91583342461342</v>
      </c>
      <c r="AS66" s="312">
        <f>Batch3!AB63</f>
        <v>182.94864947469335</v>
      </c>
      <c r="AT66" s="312">
        <f>Batch3!AC63</f>
        <v>90.118415683825503</v>
      </c>
      <c r="AU66" s="312">
        <f>Batch3!AD63</f>
        <v>0</v>
      </c>
      <c r="AV66" s="312">
        <f>Batch3!AE63</f>
        <v>0</v>
      </c>
      <c r="AW66" s="312">
        <f>Batch3!AF63</f>
        <v>0</v>
      </c>
      <c r="AX66" s="312">
        <f>Batch3!AG63</f>
        <v>0</v>
      </c>
      <c r="AY66" s="312">
        <f>Batch3!AH63</f>
        <v>0</v>
      </c>
      <c r="AZ66" s="313">
        <f>Batch3!AI63</f>
        <v>0</v>
      </c>
      <c r="BA66" s="282">
        <f>Batch3!AJ63</f>
        <v>0</v>
      </c>
      <c r="BB66" s="312">
        <f>Batch3!AK63</f>
        <v>0</v>
      </c>
      <c r="BC66" s="312">
        <f>Batch3!AL63</f>
        <v>0</v>
      </c>
      <c r="BD66" s="312">
        <f>Batch3!AM63</f>
        <v>0</v>
      </c>
      <c r="BE66" s="312">
        <f>Batch3!AN63</f>
        <v>0</v>
      </c>
      <c r="BF66" s="312">
        <f>Batch3!AO63</f>
        <v>0</v>
      </c>
      <c r="BG66" s="312">
        <f>Batch3!AP63</f>
        <v>0</v>
      </c>
      <c r="BH66" s="312">
        <f>Batch3!AO63</f>
        <v>0</v>
      </c>
      <c r="BI66" s="312">
        <f>Batch3!AP63</f>
        <v>0</v>
      </c>
      <c r="BJ66" s="312">
        <f>Batch3!AQ63</f>
        <v>0</v>
      </c>
      <c r="BK66" s="312">
        <f>Batch3!AR63</f>
        <v>0</v>
      </c>
      <c r="BL66" s="313">
        <f>Batch3!AS63</f>
        <v>0</v>
      </c>
      <c r="BM66" s="282">
        <f>Batch3!AT63</f>
        <v>0</v>
      </c>
      <c r="BN66" s="312">
        <f>Batch3!AU63</f>
        <v>0</v>
      </c>
      <c r="BO66" s="312">
        <f>Batch3!AV63</f>
        <v>0</v>
      </c>
      <c r="BP66" s="312">
        <f>Batch3!AW63</f>
        <v>0</v>
      </c>
      <c r="BQ66" s="312">
        <f>Batch3!AX63</f>
        <v>0</v>
      </c>
      <c r="BR66" s="312">
        <f>Batch3!AY63</f>
        <v>0</v>
      </c>
      <c r="BS66" s="312">
        <f>Batch3!AZ63</f>
        <v>0</v>
      </c>
      <c r="BT66" s="312">
        <f>Batch3!BA63</f>
        <v>0</v>
      </c>
      <c r="BU66" s="312">
        <f>Batch3!BB63</f>
        <v>0</v>
      </c>
      <c r="BV66" s="312">
        <f>Batch3!BC63</f>
        <v>0</v>
      </c>
      <c r="BW66" s="312">
        <f>Batch3!BD63</f>
        <v>0</v>
      </c>
      <c r="BX66" s="313">
        <f>Batch3!BE63</f>
        <v>0</v>
      </c>
      <c r="BY66" s="282">
        <f>Batch3!BF63</f>
        <v>0</v>
      </c>
      <c r="BZ66" s="312">
        <f>Batch3!BG63</f>
        <v>0</v>
      </c>
      <c r="CA66" s="312">
        <f>Batch3!BH63</f>
        <v>0</v>
      </c>
      <c r="CB66" s="312">
        <f>Batch3!BI63</f>
        <v>0</v>
      </c>
      <c r="CC66" s="312">
        <f>Batch3!BJ63</f>
        <v>0</v>
      </c>
      <c r="CD66" s="312">
        <f>Batch3!BK63</f>
        <v>0</v>
      </c>
      <c r="CE66" s="312">
        <f>Batch3!BL63</f>
        <v>0</v>
      </c>
      <c r="CF66" s="312">
        <f>Batch3!BM63</f>
        <v>0</v>
      </c>
      <c r="CG66" s="312">
        <f>Batch3!BN63</f>
        <v>0</v>
      </c>
      <c r="CH66" s="312">
        <f>Batch3!BO63</f>
        <v>0</v>
      </c>
      <c r="CI66" s="312">
        <f>Batch3!BP63</f>
        <v>0</v>
      </c>
      <c r="CJ66" s="313">
        <f>Batch3!BQ63</f>
        <v>0</v>
      </c>
      <c r="CK66" s="282">
        <f>Batch3!BR63</f>
        <v>0</v>
      </c>
      <c r="CL66" s="312">
        <f>Batch3!BS63</f>
        <v>0</v>
      </c>
      <c r="CM66" s="312">
        <f>Batch3!BT63</f>
        <v>0</v>
      </c>
      <c r="CN66" s="312">
        <f>Batch3!BU63</f>
        <v>0</v>
      </c>
      <c r="CO66" s="312">
        <f>Batch3!BV63</f>
        <v>0</v>
      </c>
      <c r="CP66" s="312">
        <f>Batch3!BW63</f>
        <v>0</v>
      </c>
      <c r="CQ66" s="312">
        <f>Batch3!BX63</f>
        <v>0</v>
      </c>
      <c r="CR66" s="312">
        <f>Batch3!BY63</f>
        <v>0</v>
      </c>
      <c r="CS66" s="312">
        <f>Batch3!BZ63</f>
        <v>0</v>
      </c>
      <c r="CT66" s="312">
        <f>Batch3!CA63</f>
        <v>0</v>
      </c>
      <c r="CU66" s="312">
        <f>Batch3!CB63</f>
        <v>0</v>
      </c>
      <c r="CV66" s="313">
        <f>Batch3!CC63</f>
        <v>0</v>
      </c>
      <c r="CW66" s="282">
        <f>Batch3!CD63</f>
        <v>0</v>
      </c>
      <c r="CX66" s="312">
        <f>Batch3!CE63</f>
        <v>0</v>
      </c>
      <c r="CY66" s="312">
        <f>Batch3!CF63</f>
        <v>0</v>
      </c>
      <c r="CZ66" s="312">
        <f>Batch3!CG63</f>
        <v>0</v>
      </c>
      <c r="DA66" s="312">
        <f>Batch3!CH63</f>
        <v>0</v>
      </c>
      <c r="DB66" s="312">
        <f>Batch3!CI63</f>
        <v>0</v>
      </c>
      <c r="DC66" s="312">
        <f>Batch3!CJ63</f>
        <v>0</v>
      </c>
      <c r="DD66" s="312">
        <f>Batch3!CK63</f>
        <v>0</v>
      </c>
      <c r="DE66" s="312">
        <f>Batch3!CL63</f>
        <v>0</v>
      </c>
      <c r="DF66" s="312">
        <f>Batch3!CM63</f>
        <v>0</v>
      </c>
      <c r="DG66" s="312">
        <f>Batch3!CN63</f>
        <v>0</v>
      </c>
      <c r="DH66" s="313">
        <f>Batch3!CO63</f>
        <v>0</v>
      </c>
      <c r="DI66" s="282">
        <f>Batch3!CP63</f>
        <v>0</v>
      </c>
      <c r="DJ66" s="312">
        <f>Batch3!CQ63</f>
        <v>0</v>
      </c>
      <c r="DK66" s="312">
        <f>Batch3!CR63</f>
        <v>0</v>
      </c>
      <c r="DL66" s="312">
        <f>Batch3!CS63</f>
        <v>0</v>
      </c>
      <c r="DM66" s="312">
        <f>Batch3!CT63</f>
        <v>0</v>
      </c>
      <c r="DN66" s="312">
        <f>Batch3!CU63</f>
        <v>0</v>
      </c>
      <c r="DO66" s="312">
        <f>Batch3!CV63</f>
        <v>0</v>
      </c>
      <c r="DP66" s="312">
        <f>Batch3!CW63</f>
        <v>0</v>
      </c>
      <c r="DQ66" s="312">
        <f>Batch3!CX63</f>
        <v>0</v>
      </c>
      <c r="DR66" s="312">
        <f>Batch3!CY63</f>
        <v>0</v>
      </c>
      <c r="DS66" s="312">
        <f>Batch3!CZ63</f>
        <v>0</v>
      </c>
      <c r="DT66" s="313">
        <f>Batch3!DA63</f>
        <v>0</v>
      </c>
      <c r="DU66" s="886"/>
      <c r="DV66" s="886"/>
      <c r="DW66" s="886"/>
      <c r="DX66" s="886"/>
      <c r="DY66" s="886"/>
      <c r="DZ66" s="886"/>
      <c r="EA66" s="886"/>
      <c r="EB66" s="886"/>
      <c r="EC66" s="886"/>
      <c r="ED66" s="886"/>
      <c r="EE66" s="886"/>
      <c r="EF66" s="886"/>
      <c r="EG66" s="886"/>
      <c r="EH66" s="886"/>
      <c r="EI66" s="886"/>
      <c r="EJ66" s="886"/>
      <c r="EK66" s="886"/>
      <c r="EL66" s="886"/>
      <c r="EM66" s="886"/>
      <c r="EN66" s="886"/>
      <c r="EO66" s="886"/>
      <c r="EP66" s="886"/>
      <c r="EQ66" s="886"/>
      <c r="ER66" s="886"/>
      <c r="ES66" s="886"/>
      <c r="ET66" s="886"/>
      <c r="EU66" s="886"/>
      <c r="EV66" s="886"/>
      <c r="EW66" s="886"/>
      <c r="EX66" s="886"/>
      <c r="EY66" s="886"/>
      <c r="EZ66" s="886"/>
      <c r="FA66" s="886"/>
      <c r="FB66" s="886"/>
      <c r="FC66" s="886"/>
      <c r="FD66" s="886"/>
      <c r="FE66" s="886"/>
      <c r="FF66" s="886"/>
      <c r="FG66" s="886"/>
      <c r="FH66" s="886"/>
      <c r="FI66" s="886"/>
      <c r="FJ66" s="886"/>
      <c r="FK66" s="886"/>
      <c r="FL66" s="886"/>
      <c r="FM66" s="886"/>
      <c r="FN66" s="886"/>
      <c r="FO66" s="886"/>
      <c r="FP66" s="886"/>
      <c r="FQ66" s="886"/>
      <c r="FR66" s="886"/>
      <c r="FS66" s="886"/>
      <c r="FT66" s="886"/>
      <c r="FU66" s="886"/>
      <c r="FV66" s="886"/>
      <c r="FW66" s="886"/>
      <c r="FX66" s="886"/>
      <c r="FY66" s="886"/>
      <c r="FZ66" s="886"/>
      <c r="GA66" s="886"/>
      <c r="GB66" s="886"/>
      <c r="GC66" s="886"/>
      <c r="GD66" s="886"/>
      <c r="GE66" s="886"/>
      <c r="GF66" s="886"/>
      <c r="GG66" s="886"/>
      <c r="GH66" s="886"/>
      <c r="GI66" s="886"/>
      <c r="GJ66" s="886"/>
      <c r="GK66" s="886"/>
      <c r="GL66" s="886"/>
      <c r="GM66" s="886"/>
      <c r="GN66" s="886"/>
      <c r="GO66" s="886"/>
      <c r="GP66" s="886"/>
      <c r="GQ66" s="886"/>
      <c r="GR66" s="886"/>
      <c r="GS66" s="886"/>
      <c r="GT66" s="886"/>
      <c r="GU66" s="886"/>
      <c r="GV66" s="886"/>
      <c r="GW66" s="886"/>
      <c r="GX66" s="886"/>
      <c r="GY66" s="886"/>
      <c r="GZ66" s="886"/>
      <c r="HA66" s="886"/>
      <c r="HB66" s="886"/>
      <c r="HC66" s="886"/>
      <c r="HD66" s="886"/>
      <c r="HE66" s="886"/>
      <c r="HF66" s="886"/>
      <c r="HG66" s="886"/>
      <c r="HH66" s="886"/>
      <c r="HI66" s="886"/>
      <c r="HJ66" s="886"/>
      <c r="HK66" s="886"/>
      <c r="HL66" s="886"/>
      <c r="HM66" s="886"/>
      <c r="HN66" s="886"/>
      <c r="HO66" s="886"/>
      <c r="HP66" s="886"/>
      <c r="HQ66" s="886"/>
      <c r="HR66" s="886"/>
      <c r="HS66" s="886"/>
      <c r="HT66" s="886"/>
      <c r="HU66" s="886"/>
      <c r="HV66" s="886"/>
      <c r="HW66" s="886"/>
      <c r="HX66" s="886"/>
      <c r="HY66" s="886"/>
      <c r="HZ66" s="886"/>
      <c r="IA66" s="886"/>
      <c r="IB66" s="886"/>
      <c r="IC66" s="886"/>
      <c r="ID66" s="886"/>
      <c r="IE66" s="886"/>
      <c r="IF66" s="886"/>
      <c r="IG66" s="886"/>
      <c r="IH66" s="886"/>
      <c r="II66" s="886"/>
      <c r="IJ66" s="886"/>
      <c r="IK66" s="886"/>
      <c r="IL66" s="886"/>
      <c r="IM66" s="886"/>
      <c r="IN66" s="886"/>
      <c r="IO66" s="886"/>
      <c r="IP66" s="886"/>
      <c r="IQ66" s="886"/>
      <c r="IR66" s="886"/>
      <c r="IS66" s="886"/>
      <c r="IT66" s="886"/>
      <c r="IU66" s="886"/>
      <c r="IV66" s="886"/>
      <c r="IW66" s="886"/>
      <c r="IX66" s="886"/>
      <c r="IY66" s="886"/>
      <c r="IZ66" s="886"/>
      <c r="JA66" s="886"/>
      <c r="JB66" s="886"/>
      <c r="JC66" s="886"/>
      <c r="JD66" s="886"/>
      <c r="JE66" s="886"/>
      <c r="JF66" s="886"/>
      <c r="JG66" s="886"/>
      <c r="JH66" s="886"/>
      <c r="JI66" s="886"/>
      <c r="JJ66" s="886"/>
      <c r="JK66" s="886"/>
      <c r="JL66" s="886"/>
      <c r="JM66" s="886"/>
      <c r="JN66" s="886"/>
      <c r="JO66" s="886"/>
      <c r="JP66" s="886"/>
      <c r="JQ66" s="886"/>
      <c r="JR66" s="886"/>
      <c r="JS66" s="886"/>
      <c r="JT66" s="886"/>
      <c r="JU66" s="886"/>
      <c r="JV66" s="886"/>
      <c r="JW66" s="886"/>
      <c r="JX66" s="886"/>
      <c r="JY66" s="886"/>
      <c r="JZ66" s="886"/>
      <c r="KA66" s="886"/>
      <c r="KB66" s="886"/>
      <c r="KC66" s="886"/>
      <c r="KD66" s="886"/>
      <c r="KE66" s="886"/>
      <c r="KF66" s="886"/>
      <c r="KG66" s="886"/>
      <c r="KH66" s="886"/>
      <c r="KI66" s="886"/>
      <c r="KJ66" s="886"/>
      <c r="KK66" s="886"/>
      <c r="KL66" s="886"/>
      <c r="KM66" s="886"/>
      <c r="KN66" s="886"/>
      <c r="KO66" s="886"/>
      <c r="KP66" s="886"/>
      <c r="KQ66" s="886"/>
      <c r="KR66" s="886"/>
      <c r="KS66" s="886"/>
      <c r="KT66" s="886"/>
      <c r="KU66" s="886"/>
      <c r="KV66" s="886"/>
      <c r="KW66" s="886"/>
      <c r="KX66" s="886"/>
      <c r="KY66" s="886"/>
      <c r="KZ66" s="886"/>
      <c r="LA66" s="886"/>
      <c r="LB66" s="886"/>
      <c r="LC66" s="886"/>
      <c r="LD66" s="886"/>
      <c r="LE66" s="886"/>
      <c r="LF66" s="886"/>
      <c r="LG66" s="886"/>
      <c r="LH66" s="886"/>
      <c r="LI66" s="886"/>
      <c r="LJ66" s="886"/>
      <c r="LK66" s="886"/>
      <c r="LL66" s="886"/>
      <c r="LM66" s="886"/>
      <c r="LN66" s="886"/>
      <c r="LO66" s="886"/>
      <c r="LP66" s="886"/>
      <c r="LQ66" s="886"/>
      <c r="LR66" s="886"/>
      <c r="LS66" s="886"/>
      <c r="LT66" s="886"/>
      <c r="LU66" s="886"/>
      <c r="LV66" s="886"/>
      <c r="LW66" s="886"/>
      <c r="LX66" s="886"/>
      <c r="LY66" s="886"/>
      <c r="LZ66" s="886"/>
      <c r="MA66" s="886"/>
      <c r="MB66" s="886"/>
      <c r="MC66" s="886"/>
      <c r="MD66" s="886"/>
      <c r="ME66" s="886"/>
      <c r="MF66" s="886"/>
      <c r="MG66" s="886"/>
      <c r="MH66" s="886"/>
      <c r="MI66" s="886"/>
      <c r="MJ66" s="886"/>
      <c r="MK66" s="886"/>
      <c r="ML66" s="886"/>
      <c r="MM66" s="886"/>
      <c r="MN66" s="886"/>
      <c r="MO66" s="886"/>
      <c r="MP66" s="886"/>
      <c r="MQ66" s="886"/>
      <c r="MR66" s="886"/>
      <c r="MS66" s="886"/>
      <c r="MT66" s="886"/>
      <c r="MU66" s="886"/>
      <c r="MV66" s="886"/>
      <c r="MW66" s="886"/>
      <c r="MX66" s="886"/>
      <c r="MY66" s="886"/>
      <c r="MZ66" s="886"/>
      <c r="NA66" s="886"/>
      <c r="NB66" s="886"/>
      <c r="NC66" s="886"/>
      <c r="ND66" s="886"/>
      <c r="NE66" s="886"/>
      <c r="NF66" s="886"/>
      <c r="NG66" s="886"/>
      <c r="NH66" s="886"/>
      <c r="NI66" s="886"/>
      <c r="NJ66" s="886"/>
      <c r="NK66" s="886"/>
      <c r="NL66" s="886"/>
      <c r="NM66" s="886"/>
      <c r="NN66" s="886"/>
      <c r="NO66" s="886"/>
      <c r="NP66" s="886"/>
      <c r="NQ66" s="886"/>
      <c r="NR66" s="886"/>
      <c r="NS66" s="886"/>
      <c r="NT66" s="886"/>
      <c r="NU66" s="886"/>
      <c r="NV66" s="886"/>
      <c r="NW66" s="886"/>
      <c r="NX66" s="886"/>
      <c r="NY66" s="886"/>
      <c r="NZ66" s="886"/>
      <c r="OA66" s="886"/>
      <c r="OB66" s="886"/>
      <c r="OC66" s="886"/>
      <c r="OD66" s="886"/>
      <c r="OE66" s="886"/>
      <c r="OF66" s="886"/>
      <c r="OG66" s="886"/>
      <c r="OH66" s="886"/>
      <c r="OI66" s="886"/>
      <c r="OJ66" s="886"/>
      <c r="OK66" s="886"/>
      <c r="OL66" s="886"/>
      <c r="OM66" s="886"/>
      <c r="ON66" s="886"/>
      <c r="OO66" s="886"/>
      <c r="OP66" s="886"/>
      <c r="OQ66" s="886"/>
      <c r="OR66" s="886"/>
      <c r="OS66" s="886"/>
      <c r="OT66" s="886"/>
      <c r="OU66" s="886"/>
      <c r="OV66" s="886"/>
      <c r="OW66" s="886"/>
      <c r="OX66" s="886"/>
      <c r="OY66" s="886"/>
      <c r="OZ66" s="886"/>
      <c r="PA66" s="886"/>
      <c r="PB66" s="886"/>
      <c r="PC66" s="886"/>
      <c r="PD66" s="886"/>
      <c r="PE66" s="886"/>
      <c r="PF66" s="886"/>
      <c r="PG66" s="886"/>
      <c r="PH66" s="886"/>
      <c r="PI66" s="886"/>
      <c r="PJ66" s="886"/>
      <c r="PK66" s="886"/>
      <c r="PL66" s="886"/>
      <c r="PM66" s="886"/>
      <c r="PN66" s="886"/>
      <c r="PO66" s="886"/>
      <c r="PP66" s="886"/>
      <c r="PQ66" s="886"/>
      <c r="PR66" s="886"/>
      <c r="PS66" s="886"/>
      <c r="PT66" s="886"/>
      <c r="PU66" s="886"/>
      <c r="PV66" s="886"/>
      <c r="PW66" s="886"/>
      <c r="PX66" s="886"/>
      <c r="PY66" s="886"/>
      <c r="PZ66" s="886"/>
      <c r="QA66" s="886"/>
      <c r="QB66" s="886"/>
      <c r="QC66" s="886"/>
      <c r="QD66" s="886"/>
      <c r="QE66" s="886"/>
      <c r="QF66" s="886"/>
      <c r="QG66" s="886"/>
      <c r="QH66" s="886"/>
      <c r="QI66" s="886"/>
      <c r="QJ66" s="886"/>
      <c r="QK66" s="886"/>
      <c r="QL66" s="886"/>
      <c r="QM66" s="886"/>
      <c r="QN66" s="886"/>
      <c r="QO66" s="886"/>
      <c r="QP66" s="886"/>
      <c r="QQ66" s="886"/>
      <c r="QR66" s="886"/>
      <c r="QS66" s="886"/>
      <c r="QT66" s="886"/>
      <c r="QU66" s="886"/>
      <c r="QV66" s="886"/>
      <c r="QW66" s="886"/>
      <c r="QX66" s="886"/>
      <c r="QY66" s="886"/>
      <c r="QZ66" s="886"/>
      <c r="RA66" s="886"/>
      <c r="RB66" s="886"/>
      <c r="RC66" s="886"/>
      <c r="RD66" s="886"/>
      <c r="RE66" s="886"/>
      <c r="RF66" s="886"/>
      <c r="RG66" s="886"/>
      <c r="RH66" s="886"/>
      <c r="RI66" s="886"/>
      <c r="RJ66" s="886"/>
      <c r="RK66" s="886"/>
      <c r="RL66" s="886"/>
      <c r="RM66" s="886"/>
      <c r="RN66" s="886"/>
      <c r="RO66" s="886"/>
      <c r="RP66" s="886"/>
      <c r="RQ66" s="886"/>
      <c r="RR66" s="886"/>
      <c r="RS66" s="886"/>
      <c r="RT66" s="886"/>
      <c r="RU66" s="886"/>
      <c r="RV66" s="886"/>
      <c r="RW66" s="886"/>
      <c r="RX66" s="886"/>
      <c r="RY66" s="886"/>
      <c r="RZ66" s="886"/>
      <c r="SA66" s="886"/>
      <c r="SB66" s="886"/>
      <c r="SC66" s="886"/>
      <c r="SD66" s="886"/>
      <c r="SE66" s="886"/>
      <c r="SF66" s="886"/>
      <c r="SG66" s="886"/>
      <c r="SH66" s="886"/>
      <c r="SI66" s="886"/>
      <c r="SJ66" s="886"/>
      <c r="SK66" s="886"/>
      <c r="SL66" s="886"/>
      <c r="SM66" s="886"/>
      <c r="SN66" s="886"/>
      <c r="SO66" s="886"/>
      <c r="SP66" s="886"/>
      <c r="SQ66" s="886"/>
      <c r="SR66" s="886"/>
      <c r="SS66" s="886"/>
      <c r="ST66" s="886"/>
      <c r="SU66" s="886"/>
      <c r="SV66" s="886"/>
      <c r="SW66" s="886"/>
      <c r="SX66" s="886"/>
      <c r="SY66" s="886"/>
      <c r="SZ66" s="886"/>
      <c r="TA66" s="886"/>
      <c r="TB66" s="886"/>
      <c r="TC66" s="886"/>
      <c r="TD66" s="886"/>
      <c r="TE66" s="886"/>
      <c r="TF66" s="886"/>
      <c r="TG66" s="886"/>
      <c r="TH66" s="886"/>
      <c r="TI66" s="886"/>
      <c r="TJ66" s="886"/>
      <c r="TK66" s="886"/>
      <c r="TL66" s="886"/>
      <c r="TM66" s="886"/>
      <c r="TN66" s="886"/>
      <c r="TO66" s="886"/>
      <c r="TP66" s="886"/>
      <c r="TQ66" s="886"/>
      <c r="TR66" s="886"/>
      <c r="TS66" s="886"/>
      <c r="TT66" s="886"/>
      <c r="TU66" s="886"/>
      <c r="TV66" s="886"/>
      <c r="TW66" s="886"/>
      <c r="TX66" s="886"/>
      <c r="TY66" s="886"/>
      <c r="TZ66" s="886"/>
      <c r="UA66" s="886"/>
      <c r="UB66" s="886"/>
      <c r="UC66" s="886"/>
      <c r="UD66" s="886"/>
      <c r="UE66" s="886"/>
      <c r="UF66" s="886"/>
      <c r="UG66" s="886"/>
      <c r="UH66" s="886"/>
      <c r="UI66" s="886"/>
      <c r="UJ66" s="886"/>
      <c r="UK66" s="886"/>
      <c r="UL66" s="886"/>
      <c r="UM66" s="886"/>
      <c r="UN66" s="886"/>
      <c r="UO66" s="886"/>
      <c r="UP66" s="886"/>
      <c r="UQ66" s="886"/>
      <c r="UR66" s="886"/>
      <c r="US66" s="886"/>
      <c r="UT66" s="886"/>
      <c r="UU66" s="886"/>
      <c r="UV66" s="886"/>
      <c r="UW66" s="886"/>
      <c r="UX66" s="886"/>
      <c r="UY66" s="886"/>
      <c r="UZ66" s="886"/>
      <c r="VA66" s="886"/>
      <c r="VB66" s="886"/>
      <c r="VC66" s="886"/>
      <c r="VD66" s="886"/>
      <c r="VE66" s="886"/>
      <c r="VF66" s="886"/>
      <c r="VG66" s="886"/>
      <c r="VH66" s="886"/>
      <c r="VI66" s="886"/>
      <c r="VJ66" s="886"/>
      <c r="VK66" s="886"/>
      <c r="VL66" s="886"/>
      <c r="VM66" s="886"/>
      <c r="VN66" s="886"/>
      <c r="VO66" s="886"/>
      <c r="VP66" s="886"/>
      <c r="VQ66" s="886"/>
      <c r="VR66" s="886"/>
      <c r="VS66" s="886"/>
      <c r="VT66" s="886"/>
      <c r="VU66" s="886"/>
      <c r="VV66" s="886"/>
      <c r="VW66" s="886"/>
      <c r="VX66" s="886"/>
      <c r="VY66" s="886"/>
      <c r="VZ66" s="886"/>
      <c r="WA66" s="886"/>
      <c r="WB66" s="886"/>
      <c r="WC66" s="886"/>
      <c r="WD66" s="886"/>
      <c r="WE66" s="886"/>
      <c r="WF66" s="886"/>
      <c r="WG66" s="886"/>
      <c r="WH66" s="886"/>
      <c r="WI66" s="886"/>
      <c r="WJ66" s="886"/>
      <c r="WK66" s="886"/>
      <c r="WL66" s="886"/>
      <c r="WM66" s="886"/>
      <c r="WN66" s="886"/>
      <c r="WO66" s="886"/>
      <c r="WP66" s="886"/>
      <c r="WQ66" s="886"/>
      <c r="WR66" s="886"/>
      <c r="WS66" s="886"/>
      <c r="WT66" s="886"/>
      <c r="WU66" s="886"/>
      <c r="WV66" s="886"/>
      <c r="WW66" s="886"/>
      <c r="WX66" s="886"/>
      <c r="WY66" s="886"/>
      <c r="WZ66" s="886"/>
      <c r="XA66" s="886"/>
      <c r="XB66" s="886"/>
      <c r="XC66" s="886"/>
      <c r="XD66" s="886"/>
      <c r="XE66" s="886"/>
      <c r="XF66" s="886"/>
      <c r="XG66" s="886"/>
      <c r="XH66" s="886"/>
      <c r="XI66" s="886"/>
      <c r="XJ66" s="886"/>
      <c r="XK66" s="886"/>
      <c r="XL66" s="886"/>
      <c r="XM66" s="886"/>
      <c r="XN66" s="886"/>
      <c r="XO66" s="886"/>
      <c r="XP66" s="886"/>
      <c r="XQ66" s="886"/>
      <c r="XR66" s="886"/>
      <c r="XS66" s="886"/>
      <c r="XT66" s="886"/>
      <c r="XU66" s="886"/>
      <c r="XV66" s="886"/>
      <c r="XW66" s="886"/>
      <c r="XX66" s="886"/>
      <c r="XY66" s="886"/>
      <c r="XZ66" s="886"/>
      <c r="YA66" s="886"/>
      <c r="YB66" s="886"/>
      <c r="YC66" s="886"/>
      <c r="YD66" s="886"/>
      <c r="YE66" s="886"/>
      <c r="YF66" s="886"/>
      <c r="YG66" s="886"/>
      <c r="YH66" s="886"/>
      <c r="YI66" s="886"/>
      <c r="YJ66" s="886"/>
      <c r="YK66" s="886"/>
      <c r="YL66" s="886"/>
      <c r="YM66" s="886"/>
      <c r="YN66" s="886"/>
      <c r="YO66" s="886"/>
      <c r="YP66" s="886"/>
      <c r="YQ66" s="886"/>
      <c r="YR66" s="886"/>
      <c r="YS66" s="886"/>
      <c r="YT66" s="886"/>
      <c r="YU66" s="886"/>
      <c r="YV66" s="886"/>
      <c r="YW66" s="886"/>
      <c r="YX66" s="886"/>
      <c r="YY66" s="886"/>
      <c r="YZ66" s="886"/>
      <c r="ZA66" s="886"/>
      <c r="ZB66" s="886"/>
      <c r="ZC66" s="886"/>
      <c r="ZD66" s="886"/>
      <c r="ZE66" s="886"/>
      <c r="ZF66" s="886"/>
      <c r="ZG66" s="886"/>
      <c r="ZH66" s="886"/>
      <c r="ZI66" s="886"/>
      <c r="ZJ66" s="886"/>
      <c r="ZK66" s="886"/>
      <c r="ZL66" s="886"/>
      <c r="ZM66" s="886"/>
      <c r="ZN66" s="886"/>
      <c r="ZO66" s="886"/>
      <c r="ZP66" s="886"/>
      <c r="ZQ66" s="886"/>
      <c r="ZR66" s="886"/>
      <c r="ZS66" s="886"/>
      <c r="ZT66" s="886"/>
      <c r="ZU66" s="886"/>
      <c r="ZV66" s="886"/>
      <c r="ZW66" s="886"/>
      <c r="ZX66" s="886"/>
      <c r="ZY66" s="886"/>
      <c r="ZZ66" s="886"/>
      <c r="AAA66" s="886"/>
      <c r="AAB66" s="886"/>
      <c r="AAC66" s="886"/>
      <c r="AAD66" s="886"/>
      <c r="AAE66" s="886"/>
      <c r="AAF66" s="886"/>
      <c r="AAG66" s="886"/>
      <c r="AAH66" s="886"/>
      <c r="AAI66" s="886"/>
      <c r="AAJ66" s="886"/>
      <c r="AAK66" s="886"/>
      <c r="AAL66" s="886"/>
      <c r="AAM66" s="886"/>
      <c r="AAN66" s="886"/>
      <c r="AAO66" s="886"/>
      <c r="AAP66" s="886"/>
      <c r="AAQ66" s="886"/>
      <c r="AAR66" s="886"/>
      <c r="AAS66" s="886"/>
      <c r="AAT66" s="886"/>
      <c r="AAU66" s="886"/>
      <c r="AAV66" s="886"/>
      <c r="AAW66" s="886"/>
      <c r="AAX66" s="886"/>
      <c r="AAY66" s="886"/>
      <c r="AAZ66" s="886"/>
      <c r="ABA66" s="886"/>
      <c r="ABB66" s="886"/>
      <c r="ABC66" s="886"/>
      <c r="ABD66" s="886"/>
      <c r="ABE66" s="886"/>
      <c r="ABF66" s="886"/>
      <c r="ABG66" s="886"/>
      <c r="ABH66" s="886"/>
      <c r="ABI66" s="886"/>
      <c r="ABJ66" s="886"/>
      <c r="ABK66" s="886"/>
      <c r="ABL66" s="886"/>
      <c r="ABM66" s="886"/>
      <c r="ABN66" s="886"/>
      <c r="ABO66" s="886"/>
      <c r="ABP66" s="886"/>
      <c r="ABQ66" s="886"/>
      <c r="ABR66" s="886"/>
      <c r="ABS66" s="886"/>
      <c r="ABT66" s="886"/>
      <c r="ABU66" s="886"/>
      <c r="ABV66" s="886"/>
      <c r="ABW66" s="886"/>
      <c r="ABX66" s="886"/>
      <c r="ABY66" s="886"/>
      <c r="ABZ66" s="886"/>
      <c r="ACA66" s="886"/>
      <c r="ACB66" s="886"/>
      <c r="ACC66" s="886"/>
      <c r="ACD66" s="886"/>
      <c r="ACE66" s="886"/>
      <c r="ACF66" s="886"/>
      <c r="ACG66" s="886"/>
      <c r="ACH66" s="886"/>
      <c r="ACI66" s="886"/>
      <c r="ACJ66" s="886"/>
      <c r="ACK66" s="886"/>
      <c r="ACL66" s="886"/>
      <c r="ACM66" s="886"/>
      <c r="ACN66" s="886"/>
      <c r="ACO66" s="886"/>
      <c r="ACP66" s="886"/>
      <c r="ACQ66" s="886"/>
      <c r="ACR66" s="886"/>
      <c r="ACS66" s="886"/>
      <c r="ACT66" s="886"/>
      <c r="ACU66" s="886"/>
      <c r="ACV66" s="886"/>
      <c r="ACW66" s="886"/>
      <c r="ACX66" s="886"/>
      <c r="ACY66" s="886"/>
      <c r="ACZ66" s="886"/>
      <c r="ADA66" s="886"/>
      <c r="ADB66" s="886"/>
      <c r="ADC66" s="886"/>
      <c r="ADD66" s="886"/>
      <c r="ADE66" s="886"/>
      <c r="ADF66" s="886"/>
      <c r="ADG66" s="886"/>
      <c r="ADH66" s="886"/>
      <c r="ADI66" s="886"/>
      <c r="ADJ66" s="886"/>
      <c r="ADK66" s="886"/>
      <c r="ADL66" s="886"/>
      <c r="ADM66" s="886"/>
      <c r="ADN66" s="886"/>
      <c r="ADO66" s="886"/>
      <c r="ADP66" s="886"/>
      <c r="ADQ66" s="886"/>
      <c r="ADR66" s="886"/>
      <c r="ADS66" s="886"/>
      <c r="ADT66" s="886"/>
      <c r="ADU66" s="886"/>
      <c r="ADV66" s="886"/>
      <c r="ADW66" s="886"/>
      <c r="ADX66" s="886"/>
      <c r="ADY66" s="886"/>
      <c r="ADZ66" s="886"/>
      <c r="AEA66" s="886"/>
      <c r="AEB66" s="886"/>
      <c r="AEC66" s="886"/>
      <c r="AED66" s="886"/>
      <c r="AEE66" s="886"/>
      <c r="AEF66" s="886"/>
      <c r="AEG66" s="886"/>
      <c r="AEH66" s="886"/>
      <c r="AEI66" s="886"/>
      <c r="AEJ66" s="886"/>
      <c r="AEK66" s="886"/>
      <c r="AEL66" s="886"/>
      <c r="AEM66" s="886"/>
      <c r="AEN66" s="886"/>
      <c r="AEO66" s="886"/>
      <c r="AEP66" s="886"/>
      <c r="AEQ66" s="886"/>
      <c r="AER66" s="886"/>
      <c r="AES66" s="886"/>
      <c r="AET66" s="886"/>
      <c r="AEU66" s="886"/>
      <c r="AEV66" s="886"/>
      <c r="AEW66" s="886"/>
      <c r="AEX66" s="886"/>
      <c r="AEY66" s="886"/>
      <c r="AEZ66" s="886"/>
      <c r="AFA66" s="886"/>
      <c r="AFB66" s="886"/>
      <c r="AFC66" s="886"/>
      <c r="AFD66" s="886"/>
      <c r="AFE66" s="886"/>
      <c r="AFF66" s="886"/>
      <c r="AFG66" s="886"/>
      <c r="AFH66" s="886"/>
      <c r="AFI66" s="886"/>
      <c r="AFJ66" s="886"/>
      <c r="AFK66" s="886"/>
      <c r="AFL66" s="886"/>
      <c r="AFM66" s="886"/>
      <c r="AFN66" s="886"/>
      <c r="AFO66" s="886"/>
      <c r="AFP66" s="886"/>
      <c r="AFQ66" s="886"/>
      <c r="AFR66" s="886"/>
      <c r="AFS66" s="886"/>
      <c r="AFT66" s="886"/>
      <c r="AFU66" s="886"/>
      <c r="AFV66" s="886"/>
      <c r="AFW66" s="886"/>
      <c r="AFX66" s="886"/>
      <c r="AFY66" s="886"/>
      <c r="AFZ66" s="886"/>
      <c r="AGA66" s="886"/>
      <c r="AGB66" s="886"/>
      <c r="AGC66" s="886"/>
      <c r="AGD66" s="886"/>
      <c r="AGE66" s="886"/>
      <c r="AGF66" s="886"/>
      <c r="AGG66" s="886"/>
      <c r="AGH66" s="886"/>
      <c r="AGI66" s="886"/>
      <c r="AGJ66" s="886"/>
      <c r="AGK66" s="886"/>
      <c r="AGL66" s="886"/>
      <c r="AGM66" s="886"/>
      <c r="AGN66" s="886"/>
      <c r="AGO66" s="886"/>
      <c r="AGP66" s="886"/>
      <c r="AGQ66" s="886"/>
      <c r="AGR66" s="886"/>
      <c r="AGS66" s="886"/>
      <c r="AGT66" s="886"/>
      <c r="AGU66" s="886"/>
      <c r="AGV66" s="886"/>
      <c r="AGW66" s="886"/>
      <c r="AGX66" s="886"/>
      <c r="AGY66" s="886"/>
      <c r="AGZ66" s="886"/>
      <c r="AHA66" s="886"/>
      <c r="AHB66" s="886"/>
      <c r="AHC66" s="886"/>
      <c r="AHD66" s="886"/>
      <c r="AHE66" s="886"/>
      <c r="AHF66" s="886"/>
      <c r="AHG66" s="886"/>
      <c r="AHH66" s="886"/>
      <c r="AHI66" s="886"/>
      <c r="AHJ66" s="886"/>
      <c r="AHK66" s="886"/>
      <c r="AHL66" s="886"/>
      <c r="AHM66" s="886"/>
      <c r="AHN66" s="886"/>
      <c r="AHO66" s="886"/>
      <c r="AHP66" s="886"/>
      <c r="AHQ66" s="886"/>
      <c r="AHR66" s="886"/>
      <c r="AHS66" s="886"/>
      <c r="AHT66" s="886"/>
      <c r="AHU66" s="886"/>
      <c r="AHV66" s="886"/>
      <c r="AHW66" s="886"/>
      <c r="AHX66" s="886"/>
      <c r="AHY66" s="886"/>
      <c r="AHZ66" s="886"/>
      <c r="AIA66" s="886"/>
      <c r="AIB66" s="886"/>
      <c r="AIC66" s="886"/>
      <c r="AID66" s="886"/>
      <c r="AIE66" s="886"/>
      <c r="AIF66" s="886"/>
      <c r="AIG66" s="886"/>
      <c r="AIH66" s="886"/>
      <c r="AII66" s="886"/>
      <c r="AIJ66" s="886"/>
      <c r="AIK66" s="886"/>
      <c r="AIL66" s="886"/>
      <c r="AIM66" s="886"/>
      <c r="AIN66" s="886"/>
      <c r="AIO66" s="886"/>
      <c r="AIP66" s="886"/>
      <c r="AIQ66" s="886"/>
      <c r="AIR66" s="886"/>
      <c r="AIS66" s="886"/>
      <c r="AIT66" s="886"/>
      <c r="AIU66" s="886"/>
      <c r="AIV66" s="886"/>
      <c r="AIW66" s="886"/>
      <c r="AIX66" s="886"/>
      <c r="AIY66" s="886"/>
      <c r="AIZ66" s="886"/>
      <c r="AJA66" s="886"/>
      <c r="AJB66" s="886"/>
      <c r="AJC66" s="886"/>
      <c r="AJD66" s="886"/>
      <c r="AJE66" s="886"/>
      <c r="AJF66" s="886"/>
      <c r="AJG66" s="886"/>
      <c r="AJH66" s="886"/>
      <c r="AJI66" s="886"/>
      <c r="AJJ66" s="886"/>
      <c r="AJK66" s="886"/>
      <c r="AJL66" s="886"/>
      <c r="AJM66" s="886"/>
      <c r="AJN66" s="886"/>
      <c r="AJO66" s="886"/>
      <c r="AJP66" s="886"/>
      <c r="AJQ66" s="886"/>
      <c r="AJR66" s="886"/>
      <c r="AJS66" s="886"/>
      <c r="AJT66" s="886"/>
      <c r="AJU66" s="886"/>
      <c r="AJV66" s="886"/>
      <c r="AJW66" s="886"/>
      <c r="AJX66" s="886"/>
      <c r="AJY66" s="886"/>
      <c r="AJZ66" s="886"/>
      <c r="AKA66" s="886"/>
      <c r="AKB66" s="886"/>
      <c r="AKC66" s="886"/>
      <c r="AKD66" s="886"/>
      <c r="AKE66" s="886"/>
      <c r="AKF66" s="886"/>
      <c r="AKG66" s="886"/>
      <c r="AKH66" s="886"/>
      <c r="AKI66" s="886"/>
      <c r="AKJ66" s="886"/>
      <c r="AKK66" s="886"/>
      <c r="AKL66" s="886"/>
      <c r="AKM66" s="886"/>
      <c r="AKN66" s="886"/>
      <c r="AKO66" s="886"/>
      <c r="AKP66" s="886"/>
      <c r="AKQ66" s="886"/>
      <c r="AKR66" s="886"/>
      <c r="AKS66" s="886"/>
      <c r="AKT66" s="886"/>
      <c r="AKU66" s="886"/>
      <c r="AKV66" s="886"/>
      <c r="AKW66" s="886"/>
      <c r="AKX66" s="886"/>
      <c r="AKY66" s="886"/>
      <c r="AKZ66" s="886"/>
      <c r="ALA66" s="886"/>
      <c r="ALB66" s="886"/>
      <c r="ALC66" s="886"/>
      <c r="ALD66" s="886"/>
      <c r="ALE66" s="886"/>
      <c r="ALF66" s="886"/>
      <c r="ALG66" s="886"/>
      <c r="ALH66" s="886"/>
      <c r="ALI66" s="886"/>
      <c r="ALJ66" s="886"/>
      <c r="ALK66" s="886"/>
      <c r="ALL66" s="886"/>
      <c r="ALM66" s="886"/>
      <c r="ALN66" s="886"/>
      <c r="ALO66" s="886"/>
      <c r="ALP66" s="886"/>
      <c r="ALQ66" s="886"/>
      <c r="ALR66" s="886"/>
      <c r="ALS66" s="886"/>
      <c r="ALT66" s="886"/>
      <c r="ALU66" s="886"/>
      <c r="ALV66" s="886"/>
      <c r="ALW66" s="886"/>
      <c r="ALX66" s="886"/>
      <c r="ALY66" s="886"/>
      <c r="ALZ66" s="886"/>
      <c r="AMA66" s="886"/>
      <c r="AMB66" s="886"/>
      <c r="AMC66" s="886"/>
      <c r="AMD66" s="886"/>
      <c r="AME66" s="886"/>
      <c r="AMF66" s="886"/>
      <c r="AMG66" s="886"/>
      <c r="AMH66" s="886"/>
      <c r="AMI66" s="886"/>
      <c r="AMJ66" s="886"/>
      <c r="AMK66" s="886"/>
      <c r="AML66" s="886"/>
      <c r="AMM66" s="886"/>
      <c r="AMN66" s="886"/>
      <c r="AMO66" s="886"/>
      <c r="AMP66" s="886"/>
      <c r="AMQ66" s="886"/>
      <c r="AMR66" s="886"/>
      <c r="AMS66" s="886"/>
      <c r="AMT66" s="886"/>
      <c r="AMU66" s="886"/>
      <c r="AMV66" s="886"/>
      <c r="AMW66" s="886"/>
      <c r="AMX66" s="886"/>
      <c r="AMY66" s="886"/>
      <c r="AMZ66" s="886"/>
      <c r="ANA66" s="886"/>
      <c r="ANB66" s="886"/>
      <c r="ANC66" s="886"/>
      <c r="AND66" s="886"/>
      <c r="ANE66" s="886"/>
      <c r="ANF66" s="886"/>
      <c r="ANG66" s="886"/>
      <c r="ANH66" s="886"/>
      <c r="ANI66" s="886"/>
      <c r="ANJ66" s="886"/>
      <c r="ANK66" s="886"/>
      <c r="ANL66" s="886"/>
      <c r="ANM66" s="886"/>
      <c r="ANN66" s="886"/>
      <c r="ANO66" s="886"/>
      <c r="ANP66" s="886"/>
      <c r="ANQ66" s="886"/>
      <c r="ANR66" s="886"/>
      <c r="ANS66" s="886"/>
      <c r="ANT66" s="886"/>
      <c r="ANU66" s="886"/>
      <c r="ANV66" s="886"/>
      <c r="ANW66" s="886"/>
      <c r="ANX66" s="886"/>
      <c r="ANY66" s="886"/>
      <c r="ANZ66" s="886"/>
      <c r="AOA66" s="886"/>
      <c r="AOB66" s="886"/>
      <c r="AOC66" s="886"/>
      <c r="AOD66" s="886"/>
      <c r="AOE66" s="886"/>
      <c r="AOF66" s="886"/>
      <c r="AOG66" s="886"/>
      <c r="AOH66" s="886"/>
      <c r="AOI66" s="886"/>
      <c r="AOJ66" s="886"/>
      <c r="AOK66" s="886"/>
      <c r="AOL66" s="886"/>
      <c r="AOM66" s="886"/>
      <c r="AON66" s="886"/>
      <c r="AOO66" s="886"/>
      <c r="AOP66" s="886"/>
      <c r="AOQ66" s="886"/>
      <c r="AOR66" s="886"/>
      <c r="AOS66" s="886"/>
      <c r="AOT66" s="886"/>
      <c r="AOU66" s="886"/>
      <c r="AOV66" s="886"/>
      <c r="AOW66" s="886"/>
      <c r="AOX66" s="886"/>
      <c r="AOY66" s="886"/>
      <c r="AOZ66" s="886"/>
      <c r="APA66" s="886"/>
      <c r="APB66" s="886"/>
      <c r="APC66" s="886"/>
      <c r="APD66" s="886"/>
      <c r="APE66" s="886"/>
      <c r="APF66" s="886"/>
      <c r="APG66" s="886"/>
      <c r="APH66" s="886"/>
      <c r="API66" s="886"/>
      <c r="APJ66" s="886"/>
      <c r="APK66" s="886"/>
    </row>
    <row r="67" spans="1:1103" s="3" customFormat="1" ht="15" x14ac:dyDescent="0.25">
      <c r="B67" s="754" t="s">
        <v>492</v>
      </c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99"/>
      <c r="Q67" s="107"/>
      <c r="R67" s="106"/>
      <c r="S67" s="106"/>
      <c r="T67" s="106"/>
      <c r="U67" s="106"/>
      <c r="V67" s="106"/>
      <c r="W67" s="106"/>
      <c r="X67" s="106">
        <f>Batch4!D63</f>
        <v>14.76</v>
      </c>
      <c r="Y67" s="106">
        <f>Batch4!E63</f>
        <v>41.160719999999998</v>
      </c>
      <c r="Z67" s="106">
        <f>Batch4!F63</f>
        <v>54.7715064</v>
      </c>
      <c r="AA67" s="106">
        <f>Batch4!G63</f>
        <v>81.848292127999997</v>
      </c>
      <c r="AB67" s="108">
        <f>Batch4!H63</f>
        <v>136.87146657792002</v>
      </c>
      <c r="AC67" s="107">
        <f>Batch4!I63</f>
        <v>114.9720319254528</v>
      </c>
      <c r="AD67" s="106">
        <f>Batch4!J63</f>
        <v>182.59347123591857</v>
      </c>
      <c r="AE67" s="106">
        <f>Batch4!K63</f>
        <v>148.32450007073356</v>
      </c>
      <c r="AF67" s="106">
        <f>Batch4!L63</f>
        <v>33.295118831915644</v>
      </c>
      <c r="AG67" s="106">
        <f>Batch4!M63</f>
        <v>41.161983518138918</v>
      </c>
      <c r="AH67" s="106">
        <f>Batch4!N63</f>
        <v>48.997247565141976</v>
      </c>
      <c r="AI67" s="106">
        <f>Batch4!O63</f>
        <v>58.289741949967102</v>
      </c>
      <c r="AJ67" s="106">
        <f>Batch4!P63</f>
        <v>67.887737730538106</v>
      </c>
      <c r="AK67" s="106">
        <f>Batch4!Q63</f>
        <v>77.447108369019034</v>
      </c>
      <c r="AL67" s="106">
        <f>Batch4!R63</f>
        <v>87.650964502586689</v>
      </c>
      <c r="AM67" s="106">
        <f>Batch4!S63</f>
        <v>99.63137152861168</v>
      </c>
      <c r="AN67" s="108">
        <f>Batch4!T63</f>
        <v>113.26416952881289</v>
      </c>
      <c r="AO67" s="107">
        <f>Batch4!U63</f>
        <v>126.9551886035089</v>
      </c>
      <c r="AP67" s="106">
        <f>Batch4!V63</f>
        <v>143.97872525716122</v>
      </c>
      <c r="AQ67" s="106">
        <f>Batch4!W63</f>
        <v>162.28604364044827</v>
      </c>
      <c r="AR67" s="106">
        <f>Batch4!X63</f>
        <v>182.43160198558158</v>
      </c>
      <c r="AS67" s="106">
        <f>Batch4!Y63</f>
        <v>202.83267384609741</v>
      </c>
      <c r="AT67" s="106">
        <f>Batch4!Z63</f>
        <v>226.28807812217957</v>
      </c>
      <c r="AU67" s="106">
        <f>Batch4!AA63</f>
        <v>251.99664427288016</v>
      </c>
      <c r="AV67" s="106">
        <f>Batch4!AB63</f>
        <v>179.36984177761406</v>
      </c>
      <c r="AW67" s="106">
        <f>Batch4!AC63</f>
        <v>88.358167592338134</v>
      </c>
      <c r="AX67" s="106"/>
      <c r="AY67" s="106">
        <f>Batch4!AC63</f>
        <v>88.358167592338134</v>
      </c>
      <c r="AZ67" s="108">
        <f>Batch4!AD63</f>
        <v>0</v>
      </c>
      <c r="BA67" s="107">
        <f>Batch4!AE63</f>
        <v>0</v>
      </c>
      <c r="BB67" s="106">
        <f>Batch4!AF63</f>
        <v>0</v>
      </c>
      <c r="BC67" s="106">
        <f>Batch4!AG63</f>
        <v>0</v>
      </c>
      <c r="BD67" s="106">
        <f>Batch4!AH63</f>
        <v>0</v>
      </c>
      <c r="BE67" s="106">
        <f>Batch4!AI63</f>
        <v>0</v>
      </c>
      <c r="BF67" s="106">
        <f>Batch4!AJ63</f>
        <v>0</v>
      </c>
      <c r="BG67" s="106">
        <f>Batch4!AK63</f>
        <v>0</v>
      </c>
      <c r="BH67" s="106">
        <f>Batch4!AL63</f>
        <v>0</v>
      </c>
      <c r="BI67" s="106">
        <f>Batch4!AM63</f>
        <v>0</v>
      </c>
      <c r="BJ67" s="106">
        <f>Batch4!AN63</f>
        <v>0</v>
      </c>
      <c r="BK67" s="106">
        <f>Batch4!AO63</f>
        <v>0</v>
      </c>
      <c r="BL67" s="108">
        <f>Batch4!AP63</f>
        <v>0</v>
      </c>
      <c r="BM67" s="107">
        <f>Batch4!AQ63</f>
        <v>0</v>
      </c>
      <c r="BN67" s="106">
        <f>Batch4!AR63</f>
        <v>0</v>
      </c>
      <c r="BO67" s="106">
        <f>Batch4!AS63</f>
        <v>0</v>
      </c>
      <c r="BP67" s="106">
        <f>Batch4!AT63</f>
        <v>0</v>
      </c>
      <c r="BQ67" s="106">
        <f>Batch4!AU63</f>
        <v>0</v>
      </c>
      <c r="BR67" s="106">
        <f>Batch4!AV63</f>
        <v>0</v>
      </c>
      <c r="BS67" s="106">
        <f>Batch4!AW63</f>
        <v>0</v>
      </c>
      <c r="BT67" s="106">
        <f>Batch4!AX63</f>
        <v>0</v>
      </c>
      <c r="BU67" s="106">
        <f>Batch4!AY63</f>
        <v>0</v>
      </c>
      <c r="BV67" s="106">
        <f>Batch4!AZ63</f>
        <v>0</v>
      </c>
      <c r="BW67" s="106">
        <f>Batch4!BA63</f>
        <v>0</v>
      </c>
      <c r="BX67" s="108">
        <f>Batch4!BB63</f>
        <v>0</v>
      </c>
      <c r="BY67" s="107">
        <f>Batch4!BC63</f>
        <v>0</v>
      </c>
      <c r="BZ67" s="106">
        <f>Batch4!BD63</f>
        <v>0</v>
      </c>
      <c r="CA67" s="106">
        <f>Batch4!BE63</f>
        <v>0</v>
      </c>
      <c r="CB67" s="106">
        <f>Batch4!BF63</f>
        <v>0</v>
      </c>
      <c r="CC67" s="106">
        <f>Batch4!BG63</f>
        <v>0</v>
      </c>
      <c r="CD67" s="106">
        <f>Batch4!BH63</f>
        <v>0</v>
      </c>
      <c r="CE67" s="106">
        <f>Batch4!BI63</f>
        <v>0</v>
      </c>
      <c r="CF67" s="106">
        <f>Batch4!BJ63</f>
        <v>0</v>
      </c>
      <c r="CG67" s="106">
        <f>Batch4!BK63</f>
        <v>0</v>
      </c>
      <c r="CH67" s="106">
        <f>Batch4!BL63</f>
        <v>0</v>
      </c>
      <c r="CI67" s="106">
        <f>Batch4!BM63</f>
        <v>0</v>
      </c>
      <c r="CJ67" s="108">
        <f>Batch4!BN63</f>
        <v>0</v>
      </c>
      <c r="CK67" s="107">
        <f>Batch4!BO63</f>
        <v>0</v>
      </c>
      <c r="CL67" s="106">
        <f>Batch4!BP63</f>
        <v>0</v>
      </c>
      <c r="CM67" s="106">
        <f>Batch4!BQ63</f>
        <v>0</v>
      </c>
      <c r="CN67" s="106">
        <f>Batch4!BR63</f>
        <v>0</v>
      </c>
      <c r="CO67" s="106">
        <f>Batch4!BS63</f>
        <v>0</v>
      </c>
      <c r="CP67" s="106">
        <f>Batch4!BT63</f>
        <v>0</v>
      </c>
      <c r="CQ67" s="106">
        <f>Batch4!BU63</f>
        <v>0</v>
      </c>
      <c r="CR67" s="106">
        <f>Batch4!BV63</f>
        <v>0</v>
      </c>
      <c r="CS67" s="106">
        <f>Batch4!BW63</f>
        <v>0</v>
      </c>
      <c r="CT67" s="106">
        <f>Batch4!BX63</f>
        <v>0</v>
      </c>
      <c r="CU67" s="106">
        <f>Batch4!BY63</f>
        <v>0</v>
      </c>
      <c r="CV67" s="108">
        <f>Batch4!BZ63</f>
        <v>0</v>
      </c>
      <c r="CW67" s="107">
        <f>Batch4!CA63</f>
        <v>0</v>
      </c>
      <c r="CX67" s="106">
        <f>Batch4!CB63</f>
        <v>0</v>
      </c>
      <c r="CY67" s="106">
        <f>Batch4!CC63</f>
        <v>0</v>
      </c>
      <c r="CZ67" s="106">
        <f>Batch4!CD63</f>
        <v>0</v>
      </c>
      <c r="DA67" s="106">
        <f>Batch4!CE63</f>
        <v>0</v>
      </c>
      <c r="DB67" s="106">
        <f>Batch4!CF63</f>
        <v>0</v>
      </c>
      <c r="DC67" s="106">
        <f>Batch4!CG63</f>
        <v>0</v>
      </c>
      <c r="DD67" s="106">
        <f>Batch4!CH63</f>
        <v>0</v>
      </c>
      <c r="DE67" s="106">
        <f>Batch4!CI63</f>
        <v>0</v>
      </c>
      <c r="DF67" s="106">
        <f>Batch4!CJ63</f>
        <v>0</v>
      </c>
      <c r="DG67" s="106">
        <f>Batch4!CK63</f>
        <v>0</v>
      </c>
      <c r="DH67" s="108">
        <f>Batch4!CL63</f>
        <v>0</v>
      </c>
      <c r="DI67" s="107">
        <f>Batch4!CM63</f>
        <v>0</v>
      </c>
      <c r="DJ67" s="106">
        <f>Batch4!CN63</f>
        <v>0</v>
      </c>
      <c r="DK67" s="106">
        <f>Batch4!CO63</f>
        <v>0</v>
      </c>
      <c r="DL67" s="106">
        <f>Batch4!CP63</f>
        <v>0</v>
      </c>
      <c r="DM67" s="106">
        <f>Batch4!CQ63</f>
        <v>0</v>
      </c>
      <c r="DN67" s="106">
        <f>Batch4!CR63</f>
        <v>0</v>
      </c>
      <c r="DO67" s="106">
        <f>Batch4!CS63</f>
        <v>0</v>
      </c>
      <c r="DP67" s="106">
        <f>Batch4!CT63</f>
        <v>0</v>
      </c>
      <c r="DQ67" s="106">
        <f>Batch4!CU63</f>
        <v>0</v>
      </c>
      <c r="DR67" s="106">
        <f>Batch4!CV63</f>
        <v>0</v>
      </c>
      <c r="DS67" s="106">
        <f>Batch4!CW63</f>
        <v>0</v>
      </c>
      <c r="DT67" s="108">
        <f>Batch4!CX63</f>
        <v>0</v>
      </c>
      <c r="DU67" s="886"/>
      <c r="DV67" s="886"/>
      <c r="DW67" s="886"/>
      <c r="DX67" s="886"/>
      <c r="DY67" s="886"/>
      <c r="DZ67" s="886"/>
      <c r="EA67" s="886"/>
      <c r="EB67" s="886"/>
      <c r="EC67" s="886"/>
      <c r="ED67" s="886"/>
      <c r="EE67" s="886"/>
      <c r="EF67" s="886"/>
      <c r="EG67" s="886"/>
      <c r="EH67" s="886"/>
      <c r="EI67" s="886"/>
      <c r="EJ67" s="886"/>
      <c r="EK67" s="886"/>
      <c r="EL67" s="886"/>
      <c r="EM67" s="886"/>
      <c r="EN67" s="886"/>
      <c r="EO67" s="886"/>
      <c r="EP67" s="886"/>
      <c r="EQ67" s="886"/>
      <c r="ER67" s="886"/>
      <c r="ES67" s="886"/>
      <c r="ET67" s="886"/>
      <c r="EU67" s="886"/>
      <c r="EV67" s="886"/>
      <c r="EW67" s="886"/>
      <c r="EX67" s="886"/>
      <c r="EY67" s="886"/>
      <c r="EZ67" s="886"/>
      <c r="FA67" s="886"/>
      <c r="FB67" s="886"/>
      <c r="FC67" s="886"/>
      <c r="FD67" s="886"/>
      <c r="FE67" s="886"/>
      <c r="FF67" s="886"/>
      <c r="FG67" s="886"/>
      <c r="FH67" s="886"/>
      <c r="FI67" s="886"/>
      <c r="FJ67" s="886"/>
      <c r="FK67" s="886"/>
      <c r="FL67" s="886"/>
      <c r="FM67" s="886"/>
      <c r="FN67" s="886"/>
      <c r="FO67" s="886"/>
      <c r="FP67" s="886"/>
      <c r="FQ67" s="886"/>
      <c r="FR67" s="886"/>
      <c r="FS67" s="886"/>
      <c r="FT67" s="886"/>
      <c r="FU67" s="886"/>
      <c r="FV67" s="886"/>
      <c r="FW67" s="886"/>
      <c r="FX67" s="886"/>
      <c r="FY67" s="886"/>
      <c r="FZ67" s="886"/>
      <c r="GA67" s="886"/>
      <c r="GB67" s="886"/>
      <c r="GC67" s="886"/>
      <c r="GD67" s="886"/>
      <c r="GE67" s="886"/>
      <c r="GF67" s="886"/>
      <c r="GG67" s="886"/>
      <c r="GH67" s="886"/>
      <c r="GI67" s="886"/>
      <c r="GJ67" s="886"/>
      <c r="GK67" s="886"/>
      <c r="GL67" s="886"/>
      <c r="GM67" s="886"/>
      <c r="GN67" s="886"/>
      <c r="GO67" s="886"/>
      <c r="GP67" s="886"/>
      <c r="GQ67" s="886"/>
      <c r="GR67" s="886"/>
      <c r="GS67" s="886"/>
      <c r="GT67" s="886"/>
      <c r="GU67" s="886"/>
      <c r="GV67" s="886"/>
      <c r="GW67" s="886"/>
      <c r="GX67" s="886"/>
      <c r="GY67" s="886"/>
      <c r="GZ67" s="886"/>
      <c r="HA67" s="886"/>
      <c r="HB67" s="886"/>
      <c r="HC67" s="886"/>
      <c r="HD67" s="886"/>
      <c r="HE67" s="886"/>
      <c r="HF67" s="886"/>
      <c r="HG67" s="886"/>
      <c r="HH67" s="886"/>
      <c r="HI67" s="886"/>
      <c r="HJ67" s="886"/>
      <c r="HK67" s="886"/>
      <c r="HL67" s="886"/>
      <c r="HM67" s="886"/>
      <c r="HN67" s="886"/>
      <c r="HO67" s="886"/>
      <c r="HP67" s="886"/>
      <c r="HQ67" s="886"/>
      <c r="HR67" s="886"/>
      <c r="HS67" s="886"/>
      <c r="HT67" s="886"/>
      <c r="HU67" s="886"/>
      <c r="HV67" s="886"/>
      <c r="HW67" s="886"/>
      <c r="HX67" s="886"/>
      <c r="HY67" s="886"/>
      <c r="HZ67" s="886"/>
      <c r="IA67" s="886"/>
      <c r="IB67" s="886"/>
      <c r="IC67" s="886"/>
      <c r="ID67" s="886"/>
      <c r="IE67" s="886"/>
      <c r="IF67" s="886"/>
      <c r="IG67" s="886"/>
      <c r="IH67" s="886"/>
      <c r="II67" s="886"/>
      <c r="IJ67" s="886"/>
      <c r="IK67" s="886"/>
      <c r="IL67" s="886"/>
      <c r="IM67" s="886"/>
      <c r="IN67" s="886"/>
      <c r="IO67" s="886"/>
      <c r="IP67" s="886"/>
      <c r="IQ67" s="886"/>
      <c r="IR67" s="886"/>
      <c r="IS67" s="886"/>
      <c r="IT67" s="886"/>
      <c r="IU67" s="886"/>
      <c r="IV67" s="886"/>
      <c r="IW67" s="886"/>
      <c r="IX67" s="886"/>
      <c r="IY67" s="886"/>
      <c r="IZ67" s="886"/>
      <c r="JA67" s="886"/>
      <c r="JB67" s="886"/>
      <c r="JC67" s="886"/>
      <c r="JD67" s="886"/>
      <c r="JE67" s="886"/>
      <c r="JF67" s="886"/>
      <c r="JG67" s="886"/>
      <c r="JH67" s="886"/>
      <c r="JI67" s="886"/>
      <c r="JJ67" s="886"/>
      <c r="JK67" s="886"/>
      <c r="JL67" s="886"/>
      <c r="JM67" s="886"/>
      <c r="JN67" s="886"/>
      <c r="JO67" s="886"/>
      <c r="JP67" s="886"/>
      <c r="JQ67" s="886"/>
      <c r="JR67" s="886"/>
      <c r="JS67" s="886"/>
      <c r="JT67" s="886"/>
      <c r="JU67" s="886"/>
      <c r="JV67" s="886"/>
      <c r="JW67" s="886"/>
      <c r="JX67" s="886"/>
      <c r="JY67" s="886"/>
      <c r="JZ67" s="886"/>
      <c r="KA67" s="886"/>
      <c r="KB67" s="886"/>
      <c r="KC67" s="886"/>
      <c r="KD67" s="886"/>
      <c r="KE67" s="886"/>
      <c r="KF67" s="886"/>
      <c r="KG67" s="886"/>
      <c r="KH67" s="886"/>
      <c r="KI67" s="886"/>
      <c r="KJ67" s="886"/>
      <c r="KK67" s="886"/>
      <c r="KL67" s="886"/>
      <c r="KM67" s="886"/>
      <c r="KN67" s="886"/>
      <c r="KO67" s="886"/>
      <c r="KP67" s="886"/>
      <c r="KQ67" s="886"/>
      <c r="KR67" s="886"/>
      <c r="KS67" s="886"/>
      <c r="KT67" s="886"/>
      <c r="KU67" s="886"/>
      <c r="KV67" s="886"/>
      <c r="KW67" s="886"/>
      <c r="KX67" s="886"/>
      <c r="KY67" s="886"/>
      <c r="KZ67" s="886"/>
      <c r="LA67" s="886"/>
      <c r="LB67" s="886"/>
      <c r="LC67" s="886"/>
      <c r="LD67" s="886"/>
      <c r="LE67" s="886"/>
      <c r="LF67" s="886"/>
      <c r="LG67" s="886"/>
      <c r="LH67" s="886"/>
      <c r="LI67" s="886"/>
      <c r="LJ67" s="886"/>
      <c r="LK67" s="886"/>
      <c r="LL67" s="886"/>
      <c r="LM67" s="886"/>
      <c r="LN67" s="886"/>
      <c r="LO67" s="886"/>
      <c r="LP67" s="886"/>
      <c r="LQ67" s="886"/>
      <c r="LR67" s="886"/>
      <c r="LS67" s="886"/>
      <c r="LT67" s="886"/>
      <c r="LU67" s="886"/>
      <c r="LV67" s="886"/>
      <c r="LW67" s="886"/>
      <c r="LX67" s="886"/>
      <c r="LY67" s="886"/>
      <c r="LZ67" s="886"/>
      <c r="MA67" s="886"/>
      <c r="MB67" s="886"/>
      <c r="MC67" s="886"/>
      <c r="MD67" s="886"/>
      <c r="ME67" s="886"/>
      <c r="MF67" s="886"/>
      <c r="MG67" s="886"/>
      <c r="MH67" s="886"/>
      <c r="MI67" s="886"/>
      <c r="MJ67" s="886"/>
      <c r="MK67" s="886"/>
      <c r="ML67" s="886"/>
      <c r="MM67" s="886"/>
      <c r="MN67" s="886"/>
      <c r="MO67" s="886"/>
      <c r="MP67" s="886"/>
      <c r="MQ67" s="886"/>
      <c r="MR67" s="886"/>
      <c r="MS67" s="886"/>
      <c r="MT67" s="886"/>
      <c r="MU67" s="886"/>
      <c r="MV67" s="886"/>
      <c r="MW67" s="886"/>
      <c r="MX67" s="886"/>
      <c r="MY67" s="886"/>
      <c r="MZ67" s="886"/>
      <c r="NA67" s="886"/>
      <c r="NB67" s="886"/>
      <c r="NC67" s="886"/>
      <c r="ND67" s="886"/>
      <c r="NE67" s="886"/>
      <c r="NF67" s="886"/>
      <c r="NG67" s="886"/>
      <c r="NH67" s="886"/>
      <c r="NI67" s="886"/>
      <c r="NJ67" s="886"/>
      <c r="NK67" s="886"/>
      <c r="NL67" s="886"/>
      <c r="NM67" s="886"/>
      <c r="NN67" s="886"/>
      <c r="NO67" s="886"/>
      <c r="NP67" s="886"/>
      <c r="NQ67" s="886"/>
      <c r="NR67" s="886"/>
      <c r="NS67" s="886"/>
      <c r="NT67" s="886"/>
      <c r="NU67" s="886"/>
      <c r="NV67" s="886"/>
      <c r="NW67" s="886"/>
      <c r="NX67" s="886"/>
      <c r="NY67" s="886"/>
      <c r="NZ67" s="886"/>
      <c r="OA67" s="886"/>
      <c r="OB67" s="886"/>
      <c r="OC67" s="886"/>
      <c r="OD67" s="886"/>
      <c r="OE67" s="886"/>
      <c r="OF67" s="886"/>
      <c r="OG67" s="886"/>
      <c r="OH67" s="886"/>
      <c r="OI67" s="886"/>
      <c r="OJ67" s="886"/>
      <c r="OK67" s="886"/>
      <c r="OL67" s="886"/>
      <c r="OM67" s="886"/>
      <c r="ON67" s="886"/>
      <c r="OO67" s="886"/>
      <c r="OP67" s="886"/>
      <c r="OQ67" s="886"/>
      <c r="OR67" s="886"/>
      <c r="OS67" s="886"/>
      <c r="OT67" s="886"/>
      <c r="OU67" s="886"/>
      <c r="OV67" s="886"/>
      <c r="OW67" s="886"/>
      <c r="OX67" s="886"/>
      <c r="OY67" s="886"/>
      <c r="OZ67" s="886"/>
      <c r="PA67" s="886"/>
      <c r="PB67" s="886"/>
      <c r="PC67" s="886"/>
      <c r="PD67" s="886"/>
      <c r="PE67" s="886"/>
      <c r="PF67" s="886"/>
      <c r="PG67" s="886"/>
      <c r="PH67" s="886"/>
      <c r="PI67" s="886"/>
      <c r="PJ67" s="886"/>
      <c r="PK67" s="886"/>
      <c r="PL67" s="886"/>
      <c r="PM67" s="886"/>
      <c r="PN67" s="886"/>
      <c r="PO67" s="886"/>
      <c r="PP67" s="886"/>
      <c r="PQ67" s="886"/>
      <c r="PR67" s="886"/>
      <c r="PS67" s="886"/>
      <c r="PT67" s="886"/>
      <c r="PU67" s="886"/>
      <c r="PV67" s="886"/>
      <c r="PW67" s="886"/>
      <c r="PX67" s="886"/>
      <c r="PY67" s="886"/>
      <c r="PZ67" s="886"/>
      <c r="QA67" s="886"/>
      <c r="QB67" s="886"/>
      <c r="QC67" s="886"/>
      <c r="QD67" s="886"/>
      <c r="QE67" s="886"/>
      <c r="QF67" s="886"/>
      <c r="QG67" s="886"/>
      <c r="QH67" s="886"/>
      <c r="QI67" s="886"/>
      <c r="QJ67" s="886"/>
      <c r="QK67" s="886"/>
      <c r="QL67" s="886"/>
      <c r="QM67" s="886"/>
      <c r="QN67" s="886"/>
      <c r="QO67" s="886"/>
      <c r="QP67" s="886"/>
      <c r="QQ67" s="886"/>
      <c r="QR67" s="886"/>
      <c r="QS67" s="886"/>
      <c r="QT67" s="886"/>
      <c r="QU67" s="886"/>
      <c r="QV67" s="886"/>
      <c r="QW67" s="886"/>
      <c r="QX67" s="886"/>
      <c r="QY67" s="886"/>
      <c r="QZ67" s="886"/>
      <c r="RA67" s="886"/>
      <c r="RB67" s="886"/>
      <c r="RC67" s="886"/>
      <c r="RD67" s="886"/>
      <c r="RE67" s="886"/>
      <c r="RF67" s="886"/>
      <c r="RG67" s="886"/>
      <c r="RH67" s="886"/>
      <c r="RI67" s="886"/>
      <c r="RJ67" s="886"/>
      <c r="RK67" s="886"/>
      <c r="RL67" s="886"/>
      <c r="RM67" s="886"/>
      <c r="RN67" s="886"/>
      <c r="RO67" s="886"/>
      <c r="RP67" s="886"/>
      <c r="RQ67" s="886"/>
      <c r="RR67" s="886"/>
      <c r="RS67" s="886"/>
      <c r="RT67" s="886"/>
      <c r="RU67" s="886"/>
      <c r="RV67" s="886"/>
      <c r="RW67" s="886"/>
      <c r="RX67" s="886"/>
      <c r="RY67" s="886"/>
      <c r="RZ67" s="886"/>
      <c r="SA67" s="886"/>
      <c r="SB67" s="886"/>
      <c r="SC67" s="886"/>
      <c r="SD67" s="886"/>
      <c r="SE67" s="886"/>
      <c r="SF67" s="886"/>
      <c r="SG67" s="886"/>
      <c r="SH67" s="886"/>
      <c r="SI67" s="886"/>
      <c r="SJ67" s="886"/>
      <c r="SK67" s="886"/>
      <c r="SL67" s="886"/>
      <c r="SM67" s="886"/>
      <c r="SN67" s="886"/>
      <c r="SO67" s="886"/>
      <c r="SP67" s="886"/>
      <c r="SQ67" s="886"/>
      <c r="SR67" s="886"/>
      <c r="SS67" s="886"/>
      <c r="ST67" s="886"/>
      <c r="SU67" s="886"/>
      <c r="SV67" s="886"/>
      <c r="SW67" s="886"/>
      <c r="SX67" s="886"/>
      <c r="SY67" s="886"/>
      <c r="SZ67" s="886"/>
      <c r="TA67" s="886"/>
      <c r="TB67" s="886"/>
      <c r="TC67" s="886"/>
      <c r="TD67" s="886"/>
      <c r="TE67" s="886"/>
      <c r="TF67" s="886"/>
      <c r="TG67" s="886"/>
      <c r="TH67" s="886"/>
      <c r="TI67" s="886"/>
      <c r="TJ67" s="886"/>
      <c r="TK67" s="886"/>
      <c r="TL67" s="886"/>
      <c r="TM67" s="886"/>
      <c r="TN67" s="886"/>
      <c r="TO67" s="886"/>
      <c r="TP67" s="886"/>
      <c r="TQ67" s="886"/>
      <c r="TR67" s="886"/>
      <c r="TS67" s="886"/>
      <c r="TT67" s="886"/>
      <c r="TU67" s="886"/>
      <c r="TV67" s="886"/>
      <c r="TW67" s="886"/>
      <c r="TX67" s="886"/>
      <c r="TY67" s="886"/>
      <c r="TZ67" s="886"/>
      <c r="UA67" s="886"/>
      <c r="UB67" s="886"/>
      <c r="UC67" s="886"/>
      <c r="UD67" s="886"/>
      <c r="UE67" s="886"/>
      <c r="UF67" s="886"/>
      <c r="UG67" s="886"/>
      <c r="UH67" s="886"/>
      <c r="UI67" s="886"/>
      <c r="UJ67" s="886"/>
      <c r="UK67" s="886"/>
      <c r="UL67" s="886"/>
      <c r="UM67" s="886"/>
      <c r="UN67" s="886"/>
      <c r="UO67" s="886"/>
      <c r="UP67" s="886"/>
      <c r="UQ67" s="886"/>
      <c r="UR67" s="886"/>
      <c r="US67" s="886"/>
      <c r="UT67" s="886"/>
      <c r="UU67" s="886"/>
      <c r="UV67" s="886"/>
      <c r="UW67" s="886"/>
      <c r="UX67" s="886"/>
      <c r="UY67" s="886"/>
      <c r="UZ67" s="886"/>
      <c r="VA67" s="886"/>
      <c r="VB67" s="886"/>
      <c r="VC67" s="886"/>
      <c r="VD67" s="886"/>
      <c r="VE67" s="886"/>
      <c r="VF67" s="886"/>
      <c r="VG67" s="886"/>
      <c r="VH67" s="886"/>
      <c r="VI67" s="886"/>
      <c r="VJ67" s="886"/>
      <c r="VK67" s="886"/>
      <c r="VL67" s="886"/>
      <c r="VM67" s="886"/>
      <c r="VN67" s="886"/>
      <c r="VO67" s="886"/>
      <c r="VP67" s="886"/>
      <c r="VQ67" s="886"/>
      <c r="VR67" s="886"/>
      <c r="VS67" s="886"/>
      <c r="VT67" s="886"/>
      <c r="VU67" s="886"/>
      <c r="VV67" s="886"/>
      <c r="VW67" s="886"/>
      <c r="VX67" s="886"/>
      <c r="VY67" s="886"/>
      <c r="VZ67" s="886"/>
      <c r="WA67" s="886"/>
      <c r="WB67" s="886"/>
      <c r="WC67" s="886"/>
      <c r="WD67" s="886"/>
      <c r="WE67" s="886"/>
      <c r="WF67" s="886"/>
      <c r="WG67" s="886"/>
      <c r="WH67" s="886"/>
      <c r="WI67" s="886"/>
      <c r="WJ67" s="886"/>
      <c r="WK67" s="886"/>
      <c r="WL67" s="886"/>
      <c r="WM67" s="886"/>
      <c r="WN67" s="886"/>
      <c r="WO67" s="886"/>
      <c r="WP67" s="886"/>
      <c r="WQ67" s="886"/>
      <c r="WR67" s="886"/>
      <c r="WS67" s="886"/>
      <c r="WT67" s="886"/>
      <c r="WU67" s="886"/>
      <c r="WV67" s="886"/>
      <c r="WW67" s="886"/>
      <c r="WX67" s="886"/>
      <c r="WY67" s="886"/>
      <c r="WZ67" s="886"/>
      <c r="XA67" s="886"/>
      <c r="XB67" s="886"/>
      <c r="XC67" s="886"/>
      <c r="XD67" s="886"/>
      <c r="XE67" s="886"/>
      <c r="XF67" s="886"/>
      <c r="XG67" s="886"/>
      <c r="XH67" s="886"/>
      <c r="XI67" s="886"/>
      <c r="XJ67" s="886"/>
      <c r="XK67" s="886"/>
      <c r="XL67" s="886"/>
      <c r="XM67" s="886"/>
      <c r="XN67" s="886"/>
      <c r="XO67" s="886"/>
      <c r="XP67" s="886"/>
      <c r="XQ67" s="886"/>
      <c r="XR67" s="886"/>
      <c r="XS67" s="886"/>
      <c r="XT67" s="886"/>
      <c r="XU67" s="886"/>
      <c r="XV67" s="886"/>
      <c r="XW67" s="886"/>
      <c r="XX67" s="886"/>
      <c r="XY67" s="886"/>
      <c r="XZ67" s="886"/>
      <c r="YA67" s="886"/>
      <c r="YB67" s="886"/>
      <c r="YC67" s="886"/>
      <c r="YD67" s="886"/>
      <c r="YE67" s="886"/>
      <c r="YF67" s="886"/>
      <c r="YG67" s="886"/>
      <c r="YH67" s="886"/>
      <c r="YI67" s="886"/>
      <c r="YJ67" s="886"/>
      <c r="YK67" s="886"/>
      <c r="YL67" s="886"/>
      <c r="YM67" s="886"/>
      <c r="YN67" s="886"/>
      <c r="YO67" s="886"/>
      <c r="YP67" s="886"/>
      <c r="YQ67" s="886"/>
      <c r="YR67" s="886"/>
      <c r="YS67" s="886"/>
      <c r="YT67" s="886"/>
      <c r="YU67" s="886"/>
      <c r="YV67" s="886"/>
      <c r="YW67" s="886"/>
      <c r="YX67" s="886"/>
      <c r="YY67" s="886"/>
      <c r="YZ67" s="886"/>
      <c r="ZA67" s="886"/>
      <c r="ZB67" s="886"/>
      <c r="ZC67" s="886"/>
      <c r="ZD67" s="886"/>
      <c r="ZE67" s="886"/>
      <c r="ZF67" s="886"/>
      <c r="ZG67" s="886"/>
      <c r="ZH67" s="886"/>
      <c r="ZI67" s="886"/>
      <c r="ZJ67" s="886"/>
      <c r="ZK67" s="886"/>
      <c r="ZL67" s="886"/>
      <c r="ZM67" s="886"/>
      <c r="ZN67" s="886"/>
      <c r="ZO67" s="886"/>
      <c r="ZP67" s="886"/>
      <c r="ZQ67" s="886"/>
      <c r="ZR67" s="886"/>
      <c r="ZS67" s="886"/>
      <c r="ZT67" s="886"/>
      <c r="ZU67" s="886"/>
      <c r="ZV67" s="886"/>
      <c r="ZW67" s="886"/>
      <c r="ZX67" s="886"/>
      <c r="ZY67" s="886"/>
      <c r="ZZ67" s="886"/>
      <c r="AAA67" s="886"/>
      <c r="AAB67" s="886"/>
      <c r="AAC67" s="886"/>
      <c r="AAD67" s="886"/>
      <c r="AAE67" s="886"/>
      <c r="AAF67" s="886"/>
      <c r="AAG67" s="886"/>
      <c r="AAH67" s="886"/>
      <c r="AAI67" s="886"/>
      <c r="AAJ67" s="886"/>
      <c r="AAK67" s="886"/>
      <c r="AAL67" s="886"/>
      <c r="AAM67" s="886"/>
      <c r="AAN67" s="886"/>
      <c r="AAO67" s="886"/>
      <c r="AAP67" s="886"/>
      <c r="AAQ67" s="886"/>
      <c r="AAR67" s="886"/>
      <c r="AAS67" s="886"/>
      <c r="AAT67" s="886"/>
      <c r="AAU67" s="886"/>
      <c r="AAV67" s="886"/>
      <c r="AAW67" s="886"/>
      <c r="AAX67" s="886"/>
      <c r="AAY67" s="886"/>
      <c r="AAZ67" s="886"/>
      <c r="ABA67" s="886"/>
      <c r="ABB67" s="886"/>
      <c r="ABC67" s="886"/>
      <c r="ABD67" s="886"/>
      <c r="ABE67" s="886"/>
      <c r="ABF67" s="886"/>
      <c r="ABG67" s="886"/>
      <c r="ABH67" s="886"/>
      <c r="ABI67" s="886"/>
      <c r="ABJ67" s="886"/>
      <c r="ABK67" s="886"/>
      <c r="ABL67" s="886"/>
      <c r="ABM67" s="886"/>
      <c r="ABN67" s="886"/>
      <c r="ABO67" s="886"/>
      <c r="ABP67" s="886"/>
      <c r="ABQ67" s="886"/>
      <c r="ABR67" s="886"/>
      <c r="ABS67" s="886"/>
      <c r="ABT67" s="886"/>
      <c r="ABU67" s="886"/>
      <c r="ABV67" s="886"/>
      <c r="ABW67" s="886"/>
      <c r="ABX67" s="886"/>
      <c r="ABY67" s="886"/>
      <c r="ABZ67" s="886"/>
      <c r="ACA67" s="886"/>
      <c r="ACB67" s="886"/>
      <c r="ACC67" s="886"/>
      <c r="ACD67" s="886"/>
      <c r="ACE67" s="886"/>
      <c r="ACF67" s="886"/>
      <c r="ACG67" s="886"/>
      <c r="ACH67" s="886"/>
      <c r="ACI67" s="886"/>
      <c r="ACJ67" s="886"/>
      <c r="ACK67" s="886"/>
      <c r="ACL67" s="886"/>
      <c r="ACM67" s="886"/>
      <c r="ACN67" s="886"/>
      <c r="ACO67" s="886"/>
      <c r="ACP67" s="886"/>
      <c r="ACQ67" s="886"/>
      <c r="ACR67" s="886"/>
      <c r="ACS67" s="886"/>
      <c r="ACT67" s="886"/>
      <c r="ACU67" s="886"/>
      <c r="ACV67" s="886"/>
      <c r="ACW67" s="886"/>
      <c r="ACX67" s="886"/>
      <c r="ACY67" s="886"/>
      <c r="ACZ67" s="886"/>
      <c r="ADA67" s="886"/>
      <c r="ADB67" s="886"/>
      <c r="ADC67" s="886"/>
      <c r="ADD67" s="886"/>
      <c r="ADE67" s="886"/>
      <c r="ADF67" s="886"/>
      <c r="ADG67" s="886"/>
      <c r="ADH67" s="886"/>
      <c r="ADI67" s="886"/>
      <c r="ADJ67" s="886"/>
      <c r="ADK67" s="886"/>
      <c r="ADL67" s="886"/>
      <c r="ADM67" s="886"/>
      <c r="ADN67" s="886"/>
      <c r="ADO67" s="886"/>
      <c r="ADP67" s="886"/>
      <c r="ADQ67" s="886"/>
      <c r="ADR67" s="886"/>
      <c r="ADS67" s="886"/>
      <c r="ADT67" s="886"/>
      <c r="ADU67" s="886"/>
      <c r="ADV67" s="886"/>
      <c r="ADW67" s="886"/>
      <c r="ADX67" s="886"/>
      <c r="ADY67" s="886"/>
      <c r="ADZ67" s="886"/>
      <c r="AEA67" s="886"/>
      <c r="AEB67" s="886"/>
      <c r="AEC67" s="886"/>
      <c r="AED67" s="886"/>
      <c r="AEE67" s="886"/>
      <c r="AEF67" s="886"/>
      <c r="AEG67" s="886"/>
      <c r="AEH67" s="886"/>
      <c r="AEI67" s="886"/>
      <c r="AEJ67" s="886"/>
      <c r="AEK67" s="886"/>
      <c r="AEL67" s="886"/>
      <c r="AEM67" s="886"/>
      <c r="AEN67" s="886"/>
      <c r="AEO67" s="886"/>
      <c r="AEP67" s="886"/>
      <c r="AEQ67" s="886"/>
      <c r="AER67" s="886"/>
      <c r="AES67" s="886"/>
      <c r="AET67" s="886"/>
      <c r="AEU67" s="886"/>
      <c r="AEV67" s="886"/>
      <c r="AEW67" s="886"/>
      <c r="AEX67" s="886"/>
      <c r="AEY67" s="886"/>
      <c r="AEZ67" s="886"/>
      <c r="AFA67" s="886"/>
      <c r="AFB67" s="886"/>
      <c r="AFC67" s="886"/>
      <c r="AFD67" s="886"/>
      <c r="AFE67" s="886"/>
      <c r="AFF67" s="886"/>
      <c r="AFG67" s="886"/>
      <c r="AFH67" s="886"/>
      <c r="AFI67" s="886"/>
      <c r="AFJ67" s="886"/>
      <c r="AFK67" s="886"/>
      <c r="AFL67" s="886"/>
      <c r="AFM67" s="886"/>
      <c r="AFN67" s="886"/>
      <c r="AFO67" s="886"/>
      <c r="AFP67" s="886"/>
      <c r="AFQ67" s="886"/>
      <c r="AFR67" s="886"/>
      <c r="AFS67" s="886"/>
      <c r="AFT67" s="886"/>
      <c r="AFU67" s="886"/>
      <c r="AFV67" s="886"/>
      <c r="AFW67" s="886"/>
      <c r="AFX67" s="886"/>
      <c r="AFY67" s="886"/>
      <c r="AFZ67" s="886"/>
      <c r="AGA67" s="886"/>
      <c r="AGB67" s="886"/>
      <c r="AGC67" s="886"/>
      <c r="AGD67" s="886"/>
      <c r="AGE67" s="886"/>
      <c r="AGF67" s="886"/>
      <c r="AGG67" s="886"/>
      <c r="AGH67" s="886"/>
      <c r="AGI67" s="886"/>
      <c r="AGJ67" s="886"/>
      <c r="AGK67" s="886"/>
      <c r="AGL67" s="886"/>
      <c r="AGM67" s="886"/>
      <c r="AGN67" s="886"/>
      <c r="AGO67" s="886"/>
      <c r="AGP67" s="886"/>
      <c r="AGQ67" s="886"/>
      <c r="AGR67" s="886"/>
      <c r="AGS67" s="886"/>
      <c r="AGT67" s="886"/>
      <c r="AGU67" s="886"/>
      <c r="AGV67" s="886"/>
      <c r="AGW67" s="886"/>
      <c r="AGX67" s="886"/>
      <c r="AGY67" s="886"/>
      <c r="AGZ67" s="886"/>
      <c r="AHA67" s="886"/>
      <c r="AHB67" s="886"/>
      <c r="AHC67" s="886"/>
      <c r="AHD67" s="886"/>
      <c r="AHE67" s="886"/>
      <c r="AHF67" s="886"/>
      <c r="AHG67" s="886"/>
      <c r="AHH67" s="886"/>
      <c r="AHI67" s="886"/>
      <c r="AHJ67" s="886"/>
      <c r="AHK67" s="886"/>
      <c r="AHL67" s="886"/>
      <c r="AHM67" s="886"/>
      <c r="AHN67" s="886"/>
      <c r="AHO67" s="886"/>
      <c r="AHP67" s="886"/>
      <c r="AHQ67" s="886"/>
      <c r="AHR67" s="886"/>
      <c r="AHS67" s="886"/>
      <c r="AHT67" s="886"/>
      <c r="AHU67" s="886"/>
      <c r="AHV67" s="886"/>
      <c r="AHW67" s="886"/>
      <c r="AHX67" s="886"/>
      <c r="AHY67" s="886"/>
      <c r="AHZ67" s="886"/>
      <c r="AIA67" s="886"/>
      <c r="AIB67" s="886"/>
      <c r="AIC67" s="886"/>
      <c r="AID67" s="886"/>
      <c r="AIE67" s="886"/>
      <c r="AIF67" s="886"/>
      <c r="AIG67" s="886"/>
      <c r="AIH67" s="886"/>
      <c r="AII67" s="886"/>
      <c r="AIJ67" s="886"/>
      <c r="AIK67" s="886"/>
      <c r="AIL67" s="886"/>
      <c r="AIM67" s="886"/>
      <c r="AIN67" s="886"/>
      <c r="AIO67" s="886"/>
      <c r="AIP67" s="886"/>
      <c r="AIQ67" s="886"/>
      <c r="AIR67" s="886"/>
      <c r="AIS67" s="886"/>
      <c r="AIT67" s="886"/>
      <c r="AIU67" s="886"/>
      <c r="AIV67" s="886"/>
      <c r="AIW67" s="886"/>
      <c r="AIX67" s="886"/>
      <c r="AIY67" s="886"/>
      <c r="AIZ67" s="886"/>
      <c r="AJA67" s="886"/>
      <c r="AJB67" s="886"/>
      <c r="AJC67" s="886"/>
      <c r="AJD67" s="886"/>
      <c r="AJE67" s="886"/>
      <c r="AJF67" s="886"/>
      <c r="AJG67" s="886"/>
      <c r="AJH67" s="886"/>
      <c r="AJI67" s="886"/>
      <c r="AJJ67" s="886"/>
      <c r="AJK67" s="886"/>
      <c r="AJL67" s="886"/>
      <c r="AJM67" s="886"/>
      <c r="AJN67" s="886"/>
      <c r="AJO67" s="886"/>
      <c r="AJP67" s="886"/>
      <c r="AJQ67" s="886"/>
      <c r="AJR67" s="886"/>
      <c r="AJS67" s="886"/>
      <c r="AJT67" s="886"/>
      <c r="AJU67" s="886"/>
      <c r="AJV67" s="886"/>
      <c r="AJW67" s="886"/>
      <c r="AJX67" s="886"/>
      <c r="AJY67" s="886"/>
      <c r="AJZ67" s="886"/>
      <c r="AKA67" s="886"/>
      <c r="AKB67" s="886"/>
      <c r="AKC67" s="886"/>
      <c r="AKD67" s="886"/>
      <c r="AKE67" s="886"/>
      <c r="AKF67" s="886"/>
      <c r="AKG67" s="886"/>
      <c r="AKH67" s="886"/>
      <c r="AKI67" s="886"/>
      <c r="AKJ67" s="886"/>
      <c r="AKK67" s="886"/>
      <c r="AKL67" s="886"/>
      <c r="AKM67" s="886"/>
      <c r="AKN67" s="886"/>
      <c r="AKO67" s="886"/>
      <c r="AKP67" s="886"/>
      <c r="AKQ67" s="886"/>
      <c r="AKR67" s="886"/>
      <c r="AKS67" s="886"/>
      <c r="AKT67" s="886"/>
      <c r="AKU67" s="886"/>
      <c r="AKV67" s="886"/>
      <c r="AKW67" s="886"/>
      <c r="AKX67" s="886"/>
      <c r="AKY67" s="886"/>
      <c r="AKZ67" s="886"/>
      <c r="ALA67" s="886"/>
      <c r="ALB67" s="886"/>
      <c r="ALC67" s="886"/>
      <c r="ALD67" s="886"/>
      <c r="ALE67" s="886"/>
      <c r="ALF67" s="886"/>
      <c r="ALG67" s="886"/>
      <c r="ALH67" s="886"/>
      <c r="ALI67" s="886"/>
      <c r="ALJ67" s="886"/>
      <c r="ALK67" s="886"/>
      <c r="ALL67" s="886"/>
      <c r="ALM67" s="886"/>
      <c r="ALN67" s="886"/>
      <c r="ALO67" s="886"/>
      <c r="ALP67" s="886"/>
      <c r="ALQ67" s="886"/>
      <c r="ALR67" s="886"/>
      <c r="ALS67" s="886"/>
      <c r="ALT67" s="886"/>
      <c r="ALU67" s="886"/>
      <c r="ALV67" s="886"/>
      <c r="ALW67" s="886"/>
      <c r="ALX67" s="886"/>
      <c r="ALY67" s="886"/>
      <c r="ALZ67" s="886"/>
      <c r="AMA67" s="886"/>
      <c r="AMB67" s="886"/>
      <c r="AMC67" s="886"/>
      <c r="AMD67" s="886"/>
      <c r="AME67" s="886"/>
      <c r="AMF67" s="886"/>
      <c r="AMG67" s="886"/>
      <c r="AMH67" s="886"/>
      <c r="AMI67" s="886"/>
      <c r="AMJ67" s="886"/>
      <c r="AMK67" s="886"/>
      <c r="AML67" s="886"/>
      <c r="AMM67" s="886"/>
      <c r="AMN67" s="886"/>
      <c r="AMO67" s="886"/>
      <c r="AMP67" s="886"/>
      <c r="AMQ67" s="886"/>
      <c r="AMR67" s="886"/>
      <c r="AMS67" s="886"/>
      <c r="AMT67" s="886"/>
      <c r="AMU67" s="886"/>
      <c r="AMV67" s="886"/>
      <c r="AMW67" s="886"/>
      <c r="AMX67" s="886"/>
      <c r="AMY67" s="886"/>
      <c r="AMZ67" s="886"/>
      <c r="ANA67" s="886"/>
      <c r="ANB67" s="886"/>
      <c r="ANC67" s="886"/>
      <c r="AND67" s="886"/>
      <c r="ANE67" s="886"/>
      <c r="ANF67" s="886"/>
      <c r="ANG67" s="886"/>
      <c r="ANH67" s="886"/>
      <c r="ANI67" s="886"/>
      <c r="ANJ67" s="886"/>
      <c r="ANK67" s="886"/>
      <c r="ANL67" s="886"/>
      <c r="ANM67" s="886"/>
      <c r="ANN67" s="886"/>
      <c r="ANO67" s="886"/>
      <c r="ANP67" s="886"/>
      <c r="ANQ67" s="886"/>
      <c r="ANR67" s="886"/>
      <c r="ANS67" s="886"/>
      <c r="ANT67" s="886"/>
      <c r="ANU67" s="886"/>
      <c r="ANV67" s="886"/>
      <c r="ANW67" s="886"/>
      <c r="ANX67" s="886"/>
      <c r="ANY67" s="886"/>
      <c r="ANZ67" s="886"/>
      <c r="AOA67" s="886"/>
      <c r="AOB67" s="886"/>
      <c r="AOC67" s="886"/>
      <c r="AOD67" s="886"/>
      <c r="AOE67" s="886"/>
      <c r="AOF67" s="886"/>
      <c r="AOG67" s="886"/>
      <c r="AOH67" s="886"/>
      <c r="AOI67" s="886"/>
      <c r="AOJ67" s="886"/>
      <c r="AOK67" s="886"/>
      <c r="AOL67" s="886"/>
      <c r="AOM67" s="886"/>
      <c r="AON67" s="886"/>
      <c r="AOO67" s="886"/>
      <c r="AOP67" s="886"/>
      <c r="AOQ67" s="886"/>
      <c r="AOR67" s="886"/>
      <c r="AOS67" s="886"/>
      <c r="AOT67" s="886"/>
      <c r="AOU67" s="886"/>
      <c r="AOV67" s="886"/>
      <c r="AOW67" s="886"/>
      <c r="AOX67" s="886"/>
      <c r="AOY67" s="886"/>
      <c r="AOZ67" s="886"/>
      <c r="APA67" s="886"/>
      <c r="APB67" s="886"/>
      <c r="APC67" s="886"/>
      <c r="APD67" s="886"/>
      <c r="APE67" s="886"/>
      <c r="APF67" s="886"/>
      <c r="APG67" s="886"/>
      <c r="APH67" s="886"/>
      <c r="API67" s="886"/>
      <c r="APJ67" s="886"/>
      <c r="APK67" s="886"/>
    </row>
    <row r="68" spans="1:1103" s="3" customFormat="1" ht="15" x14ac:dyDescent="0.25">
      <c r="B68" s="405" t="s">
        <v>370</v>
      </c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>
        <f>SUM(O64:O67)</f>
        <v>14.76</v>
      </c>
      <c r="P68" s="497">
        <f t="shared" ref="P68:AX68" si="332">SUM(P64:P67)</f>
        <v>41.160719999999998</v>
      </c>
      <c r="Q68" s="107">
        <f t="shared" si="332"/>
        <v>54.7715064</v>
      </c>
      <c r="R68" s="107">
        <f t="shared" si="332"/>
        <v>91.327757152000004</v>
      </c>
      <c r="S68" s="107">
        <f t="shared" si="332"/>
        <v>167.89355942399999</v>
      </c>
      <c r="T68" s="107">
        <f t="shared" si="332"/>
        <v>168.46607130405889</v>
      </c>
      <c r="U68" s="107">
        <f t="shared" si="332"/>
        <v>270.30829480619531</v>
      </c>
      <c r="V68" s="107">
        <f t="shared" si="332"/>
        <v>320.32381051888274</v>
      </c>
      <c r="W68" s="107">
        <f t="shared" si="332"/>
        <v>210.39300287971113</v>
      </c>
      <c r="X68" s="107">
        <f t="shared" si="332"/>
        <v>320.69456623526162</v>
      </c>
      <c r="Y68" s="107">
        <f t="shared" si="332"/>
        <v>377.81942468368993</v>
      </c>
      <c r="Z68" s="107">
        <f t="shared" si="332"/>
        <v>265.29584508845386</v>
      </c>
      <c r="AA68" s="107">
        <f t="shared" si="332"/>
        <v>379.06445885244068</v>
      </c>
      <c r="AB68" s="739">
        <f t="shared" si="332"/>
        <v>417.9585819990383</v>
      </c>
      <c r="AC68" s="107">
        <f t="shared" si="332"/>
        <v>292.39616355154021</v>
      </c>
      <c r="AD68" s="107">
        <f t="shared" si="332"/>
        <v>389.92845726502054</v>
      </c>
      <c r="AE68" s="107">
        <f t="shared" si="332"/>
        <v>385.43972188499868</v>
      </c>
      <c r="AF68" s="107">
        <f t="shared" si="332"/>
        <v>305.19178755284366</v>
      </c>
      <c r="AG68" s="107">
        <f t="shared" si="332"/>
        <v>350.41974458939683</v>
      </c>
      <c r="AH68" s="107">
        <f t="shared" si="332"/>
        <v>400.32587172020294</v>
      </c>
      <c r="AI68" s="107">
        <f t="shared" si="332"/>
        <v>455.47934969299075</v>
      </c>
      <c r="AJ68" s="107">
        <f t="shared" si="332"/>
        <v>514.70181648104131</v>
      </c>
      <c r="AK68" s="107">
        <f t="shared" si="332"/>
        <v>580.33621418414066</v>
      </c>
      <c r="AL68" s="107">
        <f t="shared" si="332"/>
        <v>649.76123149850184</v>
      </c>
      <c r="AM68" s="107">
        <f t="shared" si="332"/>
        <v>629.70813085688985</v>
      </c>
      <c r="AN68" s="739">
        <f t="shared" si="332"/>
        <v>597.10277774485962</v>
      </c>
      <c r="AO68" s="107">
        <f t="shared" si="332"/>
        <v>565.76517694840265</v>
      </c>
      <c r="AP68" s="107">
        <f t="shared" si="332"/>
        <v>532.11246399900642</v>
      </c>
      <c r="AQ68" s="107">
        <f t="shared" si="332"/>
        <v>481.69613841169269</v>
      </c>
      <c r="AR68" s="107">
        <f t="shared" si="332"/>
        <v>439.34743541019498</v>
      </c>
      <c r="AS68" s="107">
        <f t="shared" si="332"/>
        <v>385.78132332079076</v>
      </c>
      <c r="AT68" s="107">
        <f t="shared" si="332"/>
        <v>316.40649380600507</v>
      </c>
      <c r="AU68" s="107">
        <f t="shared" si="332"/>
        <v>251.99664427288016</v>
      </c>
      <c r="AV68" s="107">
        <f t="shared" si="332"/>
        <v>179.36984177761406</v>
      </c>
      <c r="AW68" s="107">
        <f t="shared" si="332"/>
        <v>88.358167592338134</v>
      </c>
      <c r="AX68" s="107">
        <f t="shared" si="332"/>
        <v>0</v>
      </c>
      <c r="AY68" s="107">
        <f t="shared" ref="AY68" si="333">SUM(AY64:AY67)</f>
        <v>88.358167592338134</v>
      </c>
      <c r="AZ68" s="739">
        <f t="shared" ref="AZ68" si="334">SUM(AZ64:AZ67)</f>
        <v>0</v>
      </c>
      <c r="BA68" s="107">
        <f t="shared" ref="BA68" si="335">SUM(BA64:BA67)</f>
        <v>0</v>
      </c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739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739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739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739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739"/>
      <c r="DI68" s="107"/>
      <c r="DJ68" s="107"/>
      <c r="DK68" s="107"/>
      <c r="DL68" s="107"/>
      <c r="DM68" s="107"/>
      <c r="DN68" s="107"/>
      <c r="DO68" s="107"/>
      <c r="DP68" s="107"/>
      <c r="DQ68" s="387"/>
      <c r="DR68" s="387"/>
      <c r="DS68" s="387"/>
      <c r="DT68" s="764"/>
      <c r="DU68" s="886"/>
      <c r="DV68" s="886"/>
      <c r="DW68" s="886"/>
      <c r="DX68" s="886"/>
      <c r="DY68" s="886"/>
      <c r="DZ68" s="886"/>
      <c r="EA68" s="886"/>
      <c r="EB68" s="886"/>
      <c r="EC68" s="886"/>
      <c r="ED68" s="886"/>
      <c r="EE68" s="886"/>
      <c r="EF68" s="886"/>
      <c r="EG68" s="886"/>
      <c r="EH68" s="886"/>
      <c r="EI68" s="886"/>
      <c r="EJ68" s="886"/>
      <c r="EK68" s="886"/>
      <c r="EL68" s="886"/>
      <c r="EM68" s="886"/>
      <c r="EN68" s="886"/>
      <c r="EO68" s="886"/>
      <c r="EP68" s="886"/>
      <c r="EQ68" s="886"/>
      <c r="ER68" s="886"/>
      <c r="ES68" s="886"/>
      <c r="ET68" s="886"/>
      <c r="EU68" s="886"/>
      <c r="EV68" s="886"/>
      <c r="EW68" s="886"/>
      <c r="EX68" s="886"/>
      <c r="EY68" s="886"/>
      <c r="EZ68" s="886"/>
      <c r="FA68" s="886"/>
      <c r="FB68" s="886"/>
      <c r="FC68" s="886"/>
      <c r="FD68" s="886"/>
      <c r="FE68" s="886"/>
      <c r="FF68" s="886"/>
      <c r="FG68" s="886"/>
      <c r="FH68" s="886"/>
      <c r="FI68" s="886"/>
      <c r="FJ68" s="886"/>
      <c r="FK68" s="886"/>
      <c r="FL68" s="886"/>
      <c r="FM68" s="886"/>
      <c r="FN68" s="886"/>
      <c r="FO68" s="886"/>
      <c r="FP68" s="886"/>
      <c r="FQ68" s="886"/>
      <c r="FR68" s="886"/>
      <c r="FS68" s="886"/>
      <c r="FT68" s="886"/>
      <c r="FU68" s="886"/>
      <c r="FV68" s="886"/>
      <c r="FW68" s="886"/>
      <c r="FX68" s="886"/>
      <c r="FY68" s="886"/>
      <c r="FZ68" s="886"/>
      <c r="GA68" s="886"/>
      <c r="GB68" s="886"/>
      <c r="GC68" s="886"/>
      <c r="GD68" s="886"/>
      <c r="GE68" s="886"/>
      <c r="GF68" s="886"/>
      <c r="GG68" s="886"/>
      <c r="GH68" s="886"/>
      <c r="GI68" s="886"/>
      <c r="GJ68" s="886"/>
      <c r="GK68" s="886"/>
      <c r="GL68" s="886"/>
      <c r="GM68" s="886"/>
      <c r="GN68" s="886"/>
      <c r="GO68" s="886"/>
      <c r="GP68" s="886"/>
      <c r="GQ68" s="886"/>
      <c r="GR68" s="886"/>
      <c r="GS68" s="886"/>
      <c r="GT68" s="886"/>
      <c r="GU68" s="886"/>
      <c r="GV68" s="886"/>
      <c r="GW68" s="886"/>
      <c r="GX68" s="886"/>
      <c r="GY68" s="886"/>
      <c r="GZ68" s="886"/>
      <c r="HA68" s="886"/>
      <c r="HB68" s="886"/>
      <c r="HC68" s="886"/>
      <c r="HD68" s="886"/>
      <c r="HE68" s="886"/>
      <c r="HF68" s="886"/>
      <c r="HG68" s="886"/>
      <c r="HH68" s="886"/>
      <c r="HI68" s="886"/>
      <c r="HJ68" s="886"/>
      <c r="HK68" s="886"/>
      <c r="HL68" s="886"/>
      <c r="HM68" s="886"/>
      <c r="HN68" s="886"/>
      <c r="HO68" s="886"/>
      <c r="HP68" s="886"/>
      <c r="HQ68" s="886"/>
      <c r="HR68" s="886"/>
      <c r="HS68" s="886"/>
      <c r="HT68" s="886"/>
      <c r="HU68" s="886"/>
      <c r="HV68" s="886"/>
      <c r="HW68" s="886"/>
      <c r="HX68" s="886"/>
      <c r="HY68" s="886"/>
      <c r="HZ68" s="886"/>
      <c r="IA68" s="886"/>
      <c r="IB68" s="886"/>
      <c r="IC68" s="886"/>
      <c r="ID68" s="886"/>
      <c r="IE68" s="886"/>
      <c r="IF68" s="886"/>
      <c r="IG68" s="886"/>
      <c r="IH68" s="886"/>
      <c r="II68" s="886"/>
      <c r="IJ68" s="886"/>
      <c r="IK68" s="886"/>
      <c r="IL68" s="886"/>
      <c r="IM68" s="886"/>
      <c r="IN68" s="886"/>
      <c r="IO68" s="886"/>
      <c r="IP68" s="886"/>
      <c r="IQ68" s="886"/>
      <c r="IR68" s="886"/>
      <c r="IS68" s="886"/>
      <c r="IT68" s="886"/>
      <c r="IU68" s="886"/>
      <c r="IV68" s="886"/>
      <c r="IW68" s="886"/>
      <c r="IX68" s="886"/>
      <c r="IY68" s="886"/>
      <c r="IZ68" s="886"/>
      <c r="JA68" s="886"/>
      <c r="JB68" s="886"/>
      <c r="JC68" s="886"/>
      <c r="JD68" s="886"/>
      <c r="JE68" s="886"/>
      <c r="JF68" s="886"/>
      <c r="JG68" s="886"/>
      <c r="JH68" s="886"/>
      <c r="JI68" s="886"/>
      <c r="JJ68" s="886"/>
      <c r="JK68" s="886"/>
      <c r="JL68" s="886"/>
      <c r="JM68" s="886"/>
      <c r="JN68" s="886"/>
      <c r="JO68" s="886"/>
      <c r="JP68" s="886"/>
      <c r="JQ68" s="886"/>
      <c r="JR68" s="886"/>
      <c r="JS68" s="886"/>
      <c r="JT68" s="886"/>
      <c r="JU68" s="886"/>
      <c r="JV68" s="886"/>
      <c r="JW68" s="886"/>
      <c r="JX68" s="886"/>
      <c r="JY68" s="886"/>
      <c r="JZ68" s="886"/>
      <c r="KA68" s="886"/>
      <c r="KB68" s="886"/>
      <c r="KC68" s="886"/>
      <c r="KD68" s="886"/>
      <c r="KE68" s="886"/>
      <c r="KF68" s="886"/>
      <c r="KG68" s="886"/>
      <c r="KH68" s="886"/>
      <c r="KI68" s="886"/>
      <c r="KJ68" s="886"/>
      <c r="KK68" s="886"/>
      <c r="KL68" s="886"/>
      <c r="KM68" s="886"/>
      <c r="KN68" s="886"/>
      <c r="KO68" s="886"/>
      <c r="KP68" s="886"/>
      <c r="KQ68" s="886"/>
      <c r="KR68" s="886"/>
      <c r="KS68" s="886"/>
      <c r="KT68" s="886"/>
      <c r="KU68" s="886"/>
      <c r="KV68" s="886"/>
      <c r="KW68" s="886"/>
      <c r="KX68" s="886"/>
      <c r="KY68" s="886"/>
      <c r="KZ68" s="886"/>
      <c r="LA68" s="886"/>
      <c r="LB68" s="886"/>
      <c r="LC68" s="886"/>
      <c r="LD68" s="886"/>
      <c r="LE68" s="886"/>
      <c r="LF68" s="886"/>
      <c r="LG68" s="886"/>
      <c r="LH68" s="886"/>
      <c r="LI68" s="886"/>
      <c r="LJ68" s="886"/>
      <c r="LK68" s="886"/>
      <c r="LL68" s="886"/>
      <c r="LM68" s="886"/>
      <c r="LN68" s="886"/>
      <c r="LO68" s="886"/>
      <c r="LP68" s="886"/>
      <c r="LQ68" s="886"/>
      <c r="LR68" s="886"/>
      <c r="LS68" s="886"/>
      <c r="LT68" s="886"/>
      <c r="LU68" s="886"/>
      <c r="LV68" s="886"/>
      <c r="LW68" s="886"/>
      <c r="LX68" s="886"/>
      <c r="LY68" s="886"/>
      <c r="LZ68" s="886"/>
      <c r="MA68" s="886"/>
      <c r="MB68" s="886"/>
      <c r="MC68" s="886"/>
      <c r="MD68" s="886"/>
      <c r="ME68" s="886"/>
      <c r="MF68" s="886"/>
      <c r="MG68" s="886"/>
      <c r="MH68" s="886"/>
      <c r="MI68" s="886"/>
      <c r="MJ68" s="886"/>
      <c r="MK68" s="886"/>
      <c r="ML68" s="886"/>
      <c r="MM68" s="886"/>
      <c r="MN68" s="886"/>
      <c r="MO68" s="886"/>
      <c r="MP68" s="886"/>
      <c r="MQ68" s="886"/>
      <c r="MR68" s="886"/>
      <c r="MS68" s="886"/>
      <c r="MT68" s="886"/>
      <c r="MU68" s="886"/>
      <c r="MV68" s="886"/>
      <c r="MW68" s="886"/>
      <c r="MX68" s="886"/>
      <c r="MY68" s="886"/>
      <c r="MZ68" s="886"/>
      <c r="NA68" s="886"/>
      <c r="NB68" s="886"/>
      <c r="NC68" s="886"/>
      <c r="ND68" s="886"/>
      <c r="NE68" s="886"/>
      <c r="NF68" s="886"/>
      <c r="NG68" s="886"/>
      <c r="NH68" s="886"/>
      <c r="NI68" s="886"/>
      <c r="NJ68" s="886"/>
      <c r="NK68" s="886"/>
      <c r="NL68" s="886"/>
      <c r="NM68" s="886"/>
      <c r="NN68" s="886"/>
      <c r="NO68" s="886"/>
      <c r="NP68" s="886"/>
      <c r="NQ68" s="886"/>
      <c r="NR68" s="886"/>
      <c r="NS68" s="886"/>
      <c r="NT68" s="886"/>
      <c r="NU68" s="886"/>
      <c r="NV68" s="886"/>
      <c r="NW68" s="886"/>
      <c r="NX68" s="886"/>
      <c r="NY68" s="886"/>
      <c r="NZ68" s="886"/>
      <c r="OA68" s="886"/>
      <c r="OB68" s="886"/>
      <c r="OC68" s="886"/>
      <c r="OD68" s="886"/>
      <c r="OE68" s="886"/>
      <c r="OF68" s="886"/>
      <c r="OG68" s="886"/>
      <c r="OH68" s="886"/>
      <c r="OI68" s="886"/>
      <c r="OJ68" s="886"/>
      <c r="OK68" s="886"/>
      <c r="OL68" s="886"/>
      <c r="OM68" s="886"/>
      <c r="ON68" s="886"/>
      <c r="OO68" s="886"/>
      <c r="OP68" s="886"/>
      <c r="OQ68" s="886"/>
      <c r="OR68" s="886"/>
      <c r="OS68" s="886"/>
      <c r="OT68" s="886"/>
      <c r="OU68" s="886"/>
      <c r="OV68" s="886"/>
      <c r="OW68" s="886"/>
      <c r="OX68" s="886"/>
      <c r="OY68" s="886"/>
      <c r="OZ68" s="886"/>
      <c r="PA68" s="886"/>
      <c r="PB68" s="886"/>
      <c r="PC68" s="886"/>
      <c r="PD68" s="886"/>
      <c r="PE68" s="886"/>
      <c r="PF68" s="886"/>
      <c r="PG68" s="886"/>
      <c r="PH68" s="886"/>
      <c r="PI68" s="886"/>
      <c r="PJ68" s="886"/>
      <c r="PK68" s="886"/>
      <c r="PL68" s="886"/>
      <c r="PM68" s="886"/>
      <c r="PN68" s="886"/>
      <c r="PO68" s="886"/>
      <c r="PP68" s="886"/>
      <c r="PQ68" s="886"/>
      <c r="PR68" s="886"/>
      <c r="PS68" s="886"/>
      <c r="PT68" s="886"/>
      <c r="PU68" s="886"/>
      <c r="PV68" s="886"/>
      <c r="PW68" s="886"/>
      <c r="PX68" s="886"/>
      <c r="PY68" s="886"/>
      <c r="PZ68" s="886"/>
      <c r="QA68" s="886"/>
      <c r="QB68" s="886"/>
      <c r="QC68" s="886"/>
      <c r="QD68" s="886"/>
      <c r="QE68" s="886"/>
      <c r="QF68" s="886"/>
      <c r="QG68" s="886"/>
      <c r="QH68" s="886"/>
      <c r="QI68" s="886"/>
      <c r="QJ68" s="886"/>
      <c r="QK68" s="886"/>
      <c r="QL68" s="886"/>
      <c r="QM68" s="886"/>
      <c r="QN68" s="886"/>
      <c r="QO68" s="886"/>
      <c r="QP68" s="886"/>
      <c r="QQ68" s="886"/>
      <c r="QR68" s="886"/>
      <c r="QS68" s="886"/>
      <c r="QT68" s="886"/>
      <c r="QU68" s="886"/>
      <c r="QV68" s="886"/>
      <c r="QW68" s="886"/>
      <c r="QX68" s="886"/>
      <c r="QY68" s="886"/>
      <c r="QZ68" s="886"/>
      <c r="RA68" s="886"/>
      <c r="RB68" s="886"/>
      <c r="RC68" s="886"/>
      <c r="RD68" s="886"/>
      <c r="RE68" s="886"/>
      <c r="RF68" s="886"/>
      <c r="RG68" s="886"/>
      <c r="RH68" s="886"/>
      <c r="RI68" s="886"/>
      <c r="RJ68" s="886"/>
      <c r="RK68" s="886"/>
      <c r="RL68" s="886"/>
      <c r="RM68" s="886"/>
      <c r="RN68" s="886"/>
      <c r="RO68" s="886"/>
      <c r="RP68" s="886"/>
      <c r="RQ68" s="886"/>
      <c r="RR68" s="886"/>
      <c r="RS68" s="886"/>
      <c r="RT68" s="886"/>
      <c r="RU68" s="886"/>
      <c r="RV68" s="886"/>
      <c r="RW68" s="886"/>
      <c r="RX68" s="886"/>
      <c r="RY68" s="886"/>
      <c r="RZ68" s="886"/>
      <c r="SA68" s="886"/>
      <c r="SB68" s="886"/>
      <c r="SC68" s="886"/>
      <c r="SD68" s="886"/>
      <c r="SE68" s="886"/>
      <c r="SF68" s="886"/>
      <c r="SG68" s="886"/>
      <c r="SH68" s="886"/>
      <c r="SI68" s="886"/>
      <c r="SJ68" s="886"/>
      <c r="SK68" s="886"/>
      <c r="SL68" s="886"/>
      <c r="SM68" s="886"/>
      <c r="SN68" s="886"/>
      <c r="SO68" s="886"/>
      <c r="SP68" s="886"/>
      <c r="SQ68" s="886"/>
      <c r="SR68" s="886"/>
      <c r="SS68" s="886"/>
      <c r="ST68" s="886"/>
      <c r="SU68" s="886"/>
      <c r="SV68" s="886"/>
      <c r="SW68" s="886"/>
      <c r="SX68" s="886"/>
      <c r="SY68" s="886"/>
      <c r="SZ68" s="886"/>
      <c r="TA68" s="886"/>
      <c r="TB68" s="886"/>
      <c r="TC68" s="886"/>
      <c r="TD68" s="886"/>
      <c r="TE68" s="886"/>
      <c r="TF68" s="886"/>
      <c r="TG68" s="886"/>
      <c r="TH68" s="886"/>
      <c r="TI68" s="886"/>
      <c r="TJ68" s="886"/>
      <c r="TK68" s="886"/>
      <c r="TL68" s="886"/>
      <c r="TM68" s="886"/>
      <c r="TN68" s="886"/>
      <c r="TO68" s="886"/>
      <c r="TP68" s="886"/>
      <c r="TQ68" s="886"/>
      <c r="TR68" s="886"/>
      <c r="TS68" s="886"/>
      <c r="TT68" s="886"/>
      <c r="TU68" s="886"/>
      <c r="TV68" s="886"/>
      <c r="TW68" s="886"/>
      <c r="TX68" s="886"/>
      <c r="TY68" s="886"/>
      <c r="TZ68" s="886"/>
      <c r="UA68" s="886"/>
      <c r="UB68" s="886"/>
      <c r="UC68" s="886"/>
      <c r="UD68" s="886"/>
      <c r="UE68" s="886"/>
      <c r="UF68" s="886"/>
      <c r="UG68" s="886"/>
      <c r="UH68" s="886"/>
      <c r="UI68" s="886"/>
      <c r="UJ68" s="886"/>
      <c r="UK68" s="886"/>
      <c r="UL68" s="886"/>
      <c r="UM68" s="886"/>
      <c r="UN68" s="886"/>
      <c r="UO68" s="886"/>
      <c r="UP68" s="886"/>
      <c r="UQ68" s="886"/>
      <c r="UR68" s="886"/>
      <c r="US68" s="886"/>
      <c r="UT68" s="886"/>
      <c r="UU68" s="886"/>
      <c r="UV68" s="886"/>
      <c r="UW68" s="886"/>
      <c r="UX68" s="886"/>
      <c r="UY68" s="886"/>
      <c r="UZ68" s="886"/>
      <c r="VA68" s="886"/>
      <c r="VB68" s="886"/>
      <c r="VC68" s="886"/>
      <c r="VD68" s="886"/>
      <c r="VE68" s="886"/>
      <c r="VF68" s="886"/>
      <c r="VG68" s="886"/>
      <c r="VH68" s="886"/>
      <c r="VI68" s="886"/>
      <c r="VJ68" s="886"/>
      <c r="VK68" s="886"/>
      <c r="VL68" s="886"/>
      <c r="VM68" s="886"/>
      <c r="VN68" s="886"/>
      <c r="VO68" s="886"/>
      <c r="VP68" s="886"/>
      <c r="VQ68" s="886"/>
      <c r="VR68" s="886"/>
      <c r="VS68" s="886"/>
      <c r="VT68" s="886"/>
      <c r="VU68" s="886"/>
      <c r="VV68" s="886"/>
      <c r="VW68" s="886"/>
      <c r="VX68" s="886"/>
      <c r="VY68" s="886"/>
      <c r="VZ68" s="886"/>
      <c r="WA68" s="886"/>
      <c r="WB68" s="886"/>
      <c r="WC68" s="886"/>
      <c r="WD68" s="886"/>
      <c r="WE68" s="886"/>
      <c r="WF68" s="886"/>
      <c r="WG68" s="886"/>
      <c r="WH68" s="886"/>
      <c r="WI68" s="886"/>
      <c r="WJ68" s="886"/>
      <c r="WK68" s="886"/>
      <c r="WL68" s="886"/>
      <c r="WM68" s="886"/>
      <c r="WN68" s="886"/>
      <c r="WO68" s="886"/>
      <c r="WP68" s="886"/>
      <c r="WQ68" s="886"/>
      <c r="WR68" s="886"/>
      <c r="WS68" s="886"/>
      <c r="WT68" s="886"/>
      <c r="WU68" s="886"/>
      <c r="WV68" s="886"/>
      <c r="WW68" s="886"/>
      <c r="WX68" s="886"/>
      <c r="WY68" s="886"/>
      <c r="WZ68" s="886"/>
      <c r="XA68" s="886"/>
      <c r="XB68" s="886"/>
      <c r="XC68" s="886"/>
      <c r="XD68" s="886"/>
      <c r="XE68" s="886"/>
      <c r="XF68" s="886"/>
      <c r="XG68" s="886"/>
      <c r="XH68" s="886"/>
      <c r="XI68" s="886"/>
      <c r="XJ68" s="886"/>
      <c r="XK68" s="886"/>
      <c r="XL68" s="886"/>
      <c r="XM68" s="886"/>
      <c r="XN68" s="886"/>
      <c r="XO68" s="886"/>
      <c r="XP68" s="886"/>
      <c r="XQ68" s="886"/>
      <c r="XR68" s="886"/>
      <c r="XS68" s="886"/>
      <c r="XT68" s="886"/>
      <c r="XU68" s="886"/>
      <c r="XV68" s="886"/>
      <c r="XW68" s="886"/>
      <c r="XX68" s="886"/>
      <c r="XY68" s="886"/>
      <c r="XZ68" s="886"/>
      <c r="YA68" s="886"/>
      <c r="YB68" s="886"/>
      <c r="YC68" s="886"/>
      <c r="YD68" s="886"/>
      <c r="YE68" s="886"/>
      <c r="YF68" s="886"/>
      <c r="YG68" s="886"/>
      <c r="YH68" s="886"/>
      <c r="YI68" s="886"/>
      <c r="YJ68" s="886"/>
      <c r="YK68" s="886"/>
      <c r="YL68" s="886"/>
      <c r="YM68" s="886"/>
      <c r="YN68" s="886"/>
      <c r="YO68" s="886"/>
      <c r="YP68" s="886"/>
      <c r="YQ68" s="886"/>
      <c r="YR68" s="886"/>
      <c r="YS68" s="886"/>
      <c r="YT68" s="886"/>
      <c r="YU68" s="886"/>
      <c r="YV68" s="886"/>
      <c r="YW68" s="886"/>
      <c r="YX68" s="886"/>
      <c r="YY68" s="886"/>
      <c r="YZ68" s="886"/>
      <c r="ZA68" s="886"/>
      <c r="ZB68" s="886"/>
      <c r="ZC68" s="886"/>
      <c r="ZD68" s="886"/>
      <c r="ZE68" s="886"/>
      <c r="ZF68" s="886"/>
      <c r="ZG68" s="886"/>
      <c r="ZH68" s="886"/>
      <c r="ZI68" s="886"/>
      <c r="ZJ68" s="886"/>
      <c r="ZK68" s="886"/>
      <c r="ZL68" s="886"/>
      <c r="ZM68" s="886"/>
      <c r="ZN68" s="886"/>
      <c r="ZO68" s="886"/>
      <c r="ZP68" s="886"/>
      <c r="ZQ68" s="886"/>
      <c r="ZR68" s="886"/>
      <c r="ZS68" s="886"/>
      <c r="ZT68" s="886"/>
      <c r="ZU68" s="886"/>
      <c r="ZV68" s="886"/>
      <c r="ZW68" s="886"/>
      <c r="ZX68" s="886"/>
      <c r="ZY68" s="886"/>
      <c r="ZZ68" s="886"/>
      <c r="AAA68" s="886"/>
      <c r="AAB68" s="886"/>
      <c r="AAC68" s="886"/>
      <c r="AAD68" s="886"/>
      <c r="AAE68" s="886"/>
      <c r="AAF68" s="886"/>
      <c r="AAG68" s="886"/>
      <c r="AAH68" s="886"/>
      <c r="AAI68" s="886"/>
      <c r="AAJ68" s="886"/>
      <c r="AAK68" s="886"/>
      <c r="AAL68" s="886"/>
      <c r="AAM68" s="886"/>
      <c r="AAN68" s="886"/>
      <c r="AAO68" s="886"/>
      <c r="AAP68" s="886"/>
      <c r="AAQ68" s="886"/>
      <c r="AAR68" s="886"/>
      <c r="AAS68" s="886"/>
      <c r="AAT68" s="886"/>
      <c r="AAU68" s="886"/>
      <c r="AAV68" s="886"/>
      <c r="AAW68" s="886"/>
      <c r="AAX68" s="886"/>
      <c r="AAY68" s="886"/>
      <c r="AAZ68" s="886"/>
      <c r="ABA68" s="886"/>
      <c r="ABB68" s="886"/>
      <c r="ABC68" s="886"/>
      <c r="ABD68" s="886"/>
      <c r="ABE68" s="886"/>
      <c r="ABF68" s="886"/>
      <c r="ABG68" s="886"/>
      <c r="ABH68" s="886"/>
      <c r="ABI68" s="886"/>
      <c r="ABJ68" s="886"/>
      <c r="ABK68" s="886"/>
      <c r="ABL68" s="886"/>
      <c r="ABM68" s="886"/>
      <c r="ABN68" s="886"/>
      <c r="ABO68" s="886"/>
      <c r="ABP68" s="886"/>
      <c r="ABQ68" s="886"/>
      <c r="ABR68" s="886"/>
      <c r="ABS68" s="886"/>
      <c r="ABT68" s="886"/>
      <c r="ABU68" s="886"/>
      <c r="ABV68" s="886"/>
      <c r="ABW68" s="886"/>
      <c r="ABX68" s="886"/>
      <c r="ABY68" s="886"/>
      <c r="ABZ68" s="886"/>
      <c r="ACA68" s="886"/>
      <c r="ACB68" s="886"/>
      <c r="ACC68" s="886"/>
      <c r="ACD68" s="886"/>
      <c r="ACE68" s="886"/>
      <c r="ACF68" s="886"/>
      <c r="ACG68" s="886"/>
      <c r="ACH68" s="886"/>
      <c r="ACI68" s="886"/>
      <c r="ACJ68" s="886"/>
      <c r="ACK68" s="886"/>
      <c r="ACL68" s="886"/>
      <c r="ACM68" s="886"/>
      <c r="ACN68" s="886"/>
      <c r="ACO68" s="886"/>
      <c r="ACP68" s="886"/>
      <c r="ACQ68" s="886"/>
      <c r="ACR68" s="886"/>
      <c r="ACS68" s="886"/>
      <c r="ACT68" s="886"/>
      <c r="ACU68" s="886"/>
      <c r="ACV68" s="886"/>
      <c r="ACW68" s="886"/>
      <c r="ACX68" s="886"/>
      <c r="ACY68" s="886"/>
      <c r="ACZ68" s="886"/>
      <c r="ADA68" s="886"/>
      <c r="ADB68" s="886"/>
      <c r="ADC68" s="886"/>
      <c r="ADD68" s="886"/>
      <c r="ADE68" s="886"/>
      <c r="ADF68" s="886"/>
      <c r="ADG68" s="886"/>
      <c r="ADH68" s="886"/>
      <c r="ADI68" s="886"/>
      <c r="ADJ68" s="886"/>
      <c r="ADK68" s="886"/>
      <c r="ADL68" s="886"/>
      <c r="ADM68" s="886"/>
      <c r="ADN68" s="886"/>
      <c r="ADO68" s="886"/>
      <c r="ADP68" s="886"/>
      <c r="ADQ68" s="886"/>
      <c r="ADR68" s="886"/>
      <c r="ADS68" s="886"/>
      <c r="ADT68" s="886"/>
      <c r="ADU68" s="886"/>
      <c r="ADV68" s="886"/>
      <c r="ADW68" s="886"/>
      <c r="ADX68" s="886"/>
      <c r="ADY68" s="886"/>
      <c r="ADZ68" s="886"/>
      <c r="AEA68" s="886"/>
      <c r="AEB68" s="886"/>
      <c r="AEC68" s="886"/>
      <c r="AED68" s="886"/>
      <c r="AEE68" s="886"/>
      <c r="AEF68" s="886"/>
      <c r="AEG68" s="886"/>
      <c r="AEH68" s="886"/>
      <c r="AEI68" s="886"/>
      <c r="AEJ68" s="886"/>
      <c r="AEK68" s="886"/>
      <c r="AEL68" s="886"/>
      <c r="AEM68" s="886"/>
      <c r="AEN68" s="886"/>
      <c r="AEO68" s="886"/>
      <c r="AEP68" s="886"/>
      <c r="AEQ68" s="886"/>
      <c r="AER68" s="886"/>
      <c r="AES68" s="886"/>
      <c r="AET68" s="886"/>
      <c r="AEU68" s="886"/>
      <c r="AEV68" s="886"/>
      <c r="AEW68" s="886"/>
      <c r="AEX68" s="886"/>
      <c r="AEY68" s="886"/>
      <c r="AEZ68" s="886"/>
      <c r="AFA68" s="886"/>
      <c r="AFB68" s="886"/>
      <c r="AFC68" s="886"/>
      <c r="AFD68" s="886"/>
      <c r="AFE68" s="886"/>
      <c r="AFF68" s="886"/>
      <c r="AFG68" s="886"/>
      <c r="AFH68" s="886"/>
      <c r="AFI68" s="886"/>
      <c r="AFJ68" s="886"/>
      <c r="AFK68" s="886"/>
      <c r="AFL68" s="886"/>
      <c r="AFM68" s="886"/>
      <c r="AFN68" s="886"/>
      <c r="AFO68" s="886"/>
      <c r="AFP68" s="886"/>
      <c r="AFQ68" s="886"/>
      <c r="AFR68" s="886"/>
      <c r="AFS68" s="886"/>
      <c r="AFT68" s="886"/>
      <c r="AFU68" s="886"/>
      <c r="AFV68" s="886"/>
      <c r="AFW68" s="886"/>
      <c r="AFX68" s="886"/>
      <c r="AFY68" s="886"/>
      <c r="AFZ68" s="886"/>
      <c r="AGA68" s="886"/>
      <c r="AGB68" s="886"/>
      <c r="AGC68" s="886"/>
      <c r="AGD68" s="886"/>
      <c r="AGE68" s="886"/>
      <c r="AGF68" s="886"/>
      <c r="AGG68" s="886"/>
      <c r="AGH68" s="886"/>
      <c r="AGI68" s="886"/>
      <c r="AGJ68" s="886"/>
      <c r="AGK68" s="886"/>
      <c r="AGL68" s="886"/>
      <c r="AGM68" s="886"/>
      <c r="AGN68" s="886"/>
      <c r="AGO68" s="886"/>
      <c r="AGP68" s="886"/>
      <c r="AGQ68" s="886"/>
      <c r="AGR68" s="886"/>
      <c r="AGS68" s="886"/>
      <c r="AGT68" s="886"/>
      <c r="AGU68" s="886"/>
      <c r="AGV68" s="886"/>
      <c r="AGW68" s="886"/>
      <c r="AGX68" s="886"/>
      <c r="AGY68" s="886"/>
      <c r="AGZ68" s="886"/>
      <c r="AHA68" s="886"/>
      <c r="AHB68" s="886"/>
      <c r="AHC68" s="886"/>
      <c r="AHD68" s="886"/>
      <c r="AHE68" s="886"/>
      <c r="AHF68" s="886"/>
      <c r="AHG68" s="886"/>
      <c r="AHH68" s="886"/>
      <c r="AHI68" s="886"/>
      <c r="AHJ68" s="886"/>
      <c r="AHK68" s="886"/>
      <c r="AHL68" s="886"/>
      <c r="AHM68" s="886"/>
      <c r="AHN68" s="886"/>
      <c r="AHO68" s="886"/>
      <c r="AHP68" s="886"/>
      <c r="AHQ68" s="886"/>
      <c r="AHR68" s="886"/>
      <c r="AHS68" s="886"/>
      <c r="AHT68" s="886"/>
      <c r="AHU68" s="886"/>
      <c r="AHV68" s="886"/>
      <c r="AHW68" s="886"/>
      <c r="AHX68" s="886"/>
      <c r="AHY68" s="886"/>
      <c r="AHZ68" s="886"/>
      <c r="AIA68" s="886"/>
      <c r="AIB68" s="886"/>
      <c r="AIC68" s="886"/>
      <c r="AID68" s="886"/>
      <c r="AIE68" s="886"/>
      <c r="AIF68" s="886"/>
      <c r="AIG68" s="886"/>
      <c r="AIH68" s="886"/>
      <c r="AII68" s="886"/>
      <c r="AIJ68" s="886"/>
      <c r="AIK68" s="886"/>
      <c r="AIL68" s="886"/>
      <c r="AIM68" s="886"/>
      <c r="AIN68" s="886"/>
      <c r="AIO68" s="886"/>
      <c r="AIP68" s="886"/>
      <c r="AIQ68" s="886"/>
      <c r="AIR68" s="886"/>
      <c r="AIS68" s="886"/>
      <c r="AIT68" s="886"/>
      <c r="AIU68" s="886"/>
      <c r="AIV68" s="886"/>
      <c r="AIW68" s="886"/>
      <c r="AIX68" s="886"/>
      <c r="AIY68" s="886"/>
      <c r="AIZ68" s="886"/>
      <c r="AJA68" s="886"/>
      <c r="AJB68" s="886"/>
      <c r="AJC68" s="886"/>
      <c r="AJD68" s="886"/>
      <c r="AJE68" s="886"/>
      <c r="AJF68" s="886"/>
      <c r="AJG68" s="886"/>
      <c r="AJH68" s="886"/>
      <c r="AJI68" s="886"/>
      <c r="AJJ68" s="886"/>
      <c r="AJK68" s="886"/>
      <c r="AJL68" s="886"/>
      <c r="AJM68" s="886"/>
      <c r="AJN68" s="886"/>
      <c r="AJO68" s="886"/>
      <c r="AJP68" s="886"/>
      <c r="AJQ68" s="886"/>
      <c r="AJR68" s="886"/>
      <c r="AJS68" s="886"/>
      <c r="AJT68" s="886"/>
      <c r="AJU68" s="886"/>
      <c r="AJV68" s="886"/>
      <c r="AJW68" s="886"/>
      <c r="AJX68" s="886"/>
      <c r="AJY68" s="886"/>
      <c r="AJZ68" s="886"/>
      <c r="AKA68" s="886"/>
      <c r="AKB68" s="886"/>
      <c r="AKC68" s="886"/>
      <c r="AKD68" s="886"/>
      <c r="AKE68" s="886"/>
      <c r="AKF68" s="886"/>
      <c r="AKG68" s="886"/>
      <c r="AKH68" s="886"/>
      <c r="AKI68" s="886"/>
      <c r="AKJ68" s="886"/>
      <c r="AKK68" s="886"/>
      <c r="AKL68" s="886"/>
      <c r="AKM68" s="886"/>
      <c r="AKN68" s="886"/>
      <c r="AKO68" s="886"/>
      <c r="AKP68" s="886"/>
      <c r="AKQ68" s="886"/>
      <c r="AKR68" s="886"/>
      <c r="AKS68" s="886"/>
      <c r="AKT68" s="886"/>
      <c r="AKU68" s="886"/>
      <c r="AKV68" s="886"/>
      <c r="AKW68" s="886"/>
      <c r="AKX68" s="886"/>
      <c r="AKY68" s="886"/>
      <c r="AKZ68" s="886"/>
      <c r="ALA68" s="886"/>
      <c r="ALB68" s="886"/>
      <c r="ALC68" s="886"/>
      <c r="ALD68" s="886"/>
      <c r="ALE68" s="886"/>
      <c r="ALF68" s="886"/>
      <c r="ALG68" s="886"/>
      <c r="ALH68" s="886"/>
      <c r="ALI68" s="886"/>
      <c r="ALJ68" s="886"/>
      <c r="ALK68" s="886"/>
      <c r="ALL68" s="886"/>
      <c r="ALM68" s="886"/>
      <c r="ALN68" s="886"/>
      <c r="ALO68" s="886"/>
      <c r="ALP68" s="886"/>
      <c r="ALQ68" s="886"/>
      <c r="ALR68" s="886"/>
      <c r="ALS68" s="886"/>
      <c r="ALT68" s="886"/>
      <c r="ALU68" s="886"/>
      <c r="ALV68" s="886"/>
      <c r="ALW68" s="886"/>
      <c r="ALX68" s="886"/>
      <c r="ALY68" s="886"/>
      <c r="ALZ68" s="886"/>
      <c r="AMA68" s="886"/>
      <c r="AMB68" s="886"/>
      <c r="AMC68" s="886"/>
      <c r="AMD68" s="886"/>
      <c r="AME68" s="886"/>
      <c r="AMF68" s="886"/>
      <c r="AMG68" s="886"/>
      <c r="AMH68" s="886"/>
      <c r="AMI68" s="886"/>
      <c r="AMJ68" s="886"/>
      <c r="AMK68" s="886"/>
      <c r="AML68" s="886"/>
      <c r="AMM68" s="886"/>
      <c r="AMN68" s="886"/>
      <c r="AMO68" s="886"/>
      <c r="AMP68" s="886"/>
      <c r="AMQ68" s="886"/>
      <c r="AMR68" s="886"/>
      <c r="AMS68" s="886"/>
      <c r="AMT68" s="886"/>
      <c r="AMU68" s="886"/>
      <c r="AMV68" s="886"/>
      <c r="AMW68" s="886"/>
      <c r="AMX68" s="886"/>
      <c r="AMY68" s="886"/>
      <c r="AMZ68" s="886"/>
      <c r="ANA68" s="886"/>
      <c r="ANB68" s="886"/>
      <c r="ANC68" s="886"/>
      <c r="AND68" s="886"/>
      <c r="ANE68" s="886"/>
      <c r="ANF68" s="886"/>
      <c r="ANG68" s="886"/>
      <c r="ANH68" s="886"/>
      <c r="ANI68" s="886"/>
      <c r="ANJ68" s="886"/>
      <c r="ANK68" s="886"/>
      <c r="ANL68" s="886"/>
      <c r="ANM68" s="886"/>
      <c r="ANN68" s="886"/>
      <c r="ANO68" s="886"/>
      <c r="ANP68" s="886"/>
      <c r="ANQ68" s="886"/>
      <c r="ANR68" s="886"/>
      <c r="ANS68" s="886"/>
      <c r="ANT68" s="886"/>
      <c r="ANU68" s="886"/>
      <c r="ANV68" s="886"/>
      <c r="ANW68" s="886"/>
      <c r="ANX68" s="886"/>
      <c r="ANY68" s="886"/>
      <c r="ANZ68" s="886"/>
      <c r="AOA68" s="886"/>
      <c r="AOB68" s="886"/>
      <c r="AOC68" s="886"/>
      <c r="AOD68" s="886"/>
      <c r="AOE68" s="886"/>
      <c r="AOF68" s="886"/>
      <c r="AOG68" s="886"/>
      <c r="AOH68" s="886"/>
      <c r="AOI68" s="886"/>
      <c r="AOJ68" s="886"/>
      <c r="AOK68" s="886"/>
      <c r="AOL68" s="886"/>
      <c r="AOM68" s="886"/>
      <c r="AON68" s="886"/>
      <c r="AOO68" s="886"/>
      <c r="AOP68" s="886"/>
      <c r="AOQ68" s="886"/>
      <c r="AOR68" s="886"/>
      <c r="AOS68" s="886"/>
      <c r="AOT68" s="886"/>
      <c r="AOU68" s="886"/>
      <c r="AOV68" s="886"/>
      <c r="AOW68" s="886"/>
      <c r="AOX68" s="886"/>
      <c r="AOY68" s="886"/>
      <c r="AOZ68" s="886"/>
      <c r="APA68" s="886"/>
      <c r="APB68" s="886"/>
      <c r="APC68" s="886"/>
      <c r="APD68" s="886"/>
      <c r="APE68" s="886"/>
      <c r="APF68" s="886"/>
      <c r="APG68" s="886"/>
      <c r="APH68" s="886"/>
      <c r="API68" s="886"/>
      <c r="APJ68" s="886"/>
      <c r="APK68" s="886"/>
    </row>
    <row r="69" spans="1:1103" s="16" customFormat="1" ht="15" x14ac:dyDescent="0.25">
      <c r="A69" s="3"/>
      <c r="B69" s="405" t="s">
        <v>384</v>
      </c>
      <c r="C69" s="3">
        <v>1</v>
      </c>
      <c r="D69" s="3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97"/>
      <c r="Q69" s="107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>O68</f>
        <v>14.76</v>
      </c>
      <c r="AB69" s="108">
        <f t="shared" ref="AB69:BK71" si="336">P68</f>
        <v>41.160719999999998</v>
      </c>
      <c r="AC69" s="107">
        <f t="shared" si="336"/>
        <v>54.7715064</v>
      </c>
      <c r="AD69" s="106">
        <f t="shared" si="336"/>
        <v>91.327757152000004</v>
      </c>
      <c r="AE69" s="106">
        <f t="shared" si="336"/>
        <v>167.89355942399999</v>
      </c>
      <c r="AF69" s="106">
        <f t="shared" si="336"/>
        <v>168.46607130405889</v>
      </c>
      <c r="AG69" s="106">
        <f t="shared" si="336"/>
        <v>270.30829480619531</v>
      </c>
      <c r="AH69" s="106">
        <f t="shared" si="336"/>
        <v>320.32381051888274</v>
      </c>
      <c r="AI69" s="106">
        <f t="shared" si="336"/>
        <v>210.39300287971113</v>
      </c>
      <c r="AJ69" s="106">
        <f t="shared" si="336"/>
        <v>320.69456623526162</v>
      </c>
      <c r="AK69" s="106">
        <f t="shared" si="336"/>
        <v>377.81942468368993</v>
      </c>
      <c r="AL69" s="106">
        <f t="shared" si="336"/>
        <v>265.29584508845386</v>
      </c>
      <c r="AM69" s="106">
        <f t="shared" si="336"/>
        <v>379.06445885244068</v>
      </c>
      <c r="AN69" s="108">
        <f t="shared" si="336"/>
        <v>417.9585819990383</v>
      </c>
      <c r="AO69" s="107">
        <f t="shared" si="336"/>
        <v>292.39616355154021</v>
      </c>
      <c r="AP69" s="106">
        <f t="shared" si="336"/>
        <v>389.92845726502054</v>
      </c>
      <c r="AQ69" s="106">
        <f t="shared" si="336"/>
        <v>385.43972188499868</v>
      </c>
      <c r="AR69" s="106">
        <f t="shared" si="336"/>
        <v>305.19178755284366</v>
      </c>
      <c r="AS69" s="106">
        <f t="shared" si="336"/>
        <v>350.41974458939683</v>
      </c>
      <c r="AT69" s="106">
        <f t="shared" si="336"/>
        <v>400.32587172020294</v>
      </c>
      <c r="AU69" s="106">
        <f t="shared" si="336"/>
        <v>455.47934969299075</v>
      </c>
      <c r="AV69" s="106">
        <f t="shared" si="336"/>
        <v>514.70181648104131</v>
      </c>
      <c r="AW69" s="106">
        <f t="shared" si="336"/>
        <v>580.33621418414066</v>
      </c>
      <c r="AX69" s="106">
        <f t="shared" si="336"/>
        <v>649.76123149850184</v>
      </c>
      <c r="AY69" s="106">
        <f t="shared" si="336"/>
        <v>629.70813085688985</v>
      </c>
      <c r="AZ69" s="108">
        <f t="shared" si="336"/>
        <v>597.10277774485962</v>
      </c>
      <c r="BA69" s="107">
        <f t="shared" si="336"/>
        <v>565.76517694840265</v>
      </c>
      <c r="BB69" s="106">
        <f t="shared" si="336"/>
        <v>532.11246399900642</v>
      </c>
      <c r="BC69" s="106">
        <f t="shared" si="336"/>
        <v>481.69613841169269</v>
      </c>
      <c r="BD69" s="106">
        <f t="shared" si="336"/>
        <v>439.34743541019498</v>
      </c>
      <c r="BE69" s="106">
        <f t="shared" si="336"/>
        <v>385.78132332079076</v>
      </c>
      <c r="BF69" s="106">
        <f t="shared" si="336"/>
        <v>316.40649380600507</v>
      </c>
      <c r="BG69" s="106">
        <f t="shared" si="336"/>
        <v>251.99664427288016</v>
      </c>
      <c r="BH69" s="106">
        <f t="shared" si="336"/>
        <v>179.36984177761406</v>
      </c>
      <c r="BI69" s="106">
        <f t="shared" si="336"/>
        <v>88.358167592338134</v>
      </c>
      <c r="BJ69" s="106">
        <f t="shared" si="336"/>
        <v>0</v>
      </c>
      <c r="BK69" s="106">
        <f t="shared" si="336"/>
        <v>88.358167592338134</v>
      </c>
      <c r="BL69" s="108">
        <f t="shared" ref="BL69:BN72" si="337">AZ68</f>
        <v>0</v>
      </c>
      <c r="BM69" s="107">
        <f t="shared" si="337"/>
        <v>0</v>
      </c>
      <c r="BN69" s="106">
        <f t="shared" si="337"/>
        <v>0</v>
      </c>
      <c r="BO69" s="106"/>
      <c r="BP69" s="106"/>
      <c r="BQ69" s="106"/>
      <c r="BR69" s="106"/>
      <c r="BS69" s="106"/>
      <c r="BT69" s="106"/>
      <c r="BU69" s="106"/>
      <c r="BV69" s="106"/>
      <c r="BW69" s="106"/>
      <c r="BX69" s="108"/>
      <c r="BY69" s="107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8"/>
      <c r="CK69" s="107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8"/>
      <c r="CW69" s="107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8"/>
      <c r="DI69" s="107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8"/>
      <c r="DU69" s="886"/>
      <c r="DV69" s="886"/>
      <c r="DW69" s="886"/>
      <c r="DX69" s="886"/>
      <c r="DY69" s="886"/>
      <c r="DZ69" s="886"/>
      <c r="EA69" s="886"/>
      <c r="EB69" s="886"/>
      <c r="EC69" s="886"/>
      <c r="ED69" s="886"/>
      <c r="EE69" s="886"/>
      <c r="EF69" s="886"/>
      <c r="EG69" s="886"/>
      <c r="EH69" s="886"/>
      <c r="EI69" s="886"/>
      <c r="EJ69" s="886"/>
      <c r="EK69" s="886"/>
      <c r="EL69" s="886"/>
      <c r="EM69" s="886"/>
      <c r="EN69" s="886"/>
      <c r="EO69" s="886"/>
      <c r="EP69" s="886"/>
      <c r="EQ69" s="886"/>
      <c r="ER69" s="886"/>
      <c r="ES69" s="886"/>
      <c r="ET69" s="886"/>
      <c r="EU69" s="886"/>
      <c r="EV69" s="886"/>
      <c r="EW69" s="886"/>
      <c r="EX69" s="886"/>
      <c r="EY69" s="886"/>
      <c r="EZ69" s="886"/>
      <c r="FA69" s="886"/>
      <c r="FB69" s="886"/>
      <c r="FC69" s="886"/>
      <c r="FD69" s="886"/>
      <c r="FE69" s="886"/>
      <c r="FF69" s="886"/>
      <c r="FG69" s="886"/>
      <c r="FH69" s="886"/>
      <c r="FI69" s="886"/>
      <c r="FJ69" s="886"/>
      <c r="FK69" s="886"/>
      <c r="FL69" s="886"/>
      <c r="FM69" s="886"/>
      <c r="FN69" s="886"/>
      <c r="FO69" s="886"/>
      <c r="FP69" s="886"/>
      <c r="FQ69" s="886"/>
      <c r="FR69" s="886"/>
      <c r="FS69" s="886"/>
      <c r="FT69" s="886"/>
      <c r="FU69" s="886"/>
      <c r="FV69" s="886"/>
      <c r="FW69" s="886"/>
      <c r="FX69" s="886"/>
      <c r="FY69" s="886"/>
      <c r="FZ69" s="886"/>
      <c r="GA69" s="886"/>
      <c r="GB69" s="886"/>
      <c r="GC69" s="886"/>
      <c r="GD69" s="886"/>
      <c r="GE69" s="886"/>
      <c r="GF69" s="886"/>
      <c r="GG69" s="886"/>
      <c r="GH69" s="886"/>
      <c r="GI69" s="886"/>
      <c r="GJ69" s="886"/>
      <c r="GK69" s="886"/>
      <c r="GL69" s="886"/>
      <c r="GM69" s="886"/>
      <c r="GN69" s="886"/>
      <c r="GO69" s="886"/>
      <c r="GP69" s="886"/>
      <c r="GQ69" s="886"/>
      <c r="GR69" s="886"/>
      <c r="GS69" s="886"/>
      <c r="GT69" s="886"/>
      <c r="GU69" s="886"/>
      <c r="GV69" s="886"/>
      <c r="GW69" s="886"/>
      <c r="GX69" s="886"/>
      <c r="GY69" s="886"/>
      <c r="GZ69" s="886"/>
      <c r="HA69" s="886"/>
      <c r="HB69" s="886"/>
      <c r="HC69" s="886"/>
      <c r="HD69" s="886"/>
      <c r="HE69" s="886"/>
      <c r="HF69" s="886"/>
      <c r="HG69" s="886"/>
      <c r="HH69" s="886"/>
      <c r="HI69" s="886"/>
      <c r="HJ69" s="886"/>
      <c r="HK69" s="886"/>
      <c r="HL69" s="886"/>
      <c r="HM69" s="886"/>
      <c r="HN69" s="886"/>
      <c r="HO69" s="886"/>
      <c r="HP69" s="886"/>
      <c r="HQ69" s="886"/>
      <c r="HR69" s="886"/>
      <c r="HS69" s="886"/>
      <c r="HT69" s="886"/>
      <c r="HU69" s="886"/>
      <c r="HV69" s="886"/>
      <c r="HW69" s="886"/>
      <c r="HX69" s="886"/>
      <c r="HY69" s="886"/>
      <c r="HZ69" s="886"/>
      <c r="IA69" s="886"/>
      <c r="IB69" s="886"/>
      <c r="IC69" s="886"/>
      <c r="ID69" s="886"/>
      <c r="IE69" s="886"/>
      <c r="IF69" s="886"/>
      <c r="IG69" s="886"/>
      <c r="IH69" s="886"/>
      <c r="II69" s="886"/>
      <c r="IJ69" s="886"/>
      <c r="IK69" s="886"/>
      <c r="IL69" s="886"/>
      <c r="IM69" s="886"/>
      <c r="IN69" s="886"/>
      <c r="IO69" s="886"/>
      <c r="IP69" s="886"/>
      <c r="IQ69" s="886"/>
      <c r="IR69" s="886"/>
      <c r="IS69" s="886"/>
      <c r="IT69" s="886"/>
      <c r="IU69" s="886"/>
      <c r="IV69" s="886"/>
      <c r="IW69" s="886"/>
      <c r="IX69" s="886"/>
      <c r="IY69" s="886"/>
      <c r="IZ69" s="886"/>
      <c r="JA69" s="886"/>
      <c r="JB69" s="886"/>
      <c r="JC69" s="886"/>
      <c r="JD69" s="886"/>
      <c r="JE69" s="886"/>
      <c r="JF69" s="886"/>
      <c r="JG69" s="886"/>
      <c r="JH69" s="886"/>
      <c r="JI69" s="886"/>
      <c r="JJ69" s="886"/>
      <c r="JK69" s="886"/>
      <c r="JL69" s="886"/>
      <c r="JM69" s="886"/>
      <c r="JN69" s="886"/>
      <c r="JO69" s="886"/>
      <c r="JP69" s="886"/>
      <c r="JQ69" s="886"/>
      <c r="JR69" s="886"/>
      <c r="JS69" s="886"/>
      <c r="JT69" s="886"/>
      <c r="JU69" s="886"/>
      <c r="JV69" s="886"/>
      <c r="JW69" s="886"/>
      <c r="JX69" s="886"/>
      <c r="JY69" s="886"/>
      <c r="JZ69" s="886"/>
      <c r="KA69" s="886"/>
      <c r="KB69" s="886"/>
      <c r="KC69" s="886"/>
      <c r="KD69" s="886"/>
      <c r="KE69" s="886"/>
      <c r="KF69" s="886"/>
      <c r="KG69" s="886"/>
      <c r="KH69" s="886"/>
      <c r="KI69" s="886"/>
      <c r="KJ69" s="886"/>
      <c r="KK69" s="886"/>
      <c r="KL69" s="886"/>
      <c r="KM69" s="886"/>
      <c r="KN69" s="886"/>
      <c r="KO69" s="886"/>
      <c r="KP69" s="886"/>
      <c r="KQ69" s="886"/>
      <c r="KR69" s="886"/>
      <c r="KS69" s="886"/>
      <c r="KT69" s="886"/>
      <c r="KU69" s="886"/>
      <c r="KV69" s="886"/>
      <c r="KW69" s="886"/>
      <c r="KX69" s="886"/>
      <c r="KY69" s="886"/>
      <c r="KZ69" s="886"/>
      <c r="LA69" s="886"/>
      <c r="LB69" s="886"/>
      <c r="LC69" s="886"/>
      <c r="LD69" s="886"/>
      <c r="LE69" s="886"/>
      <c r="LF69" s="886"/>
      <c r="LG69" s="886"/>
      <c r="LH69" s="886"/>
      <c r="LI69" s="886"/>
      <c r="LJ69" s="886"/>
      <c r="LK69" s="886"/>
      <c r="LL69" s="886"/>
      <c r="LM69" s="886"/>
      <c r="LN69" s="886"/>
      <c r="LO69" s="886"/>
      <c r="LP69" s="886"/>
      <c r="LQ69" s="886"/>
      <c r="LR69" s="886"/>
      <c r="LS69" s="886"/>
      <c r="LT69" s="886"/>
      <c r="LU69" s="886"/>
      <c r="LV69" s="886"/>
      <c r="LW69" s="886"/>
      <c r="LX69" s="886"/>
      <c r="LY69" s="886"/>
      <c r="LZ69" s="886"/>
      <c r="MA69" s="886"/>
      <c r="MB69" s="886"/>
      <c r="MC69" s="886"/>
      <c r="MD69" s="886"/>
      <c r="ME69" s="886"/>
      <c r="MF69" s="886"/>
      <c r="MG69" s="886"/>
      <c r="MH69" s="886"/>
      <c r="MI69" s="886"/>
      <c r="MJ69" s="886"/>
      <c r="MK69" s="886"/>
      <c r="ML69" s="886"/>
      <c r="MM69" s="886"/>
      <c r="MN69" s="886"/>
      <c r="MO69" s="886"/>
      <c r="MP69" s="886"/>
      <c r="MQ69" s="886"/>
      <c r="MR69" s="886"/>
      <c r="MS69" s="886"/>
      <c r="MT69" s="886"/>
      <c r="MU69" s="886"/>
      <c r="MV69" s="886"/>
      <c r="MW69" s="886"/>
      <c r="MX69" s="886"/>
      <c r="MY69" s="886"/>
      <c r="MZ69" s="886"/>
      <c r="NA69" s="886"/>
      <c r="NB69" s="886"/>
      <c r="NC69" s="886"/>
      <c r="ND69" s="886"/>
      <c r="NE69" s="886"/>
      <c r="NF69" s="886"/>
      <c r="NG69" s="886"/>
      <c r="NH69" s="886"/>
      <c r="NI69" s="886"/>
      <c r="NJ69" s="886"/>
      <c r="NK69" s="886"/>
      <c r="NL69" s="886"/>
      <c r="NM69" s="886"/>
      <c r="NN69" s="886"/>
      <c r="NO69" s="886"/>
      <c r="NP69" s="886"/>
      <c r="NQ69" s="886"/>
      <c r="NR69" s="886"/>
      <c r="NS69" s="886"/>
      <c r="NT69" s="886"/>
      <c r="NU69" s="886"/>
      <c r="NV69" s="886"/>
      <c r="NW69" s="886"/>
      <c r="NX69" s="886"/>
      <c r="NY69" s="886"/>
      <c r="NZ69" s="886"/>
      <c r="OA69" s="886"/>
      <c r="OB69" s="886"/>
      <c r="OC69" s="886"/>
      <c r="OD69" s="886"/>
      <c r="OE69" s="886"/>
      <c r="OF69" s="886"/>
      <c r="OG69" s="886"/>
      <c r="OH69" s="886"/>
      <c r="OI69" s="886"/>
      <c r="OJ69" s="886"/>
      <c r="OK69" s="886"/>
      <c r="OL69" s="886"/>
      <c r="OM69" s="886"/>
      <c r="ON69" s="886"/>
      <c r="OO69" s="886"/>
      <c r="OP69" s="886"/>
      <c r="OQ69" s="886"/>
      <c r="OR69" s="886"/>
      <c r="OS69" s="886"/>
      <c r="OT69" s="886"/>
      <c r="OU69" s="886"/>
      <c r="OV69" s="886"/>
      <c r="OW69" s="886"/>
      <c r="OX69" s="886"/>
      <c r="OY69" s="886"/>
      <c r="OZ69" s="886"/>
      <c r="PA69" s="886"/>
      <c r="PB69" s="886"/>
      <c r="PC69" s="886"/>
      <c r="PD69" s="886"/>
      <c r="PE69" s="886"/>
      <c r="PF69" s="886"/>
      <c r="PG69" s="886"/>
      <c r="PH69" s="886"/>
      <c r="PI69" s="886"/>
      <c r="PJ69" s="886"/>
      <c r="PK69" s="886"/>
      <c r="PL69" s="886"/>
      <c r="PM69" s="886"/>
      <c r="PN69" s="886"/>
      <c r="PO69" s="886"/>
      <c r="PP69" s="886"/>
      <c r="PQ69" s="886"/>
      <c r="PR69" s="886"/>
      <c r="PS69" s="886"/>
      <c r="PT69" s="886"/>
      <c r="PU69" s="886"/>
      <c r="PV69" s="886"/>
      <c r="PW69" s="886"/>
      <c r="PX69" s="886"/>
      <c r="PY69" s="886"/>
      <c r="PZ69" s="886"/>
      <c r="QA69" s="886"/>
      <c r="QB69" s="886"/>
      <c r="QC69" s="886"/>
      <c r="QD69" s="886"/>
      <c r="QE69" s="886"/>
      <c r="QF69" s="886"/>
      <c r="QG69" s="886"/>
      <c r="QH69" s="886"/>
      <c r="QI69" s="886"/>
      <c r="QJ69" s="886"/>
      <c r="QK69" s="886"/>
      <c r="QL69" s="886"/>
      <c r="QM69" s="886"/>
      <c r="QN69" s="886"/>
      <c r="QO69" s="886"/>
      <c r="QP69" s="886"/>
      <c r="QQ69" s="886"/>
      <c r="QR69" s="886"/>
      <c r="QS69" s="886"/>
      <c r="QT69" s="886"/>
      <c r="QU69" s="886"/>
      <c r="QV69" s="886"/>
      <c r="QW69" s="886"/>
      <c r="QX69" s="886"/>
      <c r="QY69" s="886"/>
      <c r="QZ69" s="886"/>
      <c r="RA69" s="886"/>
      <c r="RB69" s="886"/>
      <c r="RC69" s="886"/>
      <c r="RD69" s="886"/>
      <c r="RE69" s="886"/>
      <c r="RF69" s="886"/>
      <c r="RG69" s="886"/>
      <c r="RH69" s="886"/>
      <c r="RI69" s="886"/>
      <c r="RJ69" s="886"/>
      <c r="RK69" s="886"/>
      <c r="RL69" s="886"/>
      <c r="RM69" s="886"/>
      <c r="RN69" s="886"/>
      <c r="RO69" s="886"/>
      <c r="RP69" s="886"/>
      <c r="RQ69" s="886"/>
      <c r="RR69" s="886"/>
      <c r="RS69" s="886"/>
      <c r="RT69" s="886"/>
      <c r="RU69" s="886"/>
      <c r="RV69" s="886"/>
      <c r="RW69" s="886"/>
      <c r="RX69" s="886"/>
      <c r="RY69" s="886"/>
      <c r="RZ69" s="886"/>
      <c r="SA69" s="886"/>
      <c r="SB69" s="886"/>
      <c r="SC69" s="886"/>
      <c r="SD69" s="886"/>
      <c r="SE69" s="886"/>
      <c r="SF69" s="886"/>
      <c r="SG69" s="886"/>
      <c r="SH69" s="886"/>
      <c r="SI69" s="886"/>
      <c r="SJ69" s="886"/>
      <c r="SK69" s="886"/>
      <c r="SL69" s="886"/>
      <c r="SM69" s="886"/>
      <c r="SN69" s="886"/>
      <c r="SO69" s="886"/>
      <c r="SP69" s="886"/>
      <c r="SQ69" s="886"/>
      <c r="SR69" s="886"/>
      <c r="SS69" s="886"/>
      <c r="ST69" s="886"/>
      <c r="SU69" s="886"/>
      <c r="SV69" s="886"/>
      <c r="SW69" s="886"/>
      <c r="SX69" s="886"/>
      <c r="SY69" s="886"/>
      <c r="SZ69" s="886"/>
      <c r="TA69" s="886"/>
      <c r="TB69" s="886"/>
      <c r="TC69" s="886"/>
      <c r="TD69" s="886"/>
      <c r="TE69" s="886"/>
      <c r="TF69" s="886"/>
      <c r="TG69" s="886"/>
      <c r="TH69" s="886"/>
      <c r="TI69" s="886"/>
      <c r="TJ69" s="886"/>
      <c r="TK69" s="886"/>
      <c r="TL69" s="886"/>
      <c r="TM69" s="886"/>
      <c r="TN69" s="886"/>
      <c r="TO69" s="886"/>
      <c r="TP69" s="886"/>
      <c r="TQ69" s="886"/>
      <c r="TR69" s="886"/>
      <c r="TS69" s="886"/>
      <c r="TT69" s="886"/>
      <c r="TU69" s="886"/>
      <c r="TV69" s="886"/>
      <c r="TW69" s="886"/>
      <c r="TX69" s="886"/>
      <c r="TY69" s="886"/>
      <c r="TZ69" s="886"/>
      <c r="UA69" s="886"/>
      <c r="UB69" s="886"/>
      <c r="UC69" s="886"/>
      <c r="UD69" s="886"/>
      <c r="UE69" s="886"/>
      <c r="UF69" s="886"/>
      <c r="UG69" s="886"/>
      <c r="UH69" s="886"/>
      <c r="UI69" s="886"/>
      <c r="UJ69" s="886"/>
      <c r="UK69" s="886"/>
      <c r="UL69" s="886"/>
      <c r="UM69" s="886"/>
      <c r="UN69" s="886"/>
      <c r="UO69" s="886"/>
      <c r="UP69" s="886"/>
      <c r="UQ69" s="886"/>
      <c r="UR69" s="886"/>
      <c r="US69" s="886"/>
      <c r="UT69" s="886"/>
      <c r="UU69" s="886"/>
      <c r="UV69" s="886"/>
      <c r="UW69" s="886"/>
      <c r="UX69" s="886"/>
      <c r="UY69" s="886"/>
      <c r="UZ69" s="886"/>
      <c r="VA69" s="886"/>
      <c r="VB69" s="886"/>
      <c r="VC69" s="886"/>
      <c r="VD69" s="886"/>
      <c r="VE69" s="886"/>
      <c r="VF69" s="886"/>
      <c r="VG69" s="886"/>
      <c r="VH69" s="886"/>
      <c r="VI69" s="886"/>
      <c r="VJ69" s="886"/>
      <c r="VK69" s="886"/>
      <c r="VL69" s="886"/>
      <c r="VM69" s="886"/>
      <c r="VN69" s="886"/>
      <c r="VO69" s="886"/>
      <c r="VP69" s="886"/>
      <c r="VQ69" s="886"/>
      <c r="VR69" s="886"/>
      <c r="VS69" s="886"/>
      <c r="VT69" s="886"/>
      <c r="VU69" s="886"/>
      <c r="VV69" s="886"/>
      <c r="VW69" s="886"/>
      <c r="VX69" s="886"/>
      <c r="VY69" s="886"/>
      <c r="VZ69" s="886"/>
      <c r="WA69" s="886"/>
      <c r="WB69" s="886"/>
      <c r="WC69" s="886"/>
      <c r="WD69" s="886"/>
      <c r="WE69" s="886"/>
      <c r="WF69" s="886"/>
      <c r="WG69" s="886"/>
      <c r="WH69" s="886"/>
      <c r="WI69" s="886"/>
      <c r="WJ69" s="886"/>
      <c r="WK69" s="886"/>
      <c r="WL69" s="886"/>
      <c r="WM69" s="886"/>
      <c r="WN69" s="886"/>
      <c r="WO69" s="886"/>
      <c r="WP69" s="886"/>
      <c r="WQ69" s="886"/>
      <c r="WR69" s="886"/>
      <c r="WS69" s="886"/>
      <c r="WT69" s="886"/>
      <c r="WU69" s="886"/>
      <c r="WV69" s="886"/>
      <c r="WW69" s="886"/>
      <c r="WX69" s="886"/>
      <c r="WY69" s="886"/>
      <c r="WZ69" s="886"/>
      <c r="XA69" s="886"/>
      <c r="XB69" s="886"/>
      <c r="XC69" s="886"/>
      <c r="XD69" s="886"/>
      <c r="XE69" s="886"/>
      <c r="XF69" s="886"/>
      <c r="XG69" s="886"/>
      <c r="XH69" s="886"/>
      <c r="XI69" s="886"/>
      <c r="XJ69" s="886"/>
      <c r="XK69" s="886"/>
      <c r="XL69" s="886"/>
      <c r="XM69" s="886"/>
      <c r="XN69" s="886"/>
      <c r="XO69" s="886"/>
      <c r="XP69" s="886"/>
      <c r="XQ69" s="886"/>
      <c r="XR69" s="886"/>
      <c r="XS69" s="886"/>
      <c r="XT69" s="886"/>
      <c r="XU69" s="886"/>
      <c r="XV69" s="886"/>
      <c r="XW69" s="886"/>
      <c r="XX69" s="886"/>
      <c r="XY69" s="886"/>
      <c r="XZ69" s="886"/>
      <c r="YA69" s="886"/>
      <c r="YB69" s="886"/>
      <c r="YC69" s="886"/>
      <c r="YD69" s="886"/>
      <c r="YE69" s="886"/>
      <c r="YF69" s="886"/>
      <c r="YG69" s="886"/>
      <c r="YH69" s="886"/>
      <c r="YI69" s="886"/>
      <c r="YJ69" s="886"/>
      <c r="YK69" s="886"/>
      <c r="YL69" s="886"/>
      <c r="YM69" s="886"/>
      <c r="YN69" s="886"/>
      <c r="YO69" s="886"/>
      <c r="YP69" s="886"/>
      <c r="YQ69" s="886"/>
      <c r="YR69" s="886"/>
      <c r="YS69" s="886"/>
      <c r="YT69" s="886"/>
      <c r="YU69" s="886"/>
      <c r="YV69" s="886"/>
      <c r="YW69" s="886"/>
      <c r="YX69" s="886"/>
      <c r="YY69" s="886"/>
      <c r="YZ69" s="886"/>
      <c r="ZA69" s="886"/>
      <c r="ZB69" s="886"/>
      <c r="ZC69" s="886"/>
      <c r="ZD69" s="886"/>
      <c r="ZE69" s="886"/>
      <c r="ZF69" s="886"/>
      <c r="ZG69" s="886"/>
      <c r="ZH69" s="886"/>
      <c r="ZI69" s="886"/>
      <c r="ZJ69" s="886"/>
      <c r="ZK69" s="886"/>
      <c r="ZL69" s="886"/>
      <c r="ZM69" s="886"/>
      <c r="ZN69" s="886"/>
      <c r="ZO69" s="886"/>
      <c r="ZP69" s="886"/>
      <c r="ZQ69" s="886"/>
      <c r="ZR69" s="886"/>
      <c r="ZS69" s="886"/>
      <c r="ZT69" s="886"/>
      <c r="ZU69" s="886"/>
      <c r="ZV69" s="886"/>
      <c r="ZW69" s="886"/>
      <c r="ZX69" s="886"/>
      <c r="ZY69" s="886"/>
      <c r="ZZ69" s="886"/>
      <c r="AAA69" s="886"/>
      <c r="AAB69" s="886"/>
      <c r="AAC69" s="886"/>
      <c r="AAD69" s="886"/>
      <c r="AAE69" s="886"/>
      <c r="AAF69" s="886"/>
      <c r="AAG69" s="886"/>
      <c r="AAH69" s="886"/>
      <c r="AAI69" s="886"/>
      <c r="AAJ69" s="886"/>
      <c r="AAK69" s="886"/>
      <c r="AAL69" s="886"/>
      <c r="AAM69" s="886"/>
      <c r="AAN69" s="886"/>
      <c r="AAO69" s="886"/>
      <c r="AAP69" s="886"/>
      <c r="AAQ69" s="886"/>
      <c r="AAR69" s="886"/>
      <c r="AAS69" s="886"/>
      <c r="AAT69" s="886"/>
      <c r="AAU69" s="886"/>
      <c r="AAV69" s="886"/>
      <c r="AAW69" s="886"/>
      <c r="AAX69" s="886"/>
      <c r="AAY69" s="886"/>
      <c r="AAZ69" s="886"/>
      <c r="ABA69" s="886"/>
      <c r="ABB69" s="886"/>
      <c r="ABC69" s="886"/>
      <c r="ABD69" s="886"/>
      <c r="ABE69" s="886"/>
      <c r="ABF69" s="886"/>
      <c r="ABG69" s="886"/>
      <c r="ABH69" s="886"/>
      <c r="ABI69" s="886"/>
      <c r="ABJ69" s="886"/>
      <c r="ABK69" s="886"/>
      <c r="ABL69" s="886"/>
      <c r="ABM69" s="886"/>
      <c r="ABN69" s="886"/>
      <c r="ABO69" s="886"/>
      <c r="ABP69" s="886"/>
      <c r="ABQ69" s="886"/>
      <c r="ABR69" s="886"/>
      <c r="ABS69" s="886"/>
      <c r="ABT69" s="886"/>
      <c r="ABU69" s="886"/>
      <c r="ABV69" s="886"/>
      <c r="ABW69" s="886"/>
      <c r="ABX69" s="886"/>
      <c r="ABY69" s="886"/>
      <c r="ABZ69" s="886"/>
      <c r="ACA69" s="886"/>
      <c r="ACB69" s="886"/>
      <c r="ACC69" s="886"/>
      <c r="ACD69" s="886"/>
      <c r="ACE69" s="886"/>
      <c r="ACF69" s="886"/>
      <c r="ACG69" s="886"/>
      <c r="ACH69" s="886"/>
      <c r="ACI69" s="886"/>
      <c r="ACJ69" s="886"/>
      <c r="ACK69" s="886"/>
      <c r="ACL69" s="886"/>
      <c r="ACM69" s="886"/>
      <c r="ACN69" s="886"/>
      <c r="ACO69" s="886"/>
      <c r="ACP69" s="886"/>
      <c r="ACQ69" s="886"/>
      <c r="ACR69" s="886"/>
      <c r="ACS69" s="886"/>
      <c r="ACT69" s="886"/>
      <c r="ACU69" s="886"/>
      <c r="ACV69" s="886"/>
      <c r="ACW69" s="886"/>
      <c r="ACX69" s="886"/>
      <c r="ACY69" s="886"/>
      <c r="ACZ69" s="886"/>
      <c r="ADA69" s="886"/>
      <c r="ADB69" s="886"/>
      <c r="ADC69" s="886"/>
      <c r="ADD69" s="886"/>
      <c r="ADE69" s="886"/>
      <c r="ADF69" s="886"/>
      <c r="ADG69" s="886"/>
      <c r="ADH69" s="886"/>
      <c r="ADI69" s="886"/>
      <c r="ADJ69" s="886"/>
      <c r="ADK69" s="886"/>
      <c r="ADL69" s="886"/>
      <c r="ADM69" s="886"/>
      <c r="ADN69" s="886"/>
      <c r="ADO69" s="886"/>
      <c r="ADP69" s="886"/>
      <c r="ADQ69" s="886"/>
      <c r="ADR69" s="886"/>
      <c r="ADS69" s="886"/>
      <c r="ADT69" s="886"/>
      <c r="ADU69" s="886"/>
      <c r="ADV69" s="886"/>
      <c r="ADW69" s="886"/>
      <c r="ADX69" s="886"/>
      <c r="ADY69" s="886"/>
      <c r="ADZ69" s="886"/>
      <c r="AEA69" s="886"/>
      <c r="AEB69" s="886"/>
      <c r="AEC69" s="886"/>
      <c r="AED69" s="886"/>
      <c r="AEE69" s="886"/>
      <c r="AEF69" s="886"/>
      <c r="AEG69" s="886"/>
      <c r="AEH69" s="886"/>
      <c r="AEI69" s="886"/>
      <c r="AEJ69" s="886"/>
      <c r="AEK69" s="886"/>
      <c r="AEL69" s="886"/>
      <c r="AEM69" s="886"/>
      <c r="AEN69" s="886"/>
      <c r="AEO69" s="886"/>
      <c r="AEP69" s="886"/>
      <c r="AEQ69" s="886"/>
      <c r="AER69" s="886"/>
      <c r="AES69" s="886"/>
      <c r="AET69" s="886"/>
      <c r="AEU69" s="886"/>
      <c r="AEV69" s="886"/>
      <c r="AEW69" s="886"/>
      <c r="AEX69" s="886"/>
      <c r="AEY69" s="886"/>
      <c r="AEZ69" s="886"/>
      <c r="AFA69" s="886"/>
      <c r="AFB69" s="886"/>
      <c r="AFC69" s="886"/>
      <c r="AFD69" s="886"/>
      <c r="AFE69" s="886"/>
      <c r="AFF69" s="886"/>
      <c r="AFG69" s="886"/>
      <c r="AFH69" s="886"/>
      <c r="AFI69" s="886"/>
      <c r="AFJ69" s="886"/>
      <c r="AFK69" s="886"/>
      <c r="AFL69" s="886"/>
      <c r="AFM69" s="886"/>
      <c r="AFN69" s="886"/>
      <c r="AFO69" s="886"/>
      <c r="AFP69" s="886"/>
      <c r="AFQ69" s="886"/>
      <c r="AFR69" s="886"/>
      <c r="AFS69" s="886"/>
      <c r="AFT69" s="886"/>
      <c r="AFU69" s="886"/>
      <c r="AFV69" s="886"/>
      <c r="AFW69" s="886"/>
      <c r="AFX69" s="886"/>
      <c r="AFY69" s="886"/>
      <c r="AFZ69" s="886"/>
      <c r="AGA69" s="886"/>
      <c r="AGB69" s="886"/>
      <c r="AGC69" s="886"/>
      <c r="AGD69" s="886"/>
      <c r="AGE69" s="886"/>
      <c r="AGF69" s="886"/>
      <c r="AGG69" s="886"/>
      <c r="AGH69" s="886"/>
      <c r="AGI69" s="886"/>
      <c r="AGJ69" s="886"/>
      <c r="AGK69" s="886"/>
      <c r="AGL69" s="886"/>
      <c r="AGM69" s="886"/>
      <c r="AGN69" s="886"/>
      <c r="AGO69" s="886"/>
      <c r="AGP69" s="886"/>
      <c r="AGQ69" s="886"/>
      <c r="AGR69" s="886"/>
      <c r="AGS69" s="886"/>
      <c r="AGT69" s="886"/>
      <c r="AGU69" s="886"/>
      <c r="AGV69" s="886"/>
      <c r="AGW69" s="886"/>
      <c r="AGX69" s="886"/>
      <c r="AGY69" s="886"/>
      <c r="AGZ69" s="886"/>
      <c r="AHA69" s="886"/>
      <c r="AHB69" s="886"/>
      <c r="AHC69" s="886"/>
      <c r="AHD69" s="886"/>
      <c r="AHE69" s="886"/>
      <c r="AHF69" s="886"/>
      <c r="AHG69" s="886"/>
      <c r="AHH69" s="886"/>
      <c r="AHI69" s="886"/>
      <c r="AHJ69" s="886"/>
      <c r="AHK69" s="886"/>
      <c r="AHL69" s="886"/>
      <c r="AHM69" s="886"/>
      <c r="AHN69" s="886"/>
      <c r="AHO69" s="886"/>
      <c r="AHP69" s="886"/>
      <c r="AHQ69" s="886"/>
      <c r="AHR69" s="886"/>
      <c r="AHS69" s="886"/>
      <c r="AHT69" s="886"/>
      <c r="AHU69" s="886"/>
      <c r="AHV69" s="886"/>
      <c r="AHW69" s="886"/>
      <c r="AHX69" s="886"/>
      <c r="AHY69" s="886"/>
      <c r="AHZ69" s="886"/>
      <c r="AIA69" s="886"/>
      <c r="AIB69" s="886"/>
      <c r="AIC69" s="886"/>
      <c r="AID69" s="886"/>
      <c r="AIE69" s="886"/>
      <c r="AIF69" s="886"/>
      <c r="AIG69" s="886"/>
      <c r="AIH69" s="886"/>
      <c r="AII69" s="886"/>
      <c r="AIJ69" s="886"/>
      <c r="AIK69" s="886"/>
      <c r="AIL69" s="886"/>
      <c r="AIM69" s="886"/>
      <c r="AIN69" s="886"/>
      <c r="AIO69" s="886"/>
      <c r="AIP69" s="886"/>
      <c r="AIQ69" s="886"/>
      <c r="AIR69" s="886"/>
      <c r="AIS69" s="886"/>
      <c r="AIT69" s="886"/>
      <c r="AIU69" s="886"/>
      <c r="AIV69" s="886"/>
      <c r="AIW69" s="886"/>
      <c r="AIX69" s="886"/>
      <c r="AIY69" s="886"/>
      <c r="AIZ69" s="886"/>
      <c r="AJA69" s="886"/>
      <c r="AJB69" s="886"/>
      <c r="AJC69" s="886"/>
      <c r="AJD69" s="886"/>
      <c r="AJE69" s="886"/>
      <c r="AJF69" s="886"/>
      <c r="AJG69" s="886"/>
      <c r="AJH69" s="886"/>
      <c r="AJI69" s="886"/>
      <c r="AJJ69" s="886"/>
      <c r="AJK69" s="886"/>
      <c r="AJL69" s="886"/>
      <c r="AJM69" s="886"/>
      <c r="AJN69" s="886"/>
      <c r="AJO69" s="886"/>
      <c r="AJP69" s="886"/>
      <c r="AJQ69" s="886"/>
      <c r="AJR69" s="886"/>
      <c r="AJS69" s="886"/>
      <c r="AJT69" s="886"/>
      <c r="AJU69" s="886"/>
      <c r="AJV69" s="886"/>
      <c r="AJW69" s="886"/>
      <c r="AJX69" s="886"/>
      <c r="AJY69" s="886"/>
      <c r="AJZ69" s="886"/>
      <c r="AKA69" s="886"/>
      <c r="AKB69" s="886"/>
      <c r="AKC69" s="886"/>
      <c r="AKD69" s="886"/>
      <c r="AKE69" s="886"/>
      <c r="AKF69" s="886"/>
      <c r="AKG69" s="886"/>
      <c r="AKH69" s="886"/>
      <c r="AKI69" s="886"/>
      <c r="AKJ69" s="886"/>
      <c r="AKK69" s="886"/>
      <c r="AKL69" s="886"/>
      <c r="AKM69" s="886"/>
      <c r="AKN69" s="886"/>
      <c r="AKO69" s="886"/>
      <c r="AKP69" s="886"/>
      <c r="AKQ69" s="886"/>
      <c r="AKR69" s="886"/>
      <c r="AKS69" s="886"/>
      <c r="AKT69" s="886"/>
      <c r="AKU69" s="886"/>
      <c r="AKV69" s="886"/>
      <c r="AKW69" s="886"/>
      <c r="AKX69" s="886"/>
      <c r="AKY69" s="886"/>
      <c r="AKZ69" s="886"/>
      <c r="ALA69" s="886"/>
      <c r="ALB69" s="886"/>
      <c r="ALC69" s="886"/>
      <c r="ALD69" s="886"/>
      <c r="ALE69" s="886"/>
      <c r="ALF69" s="886"/>
      <c r="ALG69" s="886"/>
      <c r="ALH69" s="886"/>
      <c r="ALI69" s="886"/>
      <c r="ALJ69" s="886"/>
      <c r="ALK69" s="886"/>
      <c r="ALL69" s="886"/>
      <c r="ALM69" s="886"/>
      <c r="ALN69" s="886"/>
      <c r="ALO69" s="886"/>
      <c r="ALP69" s="886"/>
      <c r="ALQ69" s="886"/>
      <c r="ALR69" s="886"/>
      <c r="ALS69" s="886"/>
      <c r="ALT69" s="886"/>
      <c r="ALU69" s="886"/>
      <c r="ALV69" s="886"/>
      <c r="ALW69" s="886"/>
      <c r="ALX69" s="886"/>
      <c r="ALY69" s="886"/>
      <c r="ALZ69" s="886"/>
      <c r="AMA69" s="886"/>
      <c r="AMB69" s="886"/>
      <c r="AMC69" s="886"/>
      <c r="AMD69" s="886"/>
      <c r="AME69" s="886"/>
      <c r="AMF69" s="886"/>
      <c r="AMG69" s="886"/>
      <c r="AMH69" s="886"/>
      <c r="AMI69" s="886"/>
      <c r="AMJ69" s="886"/>
      <c r="AMK69" s="886"/>
      <c r="AML69" s="886"/>
      <c r="AMM69" s="886"/>
      <c r="AMN69" s="886"/>
      <c r="AMO69" s="886"/>
      <c r="AMP69" s="886"/>
      <c r="AMQ69" s="886"/>
      <c r="AMR69" s="886"/>
      <c r="AMS69" s="886"/>
      <c r="AMT69" s="886"/>
      <c r="AMU69" s="886"/>
      <c r="AMV69" s="886"/>
      <c r="AMW69" s="886"/>
      <c r="AMX69" s="886"/>
      <c r="AMY69" s="886"/>
      <c r="AMZ69" s="886"/>
      <c r="ANA69" s="886"/>
      <c r="ANB69" s="886"/>
      <c r="ANC69" s="886"/>
      <c r="AND69" s="886"/>
      <c r="ANE69" s="886"/>
      <c r="ANF69" s="886"/>
      <c r="ANG69" s="886"/>
      <c r="ANH69" s="886"/>
      <c r="ANI69" s="886"/>
      <c r="ANJ69" s="886"/>
      <c r="ANK69" s="886"/>
      <c r="ANL69" s="886"/>
      <c r="ANM69" s="886"/>
      <c r="ANN69" s="886"/>
      <c r="ANO69" s="886"/>
      <c r="ANP69" s="886"/>
      <c r="ANQ69" s="886"/>
      <c r="ANR69" s="886"/>
      <c r="ANS69" s="886"/>
      <c r="ANT69" s="886"/>
      <c r="ANU69" s="886"/>
      <c r="ANV69" s="886"/>
      <c r="ANW69" s="886"/>
      <c r="ANX69" s="886"/>
      <c r="ANY69" s="886"/>
      <c r="ANZ69" s="886"/>
      <c r="AOA69" s="886"/>
      <c r="AOB69" s="886"/>
      <c r="AOC69" s="886"/>
      <c r="AOD69" s="886"/>
      <c r="AOE69" s="886"/>
      <c r="AOF69" s="886"/>
      <c r="AOG69" s="886"/>
      <c r="AOH69" s="886"/>
      <c r="AOI69" s="886"/>
      <c r="AOJ69" s="886"/>
      <c r="AOK69" s="886"/>
      <c r="AOL69" s="886"/>
      <c r="AOM69" s="886"/>
      <c r="AON69" s="886"/>
      <c r="AOO69" s="886"/>
      <c r="AOP69" s="886"/>
      <c r="AOQ69" s="886"/>
      <c r="AOR69" s="886"/>
      <c r="AOS69" s="886"/>
      <c r="AOT69" s="886"/>
      <c r="AOU69" s="886"/>
      <c r="AOV69" s="886"/>
      <c r="AOW69" s="886"/>
      <c r="AOX69" s="886"/>
      <c r="AOY69" s="886"/>
      <c r="AOZ69" s="886"/>
      <c r="APA69" s="886"/>
      <c r="APB69" s="886"/>
      <c r="APC69" s="886"/>
      <c r="APD69" s="886"/>
      <c r="APE69" s="886"/>
      <c r="APF69" s="886"/>
      <c r="APG69" s="886"/>
      <c r="APH69" s="886"/>
      <c r="API69" s="886"/>
      <c r="APJ69" s="886"/>
      <c r="APK69" s="886"/>
    </row>
    <row r="70" spans="1:1103" ht="15" x14ac:dyDescent="0.25">
      <c r="B70" s="405" t="s">
        <v>385</v>
      </c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97"/>
      <c r="Q70" s="107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8"/>
      <c r="AC70" s="107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>
        <f>AA69</f>
        <v>14.76</v>
      </c>
      <c r="AN70" s="108">
        <f t="shared" si="336"/>
        <v>41.160719999999998</v>
      </c>
      <c r="AO70" s="107">
        <f t="shared" si="336"/>
        <v>54.7715064</v>
      </c>
      <c r="AP70" s="106">
        <f t="shared" si="336"/>
        <v>91.327757152000004</v>
      </c>
      <c r="AQ70" s="106">
        <f t="shared" si="336"/>
        <v>167.89355942399999</v>
      </c>
      <c r="AR70" s="106">
        <f t="shared" si="336"/>
        <v>168.46607130405889</v>
      </c>
      <c r="AS70" s="106">
        <f t="shared" si="336"/>
        <v>270.30829480619531</v>
      </c>
      <c r="AT70" s="106">
        <f t="shared" si="336"/>
        <v>320.32381051888274</v>
      </c>
      <c r="AU70" s="106">
        <f t="shared" si="336"/>
        <v>210.39300287971113</v>
      </c>
      <c r="AV70" s="106">
        <f t="shared" si="336"/>
        <v>320.69456623526162</v>
      </c>
      <c r="AW70" s="106">
        <f t="shared" si="336"/>
        <v>377.81942468368993</v>
      </c>
      <c r="AX70" s="106">
        <f t="shared" si="336"/>
        <v>265.29584508845386</v>
      </c>
      <c r="AY70" s="106">
        <f t="shared" si="336"/>
        <v>379.06445885244068</v>
      </c>
      <c r="AZ70" s="108">
        <f t="shared" si="336"/>
        <v>417.9585819990383</v>
      </c>
      <c r="BA70" s="107">
        <f t="shared" si="336"/>
        <v>292.39616355154021</v>
      </c>
      <c r="BB70" s="106">
        <f t="shared" si="336"/>
        <v>389.92845726502054</v>
      </c>
      <c r="BC70" s="106">
        <f t="shared" si="336"/>
        <v>385.43972188499868</v>
      </c>
      <c r="BD70" s="106">
        <f t="shared" si="336"/>
        <v>305.19178755284366</v>
      </c>
      <c r="BE70" s="106">
        <f t="shared" si="336"/>
        <v>350.41974458939683</v>
      </c>
      <c r="BF70" s="106">
        <f t="shared" si="336"/>
        <v>400.32587172020294</v>
      </c>
      <c r="BG70" s="106">
        <f t="shared" si="336"/>
        <v>455.47934969299075</v>
      </c>
      <c r="BH70" s="106">
        <f t="shared" si="336"/>
        <v>514.70181648104131</v>
      </c>
      <c r="BI70" s="106">
        <f t="shared" si="336"/>
        <v>580.33621418414066</v>
      </c>
      <c r="BJ70" s="106">
        <f t="shared" si="336"/>
        <v>649.76123149850184</v>
      </c>
      <c r="BK70" s="106">
        <f t="shared" si="336"/>
        <v>629.70813085688985</v>
      </c>
      <c r="BL70" s="108">
        <f t="shared" si="337"/>
        <v>597.10277774485962</v>
      </c>
      <c r="BM70" s="107">
        <f t="shared" si="337"/>
        <v>565.76517694840265</v>
      </c>
      <c r="BN70" s="106">
        <f t="shared" si="337"/>
        <v>532.11246399900642</v>
      </c>
      <c r="BO70" s="106">
        <f t="shared" ref="BO70:BW72" si="338">BC69</f>
        <v>481.69613841169269</v>
      </c>
      <c r="BP70" s="106">
        <f t="shared" si="338"/>
        <v>439.34743541019498</v>
      </c>
      <c r="BQ70" s="106">
        <f t="shared" si="338"/>
        <v>385.78132332079076</v>
      </c>
      <c r="BR70" s="106">
        <f t="shared" si="338"/>
        <v>316.40649380600507</v>
      </c>
      <c r="BS70" s="106">
        <f t="shared" si="338"/>
        <v>251.99664427288016</v>
      </c>
      <c r="BT70" s="106">
        <f t="shared" si="338"/>
        <v>179.36984177761406</v>
      </c>
      <c r="BU70" s="106">
        <f t="shared" si="338"/>
        <v>88.358167592338134</v>
      </c>
      <c r="BV70" s="106">
        <f t="shared" si="338"/>
        <v>0</v>
      </c>
      <c r="BW70" s="106">
        <f t="shared" si="338"/>
        <v>88.358167592338134</v>
      </c>
      <c r="BX70" s="108">
        <f t="shared" ref="BX70:BY73" si="339">BL69</f>
        <v>0</v>
      </c>
      <c r="BY70" s="107">
        <f t="shared" si="339"/>
        <v>0</v>
      </c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8"/>
      <c r="CK70" s="107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8"/>
      <c r="CW70" s="107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8"/>
      <c r="DI70" s="107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8"/>
    </row>
    <row r="71" spans="1:1103" ht="15" x14ac:dyDescent="0.25">
      <c r="B71" s="405" t="s">
        <v>386</v>
      </c>
      <c r="E71" s="538"/>
      <c r="F71" s="538"/>
      <c r="G71" s="538"/>
      <c r="H71" s="538"/>
      <c r="I71" s="538"/>
      <c r="J71" s="538"/>
      <c r="K71" s="471"/>
      <c r="L71" s="471"/>
      <c r="M71" s="471"/>
      <c r="N71" s="471"/>
      <c r="O71" s="471"/>
      <c r="P71" s="498"/>
      <c r="Q71" s="28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3"/>
      <c r="AC71" s="28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3"/>
      <c r="AO71" s="28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>
        <f>AM70</f>
        <v>14.76</v>
      </c>
      <c r="AZ71" s="313">
        <f t="shared" si="336"/>
        <v>41.160719999999998</v>
      </c>
      <c r="BA71" s="282">
        <f t="shared" si="336"/>
        <v>54.7715064</v>
      </c>
      <c r="BB71" s="312">
        <f t="shared" si="336"/>
        <v>91.327757152000004</v>
      </c>
      <c r="BC71" s="312">
        <f t="shared" si="336"/>
        <v>167.89355942399999</v>
      </c>
      <c r="BD71" s="312">
        <f t="shared" si="336"/>
        <v>168.46607130405889</v>
      </c>
      <c r="BE71" s="312">
        <f t="shared" si="336"/>
        <v>270.30829480619531</v>
      </c>
      <c r="BF71" s="312">
        <f t="shared" si="336"/>
        <v>320.32381051888274</v>
      </c>
      <c r="BG71" s="312">
        <f t="shared" si="336"/>
        <v>210.39300287971113</v>
      </c>
      <c r="BH71" s="312">
        <f t="shared" si="336"/>
        <v>320.69456623526162</v>
      </c>
      <c r="BI71" s="312">
        <f t="shared" si="336"/>
        <v>377.81942468368993</v>
      </c>
      <c r="BJ71" s="312">
        <f t="shared" si="336"/>
        <v>265.29584508845386</v>
      </c>
      <c r="BK71" s="312">
        <f t="shared" si="336"/>
        <v>379.06445885244068</v>
      </c>
      <c r="BL71" s="313">
        <f t="shared" si="337"/>
        <v>417.9585819990383</v>
      </c>
      <c r="BM71" s="282">
        <f t="shared" si="337"/>
        <v>292.39616355154021</v>
      </c>
      <c r="BN71" s="312">
        <f t="shared" si="337"/>
        <v>389.92845726502054</v>
      </c>
      <c r="BO71" s="312">
        <f t="shared" si="338"/>
        <v>385.43972188499868</v>
      </c>
      <c r="BP71" s="312">
        <f t="shared" si="338"/>
        <v>305.19178755284366</v>
      </c>
      <c r="BQ71" s="312">
        <f t="shared" si="338"/>
        <v>350.41974458939683</v>
      </c>
      <c r="BR71" s="312">
        <f t="shared" si="338"/>
        <v>400.32587172020294</v>
      </c>
      <c r="BS71" s="312">
        <f t="shared" si="338"/>
        <v>455.47934969299075</v>
      </c>
      <c r="BT71" s="312">
        <f t="shared" si="338"/>
        <v>514.70181648104131</v>
      </c>
      <c r="BU71" s="312">
        <f t="shared" si="338"/>
        <v>580.33621418414066</v>
      </c>
      <c r="BV71" s="312">
        <f t="shared" si="338"/>
        <v>649.76123149850184</v>
      </c>
      <c r="BW71" s="312">
        <f t="shared" si="338"/>
        <v>629.70813085688985</v>
      </c>
      <c r="BX71" s="313">
        <f t="shared" si="339"/>
        <v>597.10277774485962</v>
      </c>
      <c r="BY71" s="282">
        <f t="shared" si="339"/>
        <v>565.76517694840265</v>
      </c>
      <c r="BZ71" s="312">
        <f t="shared" ref="BZ71:CG73" si="340">BN70</f>
        <v>532.11246399900642</v>
      </c>
      <c r="CA71" s="312">
        <f t="shared" si="340"/>
        <v>481.69613841169269</v>
      </c>
      <c r="CB71" s="312">
        <f t="shared" si="340"/>
        <v>439.34743541019498</v>
      </c>
      <c r="CC71" s="312">
        <f t="shared" si="340"/>
        <v>385.78132332079076</v>
      </c>
      <c r="CD71" s="312">
        <f t="shared" si="340"/>
        <v>316.40649380600507</v>
      </c>
      <c r="CE71" s="312">
        <f t="shared" si="340"/>
        <v>251.99664427288016</v>
      </c>
      <c r="CF71" s="312">
        <f t="shared" si="340"/>
        <v>179.36984177761406</v>
      </c>
      <c r="CG71" s="312">
        <f t="shared" si="340"/>
        <v>88.358167592338134</v>
      </c>
      <c r="CH71" s="312">
        <f t="shared" ref="CH71:DL75" si="341">BV70</f>
        <v>0</v>
      </c>
      <c r="CI71" s="312">
        <f t="shared" si="341"/>
        <v>88.358167592338134</v>
      </c>
      <c r="CJ71" s="313">
        <f t="shared" si="341"/>
        <v>0</v>
      </c>
      <c r="CK71" s="282">
        <f t="shared" si="341"/>
        <v>0</v>
      </c>
      <c r="CL71" s="312">
        <f t="shared" si="341"/>
        <v>0</v>
      </c>
      <c r="CM71" s="312">
        <f t="shared" si="341"/>
        <v>0</v>
      </c>
      <c r="CN71" s="312">
        <f t="shared" si="341"/>
        <v>0</v>
      </c>
      <c r="CO71" s="312">
        <f t="shared" si="341"/>
        <v>0</v>
      </c>
      <c r="CP71" s="312">
        <f t="shared" si="341"/>
        <v>0</v>
      </c>
      <c r="CQ71" s="312">
        <f t="shared" si="341"/>
        <v>0</v>
      </c>
      <c r="CR71" s="312">
        <f t="shared" si="341"/>
        <v>0</v>
      </c>
      <c r="CS71" s="312">
        <f t="shared" si="341"/>
        <v>0</v>
      </c>
      <c r="CT71" s="312">
        <f t="shared" si="341"/>
        <v>0</v>
      </c>
      <c r="CU71" s="312">
        <f t="shared" si="341"/>
        <v>0</v>
      </c>
      <c r="CV71" s="313">
        <f t="shared" si="341"/>
        <v>0</v>
      </c>
      <c r="CW71" s="282">
        <f t="shared" si="341"/>
        <v>0</v>
      </c>
      <c r="CX71" s="312">
        <f t="shared" si="341"/>
        <v>0</v>
      </c>
      <c r="CY71" s="312">
        <f t="shared" si="341"/>
        <v>0</v>
      </c>
      <c r="CZ71" s="312">
        <f t="shared" si="341"/>
        <v>0</v>
      </c>
      <c r="DA71" s="312">
        <f t="shared" si="341"/>
        <v>0</v>
      </c>
      <c r="DB71" s="312">
        <f t="shared" si="341"/>
        <v>0</v>
      </c>
      <c r="DC71" s="312">
        <f t="shared" si="341"/>
        <v>0</v>
      </c>
      <c r="DD71" s="312">
        <f t="shared" si="341"/>
        <v>0</v>
      </c>
      <c r="DE71" s="312">
        <f t="shared" si="341"/>
        <v>0</v>
      </c>
      <c r="DF71" s="312">
        <f t="shared" si="341"/>
        <v>0</v>
      </c>
      <c r="DG71" s="312">
        <f t="shared" si="341"/>
        <v>0</v>
      </c>
      <c r="DH71" s="313">
        <f t="shared" si="341"/>
        <v>0</v>
      </c>
      <c r="DI71" s="282">
        <f t="shared" si="341"/>
        <v>0</v>
      </c>
      <c r="DJ71" s="312">
        <f t="shared" si="341"/>
        <v>0</v>
      </c>
      <c r="DK71" s="312">
        <f t="shared" si="341"/>
        <v>0</v>
      </c>
      <c r="DL71" s="312">
        <f t="shared" si="341"/>
        <v>0</v>
      </c>
      <c r="DM71" s="312"/>
      <c r="DN71" s="312"/>
      <c r="DO71" s="312"/>
      <c r="DP71" s="312"/>
      <c r="DQ71" s="312"/>
      <c r="DR71" s="312"/>
      <c r="DS71" s="312"/>
      <c r="DT71" s="313"/>
    </row>
    <row r="72" spans="1:1103" ht="15" x14ac:dyDescent="0.25">
      <c r="B72" s="405" t="s">
        <v>387</v>
      </c>
      <c r="E72" s="538"/>
      <c r="F72" s="538"/>
      <c r="G72" s="538"/>
      <c r="H72" s="538"/>
      <c r="I72" s="538"/>
      <c r="J72" s="538"/>
      <c r="K72" s="404"/>
      <c r="L72" s="404"/>
      <c r="M72" s="404"/>
      <c r="N72" s="404"/>
      <c r="O72" s="404"/>
      <c r="P72" s="497"/>
      <c r="Q72" s="107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8"/>
      <c r="AC72" s="107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8"/>
      <c r="AO72" s="107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8"/>
      <c r="BA72" s="107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>
        <f>AY71</f>
        <v>14.76</v>
      </c>
      <c r="BL72" s="108">
        <f t="shared" si="337"/>
        <v>41.160719999999998</v>
      </c>
      <c r="BM72" s="107">
        <f t="shared" si="337"/>
        <v>54.7715064</v>
      </c>
      <c r="BN72" s="106">
        <f t="shared" si="337"/>
        <v>91.327757152000004</v>
      </c>
      <c r="BO72" s="106">
        <f t="shared" si="338"/>
        <v>167.89355942399999</v>
      </c>
      <c r="BP72" s="106">
        <f t="shared" si="338"/>
        <v>168.46607130405889</v>
      </c>
      <c r="BQ72" s="106">
        <f t="shared" si="338"/>
        <v>270.30829480619531</v>
      </c>
      <c r="BR72" s="106">
        <f t="shared" si="338"/>
        <v>320.32381051888274</v>
      </c>
      <c r="BS72" s="106">
        <f t="shared" si="338"/>
        <v>210.39300287971113</v>
      </c>
      <c r="BT72" s="106">
        <f t="shared" si="338"/>
        <v>320.69456623526162</v>
      </c>
      <c r="BU72" s="106">
        <f t="shared" si="338"/>
        <v>377.81942468368993</v>
      </c>
      <c r="BV72" s="106">
        <f t="shared" si="338"/>
        <v>265.29584508845386</v>
      </c>
      <c r="BW72" s="106">
        <f t="shared" si="338"/>
        <v>379.06445885244068</v>
      </c>
      <c r="BX72" s="108">
        <f t="shared" si="339"/>
        <v>417.9585819990383</v>
      </c>
      <c r="BY72" s="107">
        <f t="shared" si="339"/>
        <v>292.39616355154021</v>
      </c>
      <c r="BZ72" s="106">
        <f t="shared" si="340"/>
        <v>389.92845726502054</v>
      </c>
      <c r="CA72" s="106">
        <f t="shared" si="340"/>
        <v>385.43972188499868</v>
      </c>
      <c r="CB72" s="106">
        <f t="shared" si="340"/>
        <v>305.19178755284366</v>
      </c>
      <c r="CC72" s="106">
        <f t="shared" si="340"/>
        <v>350.41974458939683</v>
      </c>
      <c r="CD72" s="106">
        <f t="shared" si="340"/>
        <v>400.32587172020294</v>
      </c>
      <c r="CE72" s="106">
        <f t="shared" si="340"/>
        <v>455.47934969299075</v>
      </c>
      <c r="CF72" s="106">
        <f t="shared" si="340"/>
        <v>514.70181648104131</v>
      </c>
      <c r="CG72" s="106">
        <f t="shared" si="340"/>
        <v>580.33621418414066</v>
      </c>
      <c r="CH72" s="106">
        <f t="shared" si="341"/>
        <v>649.76123149850184</v>
      </c>
      <c r="CI72" s="106">
        <f t="shared" si="341"/>
        <v>629.70813085688985</v>
      </c>
      <c r="CJ72" s="108">
        <f t="shared" si="341"/>
        <v>597.10277774485962</v>
      </c>
      <c r="CK72" s="107">
        <f t="shared" si="341"/>
        <v>565.76517694840265</v>
      </c>
      <c r="CL72" s="106">
        <f t="shared" si="341"/>
        <v>532.11246399900642</v>
      </c>
      <c r="CM72" s="106">
        <f t="shared" si="341"/>
        <v>481.69613841169269</v>
      </c>
      <c r="CN72" s="106">
        <f t="shared" si="341"/>
        <v>439.34743541019498</v>
      </c>
      <c r="CO72" s="106">
        <f t="shared" si="341"/>
        <v>385.78132332079076</v>
      </c>
      <c r="CP72" s="106">
        <f t="shared" si="341"/>
        <v>316.40649380600507</v>
      </c>
      <c r="CQ72" s="106">
        <f t="shared" si="341"/>
        <v>251.99664427288016</v>
      </c>
      <c r="CR72" s="106">
        <f t="shared" si="341"/>
        <v>179.36984177761406</v>
      </c>
      <c r="CS72" s="106">
        <f t="shared" si="341"/>
        <v>88.358167592338134</v>
      </c>
      <c r="CT72" s="106">
        <f t="shared" si="341"/>
        <v>0</v>
      </c>
      <c r="CU72" s="106">
        <f t="shared" si="341"/>
        <v>88.358167592338134</v>
      </c>
      <c r="CV72" s="108">
        <f t="shared" si="341"/>
        <v>0</v>
      </c>
      <c r="CW72" s="107">
        <f t="shared" si="341"/>
        <v>0</v>
      </c>
      <c r="CX72" s="106">
        <f t="shared" si="341"/>
        <v>0</v>
      </c>
      <c r="CY72" s="106">
        <f t="shared" si="341"/>
        <v>0</v>
      </c>
      <c r="CZ72" s="106">
        <f t="shared" si="341"/>
        <v>0</v>
      </c>
      <c r="DA72" s="106">
        <f t="shared" si="341"/>
        <v>0</v>
      </c>
      <c r="DB72" s="106">
        <f t="shared" si="341"/>
        <v>0</v>
      </c>
      <c r="DC72" s="106">
        <f t="shared" si="341"/>
        <v>0</v>
      </c>
      <c r="DD72" s="106">
        <f t="shared" si="341"/>
        <v>0</v>
      </c>
      <c r="DE72" s="106">
        <f t="shared" si="341"/>
        <v>0</v>
      </c>
      <c r="DF72" s="106">
        <f t="shared" si="341"/>
        <v>0</v>
      </c>
      <c r="DG72" s="106">
        <f t="shared" si="341"/>
        <v>0</v>
      </c>
      <c r="DH72" s="108">
        <f t="shared" si="341"/>
        <v>0</v>
      </c>
      <c r="DI72" s="107">
        <f t="shared" si="341"/>
        <v>0</v>
      </c>
      <c r="DJ72" s="106">
        <f t="shared" si="341"/>
        <v>0</v>
      </c>
      <c r="DK72" s="106">
        <f t="shared" si="341"/>
        <v>0</v>
      </c>
      <c r="DL72" s="106">
        <f t="shared" si="341"/>
        <v>0</v>
      </c>
      <c r="DM72" s="106">
        <f t="shared" ref="DM72:DT76" si="342">DA71</f>
        <v>0</v>
      </c>
      <c r="DN72" s="106">
        <f t="shared" si="342"/>
        <v>0</v>
      </c>
      <c r="DO72" s="106">
        <f t="shared" si="342"/>
        <v>0</v>
      </c>
      <c r="DP72" s="106">
        <f t="shared" si="342"/>
        <v>0</v>
      </c>
      <c r="DQ72" s="106">
        <f t="shared" si="342"/>
        <v>0</v>
      </c>
      <c r="DR72" s="106">
        <f t="shared" si="342"/>
        <v>0</v>
      </c>
      <c r="DS72" s="106">
        <f t="shared" si="342"/>
        <v>0</v>
      </c>
      <c r="DT72" s="108">
        <f t="shared" si="342"/>
        <v>0</v>
      </c>
    </row>
    <row r="73" spans="1:1103" ht="15" x14ac:dyDescent="0.25">
      <c r="B73" s="405" t="s">
        <v>388</v>
      </c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99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5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5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5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14"/>
      <c r="BL73" s="315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>
        <f>BK72</f>
        <v>14.76</v>
      </c>
      <c r="BX73" s="315">
        <f t="shared" si="339"/>
        <v>41.160719999999998</v>
      </c>
      <c r="BY73" s="314">
        <f t="shared" si="339"/>
        <v>54.7715064</v>
      </c>
      <c r="BZ73" s="314">
        <f t="shared" si="340"/>
        <v>91.327757152000004</v>
      </c>
      <c r="CA73" s="314">
        <f t="shared" si="340"/>
        <v>167.89355942399999</v>
      </c>
      <c r="CB73" s="314">
        <f t="shared" si="340"/>
        <v>168.46607130405889</v>
      </c>
      <c r="CC73" s="314">
        <f t="shared" si="340"/>
        <v>270.30829480619531</v>
      </c>
      <c r="CD73" s="314">
        <f t="shared" si="340"/>
        <v>320.32381051888274</v>
      </c>
      <c r="CE73" s="314">
        <f t="shared" si="340"/>
        <v>210.39300287971113</v>
      </c>
      <c r="CF73" s="314">
        <f t="shared" si="340"/>
        <v>320.69456623526162</v>
      </c>
      <c r="CG73" s="314">
        <f t="shared" si="340"/>
        <v>377.81942468368993</v>
      </c>
      <c r="CH73" s="314">
        <f t="shared" si="341"/>
        <v>265.29584508845386</v>
      </c>
      <c r="CI73" s="314">
        <f t="shared" si="341"/>
        <v>379.06445885244068</v>
      </c>
      <c r="CJ73" s="315">
        <f t="shared" si="341"/>
        <v>417.9585819990383</v>
      </c>
      <c r="CK73" s="314">
        <f t="shared" si="341"/>
        <v>292.39616355154021</v>
      </c>
      <c r="CL73" s="314">
        <f t="shared" si="341"/>
        <v>389.92845726502054</v>
      </c>
      <c r="CM73" s="314">
        <f t="shared" si="341"/>
        <v>385.43972188499868</v>
      </c>
      <c r="CN73" s="314">
        <f t="shared" si="341"/>
        <v>305.19178755284366</v>
      </c>
      <c r="CO73" s="314">
        <f t="shared" si="341"/>
        <v>350.41974458939683</v>
      </c>
      <c r="CP73" s="314">
        <f t="shared" si="341"/>
        <v>400.32587172020294</v>
      </c>
      <c r="CQ73" s="314">
        <f t="shared" si="341"/>
        <v>455.47934969299075</v>
      </c>
      <c r="CR73" s="314">
        <f t="shared" si="341"/>
        <v>514.70181648104131</v>
      </c>
      <c r="CS73" s="314">
        <f t="shared" si="341"/>
        <v>580.33621418414066</v>
      </c>
      <c r="CT73" s="314">
        <f t="shared" si="341"/>
        <v>649.76123149850184</v>
      </c>
      <c r="CU73" s="314">
        <f t="shared" si="341"/>
        <v>629.70813085688985</v>
      </c>
      <c r="CV73" s="315">
        <f t="shared" si="341"/>
        <v>597.10277774485962</v>
      </c>
      <c r="CW73" s="314">
        <f t="shared" si="341"/>
        <v>565.76517694840265</v>
      </c>
      <c r="CX73" s="314">
        <f t="shared" si="341"/>
        <v>532.11246399900642</v>
      </c>
      <c r="CY73" s="314">
        <f t="shared" si="341"/>
        <v>481.69613841169269</v>
      </c>
      <c r="CZ73" s="314">
        <f t="shared" si="341"/>
        <v>439.34743541019498</v>
      </c>
      <c r="DA73" s="314">
        <f t="shared" si="341"/>
        <v>385.78132332079076</v>
      </c>
      <c r="DB73" s="314">
        <f t="shared" si="341"/>
        <v>316.40649380600507</v>
      </c>
      <c r="DC73" s="314">
        <f t="shared" si="341"/>
        <v>251.99664427288016</v>
      </c>
      <c r="DD73" s="314">
        <f t="shared" si="341"/>
        <v>179.36984177761406</v>
      </c>
      <c r="DE73" s="314">
        <f t="shared" si="341"/>
        <v>88.358167592338134</v>
      </c>
      <c r="DF73" s="314">
        <f t="shared" si="341"/>
        <v>0</v>
      </c>
      <c r="DG73" s="314">
        <f t="shared" si="341"/>
        <v>88.358167592338134</v>
      </c>
      <c r="DH73" s="315">
        <f t="shared" si="341"/>
        <v>0</v>
      </c>
      <c r="DI73" s="314">
        <f t="shared" si="341"/>
        <v>0</v>
      </c>
      <c r="DJ73" s="314">
        <f t="shared" si="341"/>
        <v>0</v>
      </c>
      <c r="DK73" s="314">
        <f t="shared" si="341"/>
        <v>0</v>
      </c>
      <c r="DL73" s="314">
        <f t="shared" si="341"/>
        <v>0</v>
      </c>
      <c r="DM73" s="314">
        <f t="shared" si="342"/>
        <v>0</v>
      </c>
      <c r="DN73" s="314">
        <f t="shared" si="342"/>
        <v>0</v>
      </c>
      <c r="DO73" s="314">
        <f t="shared" si="342"/>
        <v>0</v>
      </c>
      <c r="DP73" s="314">
        <f t="shared" si="342"/>
        <v>0</v>
      </c>
      <c r="DQ73" s="314">
        <f t="shared" si="342"/>
        <v>0</v>
      </c>
      <c r="DR73" s="314">
        <f t="shared" si="342"/>
        <v>0</v>
      </c>
      <c r="DS73" s="314">
        <f t="shared" si="342"/>
        <v>0</v>
      </c>
      <c r="DT73" s="315">
        <f t="shared" si="342"/>
        <v>0</v>
      </c>
    </row>
    <row r="74" spans="1:1103" ht="15" x14ac:dyDescent="0.25">
      <c r="B74" s="405" t="s">
        <v>389</v>
      </c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99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5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5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5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  <c r="BL74" s="315"/>
      <c r="BM74" s="314"/>
      <c r="BN74" s="314"/>
      <c r="BO74" s="314"/>
      <c r="BP74" s="314"/>
      <c r="BQ74" s="314"/>
      <c r="BR74" s="314"/>
      <c r="BS74" s="314"/>
      <c r="BT74" s="314"/>
      <c r="BU74" s="314"/>
      <c r="BV74" s="314"/>
      <c r="BW74" s="314"/>
      <c r="BX74" s="315"/>
      <c r="BY74" s="314"/>
      <c r="BZ74" s="314"/>
      <c r="CA74" s="314"/>
      <c r="CB74" s="314"/>
      <c r="CC74" s="314"/>
      <c r="CD74" s="314"/>
      <c r="CE74" s="314"/>
      <c r="CF74" s="314"/>
      <c r="CG74" s="314"/>
      <c r="CH74" s="314"/>
      <c r="CI74" s="314">
        <f>BW73</f>
        <v>14.76</v>
      </c>
      <c r="CJ74" s="315">
        <f t="shared" si="341"/>
        <v>41.160719999999998</v>
      </c>
      <c r="CK74" s="314">
        <f t="shared" si="341"/>
        <v>54.7715064</v>
      </c>
      <c r="CL74" s="314">
        <f t="shared" si="341"/>
        <v>91.327757152000004</v>
      </c>
      <c r="CM74" s="314">
        <f t="shared" si="341"/>
        <v>167.89355942399999</v>
      </c>
      <c r="CN74" s="314">
        <f t="shared" si="341"/>
        <v>168.46607130405889</v>
      </c>
      <c r="CO74" s="314">
        <f t="shared" si="341"/>
        <v>270.30829480619531</v>
      </c>
      <c r="CP74" s="314">
        <f t="shared" si="341"/>
        <v>320.32381051888274</v>
      </c>
      <c r="CQ74" s="314">
        <f t="shared" si="341"/>
        <v>210.39300287971113</v>
      </c>
      <c r="CR74" s="314">
        <f t="shared" si="341"/>
        <v>320.69456623526162</v>
      </c>
      <c r="CS74" s="314">
        <f t="shared" si="341"/>
        <v>377.81942468368993</v>
      </c>
      <c r="CT74" s="314">
        <f t="shared" si="341"/>
        <v>265.29584508845386</v>
      </c>
      <c r="CU74" s="314">
        <f t="shared" si="341"/>
        <v>379.06445885244068</v>
      </c>
      <c r="CV74" s="315">
        <f t="shared" si="341"/>
        <v>417.9585819990383</v>
      </c>
      <c r="CW74" s="314">
        <f t="shared" si="341"/>
        <v>292.39616355154021</v>
      </c>
      <c r="CX74" s="314">
        <f t="shared" si="341"/>
        <v>389.92845726502054</v>
      </c>
      <c r="CY74" s="314">
        <f t="shared" si="341"/>
        <v>385.43972188499868</v>
      </c>
      <c r="CZ74" s="314">
        <f t="shared" si="341"/>
        <v>305.19178755284366</v>
      </c>
      <c r="DA74" s="314">
        <f t="shared" si="341"/>
        <v>350.41974458939683</v>
      </c>
      <c r="DB74" s="314">
        <f t="shared" si="341"/>
        <v>400.32587172020294</v>
      </c>
      <c r="DC74" s="314">
        <f t="shared" si="341"/>
        <v>455.47934969299075</v>
      </c>
      <c r="DD74" s="314">
        <f t="shared" si="341"/>
        <v>514.70181648104131</v>
      </c>
      <c r="DE74" s="314">
        <f t="shared" si="341"/>
        <v>580.33621418414066</v>
      </c>
      <c r="DF74" s="314">
        <f t="shared" si="341"/>
        <v>649.76123149850184</v>
      </c>
      <c r="DG74" s="314">
        <f t="shared" si="341"/>
        <v>629.70813085688985</v>
      </c>
      <c r="DH74" s="315">
        <f t="shared" si="341"/>
        <v>597.10277774485962</v>
      </c>
      <c r="DI74" s="314">
        <f t="shared" si="341"/>
        <v>565.76517694840265</v>
      </c>
      <c r="DJ74" s="314">
        <f t="shared" si="341"/>
        <v>532.11246399900642</v>
      </c>
      <c r="DK74" s="314">
        <f t="shared" si="341"/>
        <v>481.69613841169269</v>
      </c>
      <c r="DL74" s="314">
        <f t="shared" si="341"/>
        <v>439.34743541019498</v>
      </c>
      <c r="DM74" s="314">
        <f t="shared" si="342"/>
        <v>385.78132332079076</v>
      </c>
      <c r="DN74" s="314">
        <f t="shared" si="342"/>
        <v>316.40649380600507</v>
      </c>
      <c r="DO74" s="314">
        <f t="shared" si="342"/>
        <v>251.99664427288016</v>
      </c>
      <c r="DP74" s="314">
        <f t="shared" si="342"/>
        <v>179.36984177761406</v>
      </c>
      <c r="DQ74" s="314">
        <f t="shared" si="342"/>
        <v>88.358167592338134</v>
      </c>
      <c r="DR74" s="314">
        <f t="shared" si="342"/>
        <v>0</v>
      </c>
      <c r="DS74" s="314">
        <f t="shared" si="342"/>
        <v>88.358167592338134</v>
      </c>
      <c r="DT74" s="315">
        <f t="shared" si="342"/>
        <v>0</v>
      </c>
    </row>
    <row r="75" spans="1:1103" ht="15" x14ac:dyDescent="0.25">
      <c r="B75" s="405" t="s">
        <v>390</v>
      </c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99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5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5"/>
      <c r="AO75" s="314"/>
      <c r="AP75" s="314"/>
      <c r="AQ75" s="314"/>
      <c r="AR75" s="314"/>
      <c r="AS75" s="314"/>
      <c r="AT75" s="314"/>
      <c r="AU75" s="314"/>
      <c r="AV75" s="314"/>
      <c r="AW75" s="314"/>
      <c r="AX75" s="314"/>
      <c r="AY75" s="314"/>
      <c r="AZ75" s="315"/>
      <c r="BA75" s="314"/>
      <c r="BB75" s="314"/>
      <c r="BC75" s="314"/>
      <c r="BD75" s="314"/>
      <c r="BE75" s="314"/>
      <c r="BF75" s="314"/>
      <c r="BG75" s="314"/>
      <c r="BH75" s="314"/>
      <c r="BI75" s="314"/>
      <c r="BJ75" s="314"/>
      <c r="BK75" s="314"/>
      <c r="BL75" s="315"/>
      <c r="BM75" s="314"/>
      <c r="BN75" s="314"/>
      <c r="BO75" s="314"/>
      <c r="BP75" s="314"/>
      <c r="BQ75" s="314"/>
      <c r="BR75" s="314"/>
      <c r="BS75" s="314"/>
      <c r="BT75" s="314"/>
      <c r="BU75" s="314"/>
      <c r="BV75" s="314"/>
      <c r="BW75" s="314"/>
      <c r="BX75" s="315"/>
      <c r="BY75" s="314"/>
      <c r="BZ75" s="314"/>
      <c r="CA75" s="314"/>
      <c r="CB75" s="314"/>
      <c r="CC75" s="314"/>
      <c r="CD75" s="314"/>
      <c r="CE75" s="314"/>
      <c r="CF75" s="314"/>
      <c r="CG75" s="314"/>
      <c r="CH75" s="314"/>
      <c r="CI75" s="314"/>
      <c r="CJ75" s="315"/>
      <c r="CK75" s="314"/>
      <c r="CL75" s="314"/>
      <c r="CM75" s="314"/>
      <c r="CN75" s="314"/>
      <c r="CO75" s="314"/>
      <c r="CP75" s="314"/>
      <c r="CQ75" s="314"/>
      <c r="CR75" s="314"/>
      <c r="CS75" s="314"/>
      <c r="CT75" s="314"/>
      <c r="CU75" s="314">
        <f>CI74</f>
        <v>14.76</v>
      </c>
      <c r="CV75" s="315">
        <f t="shared" si="341"/>
        <v>41.160719999999998</v>
      </c>
      <c r="CW75" s="314">
        <f t="shared" si="341"/>
        <v>54.7715064</v>
      </c>
      <c r="CX75" s="314">
        <f t="shared" si="341"/>
        <v>91.327757152000004</v>
      </c>
      <c r="CY75" s="314">
        <f t="shared" si="341"/>
        <v>167.89355942399999</v>
      </c>
      <c r="CZ75" s="314">
        <f t="shared" si="341"/>
        <v>168.46607130405889</v>
      </c>
      <c r="DA75" s="314">
        <f t="shared" si="341"/>
        <v>270.30829480619531</v>
      </c>
      <c r="DB75" s="314">
        <f t="shared" si="341"/>
        <v>320.32381051888274</v>
      </c>
      <c r="DC75" s="314">
        <f t="shared" si="341"/>
        <v>210.39300287971113</v>
      </c>
      <c r="DD75" s="314">
        <f t="shared" si="341"/>
        <v>320.69456623526162</v>
      </c>
      <c r="DE75" s="314">
        <f t="shared" si="341"/>
        <v>377.81942468368993</v>
      </c>
      <c r="DF75" s="314">
        <f t="shared" si="341"/>
        <v>265.29584508845386</v>
      </c>
      <c r="DG75" s="314">
        <f t="shared" si="341"/>
        <v>379.06445885244068</v>
      </c>
      <c r="DH75" s="315">
        <f t="shared" si="341"/>
        <v>417.9585819990383</v>
      </c>
      <c r="DI75" s="314">
        <f t="shared" si="341"/>
        <v>292.39616355154021</v>
      </c>
      <c r="DJ75" s="314">
        <f t="shared" si="341"/>
        <v>389.92845726502054</v>
      </c>
      <c r="DK75" s="314">
        <f t="shared" si="341"/>
        <v>385.43972188499868</v>
      </c>
      <c r="DL75" s="314">
        <f t="shared" si="341"/>
        <v>305.19178755284366</v>
      </c>
      <c r="DM75" s="314">
        <f t="shared" si="342"/>
        <v>350.41974458939683</v>
      </c>
      <c r="DN75" s="314">
        <f t="shared" si="342"/>
        <v>400.32587172020294</v>
      </c>
      <c r="DO75" s="314">
        <f t="shared" si="342"/>
        <v>455.47934969299075</v>
      </c>
      <c r="DP75" s="314">
        <f t="shared" si="342"/>
        <v>514.70181648104131</v>
      </c>
      <c r="DQ75" s="314">
        <f t="shared" si="342"/>
        <v>580.33621418414066</v>
      </c>
      <c r="DR75" s="314">
        <f t="shared" si="342"/>
        <v>649.76123149850184</v>
      </c>
      <c r="DS75" s="314">
        <f t="shared" si="342"/>
        <v>629.70813085688985</v>
      </c>
      <c r="DT75" s="315">
        <f t="shared" si="342"/>
        <v>597.10277774485962</v>
      </c>
    </row>
    <row r="76" spans="1:1103" ht="15" x14ac:dyDescent="0.25">
      <c r="B76" s="405" t="s">
        <v>391</v>
      </c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99"/>
      <c r="Q76" s="107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8"/>
      <c r="AC76" s="107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8"/>
      <c r="AO76" s="107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8"/>
      <c r="BA76" s="107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8"/>
      <c r="BM76" s="107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8"/>
      <c r="BY76" s="107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8"/>
      <c r="CK76" s="107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8"/>
      <c r="CW76" s="107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>
        <f>CU75</f>
        <v>14.76</v>
      </c>
      <c r="DH76" s="108">
        <f t="shared" ref="DH76:DL76" si="343">CV75</f>
        <v>41.160719999999998</v>
      </c>
      <c r="DI76" s="107">
        <f t="shared" si="343"/>
        <v>54.7715064</v>
      </c>
      <c r="DJ76" s="106">
        <f t="shared" si="343"/>
        <v>91.327757152000004</v>
      </c>
      <c r="DK76" s="106">
        <f t="shared" si="343"/>
        <v>167.89355942399999</v>
      </c>
      <c r="DL76" s="106">
        <f t="shared" si="343"/>
        <v>168.46607130405889</v>
      </c>
      <c r="DM76" s="106">
        <f t="shared" si="342"/>
        <v>270.30829480619531</v>
      </c>
      <c r="DN76" s="106">
        <f t="shared" si="342"/>
        <v>320.32381051888274</v>
      </c>
      <c r="DO76" s="106">
        <f t="shared" si="342"/>
        <v>210.39300287971113</v>
      </c>
      <c r="DP76" s="106">
        <f t="shared" si="342"/>
        <v>320.69456623526162</v>
      </c>
      <c r="DQ76" s="106">
        <f t="shared" si="342"/>
        <v>377.81942468368993</v>
      </c>
      <c r="DR76" s="106">
        <f t="shared" si="342"/>
        <v>265.29584508845386</v>
      </c>
      <c r="DS76" s="106">
        <f t="shared" si="342"/>
        <v>379.06445885244068</v>
      </c>
      <c r="DT76" s="108">
        <f t="shared" si="342"/>
        <v>417.9585819990383</v>
      </c>
    </row>
    <row r="77" spans="1:1103" ht="15" x14ac:dyDescent="0.25">
      <c r="B77" s="405" t="s">
        <v>392</v>
      </c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99"/>
      <c r="Q77" s="107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8"/>
      <c r="AC77" s="107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8"/>
      <c r="AO77" s="107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8"/>
      <c r="BA77" s="107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8"/>
      <c r="BM77" s="107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8"/>
      <c r="BY77" s="107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8"/>
      <c r="CK77" s="107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8"/>
      <c r="CW77" s="107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8"/>
      <c r="DI77" s="107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8"/>
    </row>
    <row r="78" spans="1:1103" ht="19.5" thickBot="1" x14ac:dyDescent="0.35">
      <c r="B78" s="159" t="s">
        <v>738</v>
      </c>
      <c r="E78" s="532"/>
      <c r="F78" s="532"/>
      <c r="G78" s="532"/>
      <c r="H78" s="532"/>
      <c r="I78" s="532"/>
      <c r="J78" s="532"/>
      <c r="K78" s="532">
        <f t="shared" ref="K78:N78" si="344">SUM(K63:K77)</f>
        <v>0</v>
      </c>
      <c r="L78" s="532">
        <f t="shared" si="344"/>
        <v>0</v>
      </c>
      <c r="M78" s="532">
        <f t="shared" si="344"/>
        <v>0</v>
      </c>
      <c r="N78" s="532">
        <f t="shared" si="344"/>
        <v>0</v>
      </c>
      <c r="O78" s="532">
        <f>SUM(O68:O77)</f>
        <v>14.76</v>
      </c>
      <c r="P78" s="758">
        <f>SUM(P68:P77)</f>
        <v>41.160719999999998</v>
      </c>
      <c r="Q78" s="391">
        <f>SUM(Q68:Q77)</f>
        <v>54.7715064</v>
      </c>
      <c r="R78" s="391">
        <f t="shared" ref="R78:CC78" si="345">SUM(R68:R77)</f>
        <v>91.327757152000004</v>
      </c>
      <c r="S78" s="391">
        <f t="shared" si="345"/>
        <v>167.89355942399999</v>
      </c>
      <c r="T78" s="391">
        <f t="shared" si="345"/>
        <v>168.46607130405889</v>
      </c>
      <c r="U78" s="391">
        <f t="shared" si="345"/>
        <v>270.30829480619531</v>
      </c>
      <c r="V78" s="391">
        <f t="shared" si="345"/>
        <v>320.32381051888274</v>
      </c>
      <c r="W78" s="391">
        <f t="shared" si="345"/>
        <v>210.39300287971113</v>
      </c>
      <c r="X78" s="391">
        <f t="shared" si="345"/>
        <v>320.69456623526162</v>
      </c>
      <c r="Y78" s="391">
        <f t="shared" si="345"/>
        <v>377.81942468368993</v>
      </c>
      <c r="Z78" s="391">
        <f t="shared" si="345"/>
        <v>265.29584508845386</v>
      </c>
      <c r="AA78" s="391">
        <f t="shared" si="345"/>
        <v>393.82445885244067</v>
      </c>
      <c r="AB78" s="762">
        <f t="shared" si="345"/>
        <v>459.11930199903827</v>
      </c>
      <c r="AC78" s="391">
        <f t="shared" si="345"/>
        <v>347.16766995154023</v>
      </c>
      <c r="AD78" s="391">
        <f t="shared" si="345"/>
        <v>481.25621441702054</v>
      </c>
      <c r="AE78" s="391">
        <f t="shared" si="345"/>
        <v>553.33328130899872</v>
      </c>
      <c r="AF78" s="391">
        <f t="shared" si="345"/>
        <v>473.65785885690252</v>
      </c>
      <c r="AG78" s="391">
        <f t="shared" si="345"/>
        <v>620.72803939559208</v>
      </c>
      <c r="AH78" s="391">
        <f t="shared" si="345"/>
        <v>720.64968223908568</v>
      </c>
      <c r="AI78" s="391">
        <f t="shared" si="345"/>
        <v>665.87235257270186</v>
      </c>
      <c r="AJ78" s="391">
        <f t="shared" si="345"/>
        <v>835.39638271630292</v>
      </c>
      <c r="AK78" s="391">
        <f t="shared" si="345"/>
        <v>958.15563886783059</v>
      </c>
      <c r="AL78" s="391">
        <f t="shared" si="345"/>
        <v>915.05707658695565</v>
      </c>
      <c r="AM78" s="391">
        <f t="shared" si="345"/>
        <v>1023.5325897093305</v>
      </c>
      <c r="AN78" s="762">
        <f t="shared" si="345"/>
        <v>1056.2220797438979</v>
      </c>
      <c r="AO78" s="391">
        <f t="shared" si="345"/>
        <v>912.93284689994289</v>
      </c>
      <c r="AP78" s="391">
        <f t="shared" si="345"/>
        <v>1013.368678416027</v>
      </c>
      <c r="AQ78" s="391">
        <f t="shared" si="345"/>
        <v>1035.0294197206913</v>
      </c>
      <c r="AR78" s="391">
        <f t="shared" si="345"/>
        <v>913.0052942670975</v>
      </c>
      <c r="AS78" s="391">
        <f t="shared" si="345"/>
        <v>1006.5093627163828</v>
      </c>
      <c r="AT78" s="391">
        <f t="shared" si="345"/>
        <v>1037.0561760450908</v>
      </c>
      <c r="AU78" s="391">
        <f t="shared" si="345"/>
        <v>917.86899684558205</v>
      </c>
      <c r="AV78" s="391">
        <f t="shared" si="345"/>
        <v>1014.766224493917</v>
      </c>
      <c r="AW78" s="391">
        <f t="shared" si="345"/>
        <v>1046.5138064601688</v>
      </c>
      <c r="AX78" s="391">
        <f t="shared" si="345"/>
        <v>915.05707658695565</v>
      </c>
      <c r="AY78" s="391">
        <f t="shared" si="345"/>
        <v>1111.8907573016688</v>
      </c>
      <c r="AZ78" s="762">
        <f t="shared" si="345"/>
        <v>1056.2220797438979</v>
      </c>
      <c r="BA78" s="391">
        <f t="shared" si="345"/>
        <v>912.93284689994289</v>
      </c>
      <c r="BB78" s="391">
        <f t="shared" si="345"/>
        <v>1013.368678416027</v>
      </c>
      <c r="BC78" s="391">
        <f t="shared" si="345"/>
        <v>1035.0294197206913</v>
      </c>
      <c r="BD78" s="391">
        <f t="shared" si="345"/>
        <v>913.0052942670975</v>
      </c>
      <c r="BE78" s="391">
        <f t="shared" si="345"/>
        <v>1006.5093627163828</v>
      </c>
      <c r="BF78" s="391">
        <f t="shared" si="345"/>
        <v>1037.0561760450908</v>
      </c>
      <c r="BG78" s="391">
        <f t="shared" si="345"/>
        <v>917.86899684558205</v>
      </c>
      <c r="BH78" s="391">
        <f t="shared" si="345"/>
        <v>1014.766224493917</v>
      </c>
      <c r="BI78" s="391">
        <f t="shared" si="345"/>
        <v>1046.5138064601688</v>
      </c>
      <c r="BJ78" s="391">
        <f t="shared" si="345"/>
        <v>915.05707658695565</v>
      </c>
      <c r="BK78" s="391">
        <f t="shared" si="345"/>
        <v>1111.8907573016688</v>
      </c>
      <c r="BL78" s="762">
        <f t="shared" si="345"/>
        <v>1056.2220797438979</v>
      </c>
      <c r="BM78" s="391">
        <f t="shared" si="345"/>
        <v>912.93284689994289</v>
      </c>
      <c r="BN78" s="391">
        <f t="shared" si="345"/>
        <v>1013.368678416027</v>
      </c>
      <c r="BO78" s="391">
        <f t="shared" si="345"/>
        <v>1035.0294197206913</v>
      </c>
      <c r="BP78" s="391">
        <f t="shared" si="345"/>
        <v>913.0052942670975</v>
      </c>
      <c r="BQ78" s="391">
        <f t="shared" si="345"/>
        <v>1006.5093627163828</v>
      </c>
      <c r="BR78" s="391">
        <f t="shared" si="345"/>
        <v>1037.0561760450908</v>
      </c>
      <c r="BS78" s="391">
        <f t="shared" si="345"/>
        <v>917.86899684558205</v>
      </c>
      <c r="BT78" s="391">
        <f t="shared" si="345"/>
        <v>1014.766224493917</v>
      </c>
      <c r="BU78" s="391">
        <f t="shared" si="345"/>
        <v>1046.5138064601688</v>
      </c>
      <c r="BV78" s="391">
        <f t="shared" si="345"/>
        <v>915.05707658695565</v>
      </c>
      <c r="BW78" s="391">
        <f t="shared" si="345"/>
        <v>1111.8907573016688</v>
      </c>
      <c r="BX78" s="762">
        <f t="shared" si="345"/>
        <v>1056.2220797438979</v>
      </c>
      <c r="BY78" s="391">
        <f t="shared" si="345"/>
        <v>912.93284689994289</v>
      </c>
      <c r="BZ78" s="391">
        <f t="shared" si="345"/>
        <v>1013.368678416027</v>
      </c>
      <c r="CA78" s="391">
        <f t="shared" si="345"/>
        <v>1035.0294197206913</v>
      </c>
      <c r="CB78" s="391">
        <f t="shared" si="345"/>
        <v>913.0052942670975</v>
      </c>
      <c r="CC78" s="391">
        <f t="shared" si="345"/>
        <v>1006.5093627163828</v>
      </c>
      <c r="CD78" s="391">
        <f t="shared" ref="CD78:DT78" si="346">SUM(CD68:CD77)</f>
        <v>1037.0561760450908</v>
      </c>
      <c r="CE78" s="391">
        <f t="shared" si="346"/>
        <v>917.86899684558205</v>
      </c>
      <c r="CF78" s="391">
        <f t="shared" si="346"/>
        <v>1014.766224493917</v>
      </c>
      <c r="CG78" s="391">
        <f t="shared" si="346"/>
        <v>1046.5138064601688</v>
      </c>
      <c r="CH78" s="391">
        <f t="shared" si="346"/>
        <v>915.05707658695565</v>
      </c>
      <c r="CI78" s="391">
        <f t="shared" si="346"/>
        <v>1111.8907573016688</v>
      </c>
      <c r="CJ78" s="762">
        <f t="shared" si="346"/>
        <v>1056.2220797438979</v>
      </c>
      <c r="CK78" s="391">
        <f t="shared" si="346"/>
        <v>912.93284689994289</v>
      </c>
      <c r="CL78" s="391">
        <f t="shared" si="346"/>
        <v>1013.368678416027</v>
      </c>
      <c r="CM78" s="391">
        <f t="shared" si="346"/>
        <v>1035.0294197206913</v>
      </c>
      <c r="CN78" s="391">
        <f t="shared" si="346"/>
        <v>913.0052942670975</v>
      </c>
      <c r="CO78" s="391">
        <f t="shared" si="346"/>
        <v>1006.5093627163828</v>
      </c>
      <c r="CP78" s="391">
        <f t="shared" si="346"/>
        <v>1037.0561760450908</v>
      </c>
      <c r="CQ78" s="391">
        <f t="shared" si="346"/>
        <v>917.86899684558205</v>
      </c>
      <c r="CR78" s="391">
        <f t="shared" si="346"/>
        <v>1014.766224493917</v>
      </c>
      <c r="CS78" s="391">
        <f t="shared" si="346"/>
        <v>1046.5138064601688</v>
      </c>
      <c r="CT78" s="391">
        <f t="shared" si="346"/>
        <v>915.05707658695565</v>
      </c>
      <c r="CU78" s="391">
        <f t="shared" si="346"/>
        <v>1111.8907573016688</v>
      </c>
      <c r="CV78" s="762">
        <f t="shared" si="346"/>
        <v>1056.2220797438979</v>
      </c>
      <c r="CW78" s="391">
        <f t="shared" si="346"/>
        <v>912.93284689994289</v>
      </c>
      <c r="CX78" s="391">
        <f t="shared" si="346"/>
        <v>1013.368678416027</v>
      </c>
      <c r="CY78" s="391">
        <f t="shared" si="346"/>
        <v>1035.0294197206913</v>
      </c>
      <c r="CZ78" s="391">
        <f t="shared" si="346"/>
        <v>913.0052942670975</v>
      </c>
      <c r="DA78" s="391">
        <f t="shared" si="346"/>
        <v>1006.5093627163828</v>
      </c>
      <c r="DB78" s="391">
        <f t="shared" si="346"/>
        <v>1037.0561760450908</v>
      </c>
      <c r="DC78" s="391">
        <f t="shared" si="346"/>
        <v>917.86899684558205</v>
      </c>
      <c r="DD78" s="391">
        <f t="shared" si="346"/>
        <v>1014.766224493917</v>
      </c>
      <c r="DE78" s="391">
        <f t="shared" si="346"/>
        <v>1046.5138064601688</v>
      </c>
      <c r="DF78" s="391">
        <f t="shared" si="346"/>
        <v>915.05707658695565</v>
      </c>
      <c r="DG78" s="391">
        <f t="shared" si="346"/>
        <v>1111.8907573016688</v>
      </c>
      <c r="DH78" s="762">
        <f t="shared" si="346"/>
        <v>1056.2220797438979</v>
      </c>
      <c r="DI78" s="391">
        <f t="shared" si="346"/>
        <v>912.93284689994289</v>
      </c>
      <c r="DJ78" s="391">
        <f t="shared" si="346"/>
        <v>1013.368678416027</v>
      </c>
      <c r="DK78" s="391">
        <f t="shared" si="346"/>
        <v>1035.0294197206913</v>
      </c>
      <c r="DL78" s="391">
        <f t="shared" si="346"/>
        <v>913.0052942670975</v>
      </c>
      <c r="DM78" s="391">
        <f t="shared" si="346"/>
        <v>1006.5093627163828</v>
      </c>
      <c r="DN78" s="391">
        <f t="shared" si="346"/>
        <v>1037.0561760450908</v>
      </c>
      <c r="DO78" s="391">
        <f t="shared" si="346"/>
        <v>917.86899684558205</v>
      </c>
      <c r="DP78" s="391">
        <f t="shared" si="346"/>
        <v>1014.766224493917</v>
      </c>
      <c r="DQ78" s="391">
        <f t="shared" si="346"/>
        <v>1046.5138064601688</v>
      </c>
      <c r="DR78" s="391">
        <f t="shared" si="346"/>
        <v>915.05707658695565</v>
      </c>
      <c r="DS78" s="391">
        <f t="shared" si="346"/>
        <v>1097.1307573016688</v>
      </c>
      <c r="DT78" s="762">
        <f t="shared" si="346"/>
        <v>1015.0613597438979</v>
      </c>
    </row>
    <row r="79" spans="1:1103" x14ac:dyDescent="0.2"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/>
      <c r="P79" s="842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42"/>
      <c r="AC79" s="887"/>
      <c r="AD79" s="887"/>
      <c r="AE79" s="887"/>
      <c r="AF79" s="887"/>
      <c r="AG79" s="887"/>
      <c r="AH79" s="887"/>
      <c r="AI79" s="887"/>
      <c r="AJ79" s="887"/>
      <c r="AK79" s="887"/>
      <c r="AL79" s="887"/>
      <c r="AM79" s="887"/>
      <c r="AN79" s="842"/>
      <c r="AO79" s="887"/>
      <c r="AP79" s="887"/>
      <c r="AQ79" s="887"/>
      <c r="AR79" s="887"/>
      <c r="AS79" s="887"/>
      <c r="AT79" s="887"/>
      <c r="AU79" s="887"/>
      <c r="AV79" s="887"/>
      <c r="AW79" s="887"/>
      <c r="AX79" s="887"/>
      <c r="AY79" s="887"/>
      <c r="AZ79" s="842"/>
      <c r="BA79" s="887"/>
      <c r="BB79" s="887"/>
      <c r="BC79" s="887"/>
      <c r="BD79" s="887"/>
      <c r="BE79" s="887"/>
      <c r="BF79" s="887"/>
      <c r="BG79" s="887"/>
      <c r="BH79" s="887"/>
      <c r="BI79" s="887"/>
      <c r="BJ79" s="887"/>
      <c r="BK79" s="887"/>
      <c r="BL79" s="842"/>
      <c r="BM79" s="887"/>
      <c r="BN79" s="887"/>
      <c r="BO79" s="887"/>
      <c r="BP79" s="887"/>
      <c r="BQ79" s="887"/>
      <c r="BR79" s="887"/>
      <c r="BS79" s="887"/>
      <c r="BT79" s="887"/>
      <c r="BU79" s="887"/>
      <c r="BV79" s="887"/>
      <c r="BW79" s="887"/>
      <c r="BX79" s="842"/>
      <c r="BY79" s="887"/>
      <c r="BZ79" s="887"/>
      <c r="CA79" s="887"/>
      <c r="CB79" s="887"/>
      <c r="CC79" s="887"/>
      <c r="CD79" s="887"/>
      <c r="CE79" s="887"/>
      <c r="CF79" s="887"/>
      <c r="CG79" s="887"/>
      <c r="CH79" s="887"/>
      <c r="CI79" s="887"/>
      <c r="CJ79" s="842"/>
      <c r="CK79" s="887"/>
      <c r="CL79" s="887"/>
      <c r="CM79" s="887"/>
      <c r="CN79" s="887"/>
      <c r="CO79" s="887"/>
      <c r="CP79" s="887"/>
      <c r="CQ79" s="887"/>
      <c r="CR79" s="887"/>
      <c r="CS79" s="887"/>
      <c r="CT79" s="887"/>
      <c r="CU79" s="887"/>
      <c r="CV79" s="842"/>
      <c r="CW79" s="887"/>
      <c r="CX79" s="887"/>
      <c r="CY79" s="887"/>
      <c r="CZ79" s="887"/>
      <c r="DA79" s="887"/>
      <c r="DB79" s="887"/>
      <c r="DC79" s="887"/>
      <c r="DD79" s="887"/>
      <c r="DE79" s="887"/>
      <c r="DF79" s="887"/>
      <c r="DG79" s="887"/>
      <c r="DH79" s="842"/>
      <c r="DI79" s="887"/>
      <c r="DJ79" s="887"/>
      <c r="DK79" s="887"/>
      <c r="DL79" s="887"/>
      <c r="DM79" s="887"/>
      <c r="DN79" s="887"/>
      <c r="DO79" s="887"/>
      <c r="DP79" s="887"/>
      <c r="DQ79" s="887"/>
      <c r="DR79" s="887"/>
      <c r="DS79" s="887"/>
      <c r="DT79" s="842"/>
    </row>
    <row r="80" spans="1:1103" s="886" customFormat="1" ht="18.75" x14ac:dyDescent="0.3">
      <c r="B80" s="159" t="s">
        <v>1383</v>
      </c>
      <c r="C80" s="886">
        <v>15.1</v>
      </c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682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46"/>
      <c r="AC80" s="891"/>
      <c r="AD80" s="891"/>
      <c r="AE80" s="891"/>
      <c r="AF80" s="891"/>
      <c r="AG80" s="891"/>
      <c r="AH80" s="891"/>
      <c r="AI80" s="891"/>
      <c r="AJ80" s="891"/>
      <c r="AK80" s="891"/>
      <c r="AL80" s="891"/>
      <c r="AM80" s="891"/>
      <c r="AN80" s="846"/>
      <c r="AO80" s="891"/>
      <c r="AP80" s="891"/>
      <c r="AQ80" s="891"/>
      <c r="AR80" s="891"/>
      <c r="AS80" s="891"/>
      <c r="AT80" s="891"/>
      <c r="AU80" s="891"/>
      <c r="AV80" s="891"/>
      <c r="AW80" s="891"/>
      <c r="AX80" s="891"/>
      <c r="AY80" s="891"/>
      <c r="AZ80" s="846"/>
      <c r="BA80" s="891"/>
      <c r="BB80" s="891"/>
      <c r="BC80" s="891"/>
      <c r="BD80" s="891"/>
      <c r="BE80" s="891"/>
      <c r="BF80" s="891"/>
      <c r="BG80" s="891"/>
      <c r="BH80" s="891"/>
      <c r="BI80" s="891"/>
      <c r="BJ80" s="891"/>
      <c r="BK80" s="891"/>
      <c r="BL80" s="846"/>
      <c r="BM80" s="891"/>
      <c r="BN80" s="891"/>
      <c r="BO80" s="891"/>
      <c r="BP80" s="891"/>
      <c r="BQ80" s="891"/>
      <c r="BR80" s="891"/>
      <c r="BS80" s="891"/>
      <c r="BT80" s="891"/>
      <c r="BU80" s="891"/>
      <c r="BV80" s="891"/>
      <c r="BW80" s="891"/>
      <c r="BX80" s="846"/>
      <c r="BY80" s="891"/>
      <c r="BZ80" s="891"/>
      <c r="CA80" s="891"/>
      <c r="CB80" s="891"/>
      <c r="CC80" s="891"/>
      <c r="CD80" s="891"/>
      <c r="CE80" s="891"/>
      <c r="CF80" s="891"/>
      <c r="CG80" s="891"/>
      <c r="CH80" s="891"/>
      <c r="CI80" s="891"/>
      <c r="CJ80" s="846"/>
      <c r="CK80" s="891"/>
      <c r="CL80" s="891"/>
      <c r="CM80" s="891"/>
      <c r="CN80" s="891"/>
      <c r="CO80" s="891"/>
      <c r="CP80" s="891"/>
      <c r="CQ80" s="891"/>
      <c r="CR80" s="891"/>
      <c r="CS80" s="891"/>
      <c r="CT80" s="891"/>
      <c r="CU80" s="891"/>
      <c r="CV80" s="846"/>
      <c r="CW80" s="891"/>
      <c r="CX80" s="891"/>
      <c r="CY80" s="891"/>
      <c r="CZ80" s="891"/>
      <c r="DA80" s="891"/>
      <c r="DB80" s="891"/>
      <c r="DC80" s="891"/>
      <c r="DD80" s="891"/>
      <c r="DE80" s="891"/>
      <c r="DF80" s="891"/>
      <c r="DG80" s="891"/>
      <c r="DH80" s="846"/>
      <c r="DI80" s="891"/>
      <c r="DJ80" s="891"/>
      <c r="DK80" s="891"/>
      <c r="DL80" s="891"/>
      <c r="DM80" s="891"/>
      <c r="DN80" s="891"/>
      <c r="DO80" s="891"/>
      <c r="DP80" s="891"/>
      <c r="DQ80" s="891"/>
      <c r="DR80" s="891"/>
      <c r="DS80" s="891"/>
      <c r="DT80" s="846"/>
    </row>
    <row r="81" spans="2:124" s="886" customFormat="1" ht="15" x14ac:dyDescent="0.25">
      <c r="B81" s="754" t="s">
        <v>381</v>
      </c>
      <c r="C81" s="886">
        <v>11</v>
      </c>
      <c r="E81" s="471"/>
      <c r="F81" s="471"/>
      <c r="G81" s="471"/>
      <c r="H81" s="471"/>
      <c r="I81" s="471"/>
      <c r="J81" s="498"/>
      <c r="K81" s="471"/>
      <c r="L81" s="471"/>
      <c r="M81" s="471"/>
      <c r="N81" s="471"/>
      <c r="O81" s="471">
        <f>_xlfn.CEILING.MATH(O9/$C$80/$C$81,1)</f>
        <v>3</v>
      </c>
      <c r="P81" s="498">
        <f t="shared" ref="P81:Q81" si="347">_xlfn.CEILING.MATH(P9/$C$80/$C$81,1)</f>
        <v>5</v>
      </c>
      <c r="Q81" s="107">
        <f t="shared" si="347"/>
        <v>11</v>
      </c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739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739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739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739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739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739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739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739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739"/>
    </row>
    <row r="82" spans="2:124" s="886" customFormat="1" ht="15" x14ac:dyDescent="0.25">
      <c r="B82" s="754" t="s">
        <v>382</v>
      </c>
      <c r="E82" s="538"/>
      <c r="F82" s="538"/>
      <c r="G82" s="538"/>
      <c r="H82" s="538"/>
      <c r="I82" s="538"/>
      <c r="J82" s="538"/>
      <c r="K82" s="404"/>
      <c r="L82" s="404"/>
      <c r="M82" s="404"/>
      <c r="N82" s="404"/>
      <c r="O82" s="404"/>
      <c r="P82" s="497"/>
      <c r="Q82" s="107"/>
      <c r="R82" s="107">
        <f t="shared" ref="R82:Z84" si="348">_xlfn.CEILING.MATH(R10/$C$81/$C$80,1)</f>
        <v>3</v>
      </c>
      <c r="S82" s="107">
        <f t="shared" si="348"/>
        <v>5</v>
      </c>
      <c r="T82" s="107">
        <f t="shared" si="348"/>
        <v>11</v>
      </c>
      <c r="U82" s="107"/>
      <c r="V82" s="107"/>
      <c r="W82" s="107"/>
      <c r="X82" s="107"/>
      <c r="Y82" s="107"/>
      <c r="Z82" s="107"/>
      <c r="AA82" s="107"/>
      <c r="AB82" s="739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739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739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739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739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739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739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739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739"/>
    </row>
    <row r="83" spans="2:124" s="886" customFormat="1" ht="15" x14ac:dyDescent="0.25">
      <c r="B83" s="754" t="s">
        <v>383</v>
      </c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99"/>
      <c r="Q83" s="107"/>
      <c r="R83" s="107"/>
      <c r="S83" s="107"/>
      <c r="T83" s="107"/>
      <c r="U83" s="107">
        <f t="shared" si="348"/>
        <v>3</v>
      </c>
      <c r="V83" s="107">
        <f t="shared" si="348"/>
        <v>6</v>
      </c>
      <c r="W83" s="107">
        <f t="shared" si="348"/>
        <v>12</v>
      </c>
      <c r="X83" s="107"/>
      <c r="Y83" s="107"/>
      <c r="Z83" s="107"/>
      <c r="AA83" s="107"/>
      <c r="AB83" s="739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739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739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739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739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739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739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739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739"/>
    </row>
    <row r="84" spans="2:124" s="886" customFormat="1" ht="15" x14ac:dyDescent="0.25">
      <c r="B84" s="754" t="s">
        <v>492</v>
      </c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99"/>
      <c r="Q84" s="107"/>
      <c r="R84" s="107"/>
      <c r="S84" s="107"/>
      <c r="T84" s="107"/>
      <c r="U84" s="107"/>
      <c r="V84" s="107"/>
      <c r="W84" s="107"/>
      <c r="X84" s="107">
        <f t="shared" si="348"/>
        <v>3</v>
      </c>
      <c r="Y84" s="107">
        <f t="shared" si="348"/>
        <v>5</v>
      </c>
      <c r="Z84" s="107">
        <f t="shared" si="348"/>
        <v>12</v>
      </c>
      <c r="AA84" s="107"/>
      <c r="AB84" s="739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739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739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739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739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739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739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739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739"/>
    </row>
    <row r="85" spans="2:124" s="886" customFormat="1" ht="15" x14ac:dyDescent="0.25">
      <c r="B85" s="405" t="s">
        <v>370</v>
      </c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>
        <f>SUM(O81:O84)</f>
        <v>3</v>
      </c>
      <c r="P85" s="497">
        <f t="shared" ref="P85:BA85" si="349">SUM(P81:P84)</f>
        <v>5</v>
      </c>
      <c r="Q85" s="107">
        <f t="shared" si="349"/>
        <v>11</v>
      </c>
      <c r="R85" s="107">
        <f t="shared" si="349"/>
        <v>3</v>
      </c>
      <c r="S85" s="107">
        <f t="shared" si="349"/>
        <v>5</v>
      </c>
      <c r="T85" s="107">
        <f t="shared" si="349"/>
        <v>11</v>
      </c>
      <c r="U85" s="107">
        <f t="shared" si="349"/>
        <v>3</v>
      </c>
      <c r="V85" s="107">
        <f t="shared" si="349"/>
        <v>6</v>
      </c>
      <c r="W85" s="107">
        <f t="shared" si="349"/>
        <v>12</v>
      </c>
      <c r="X85" s="107">
        <f t="shared" si="349"/>
        <v>3</v>
      </c>
      <c r="Y85" s="107">
        <f t="shared" si="349"/>
        <v>5</v>
      </c>
      <c r="Z85" s="107">
        <f t="shared" si="349"/>
        <v>12</v>
      </c>
      <c r="AA85" s="107">
        <f t="shared" si="349"/>
        <v>0</v>
      </c>
      <c r="AB85" s="739">
        <f t="shared" si="349"/>
        <v>0</v>
      </c>
      <c r="AC85" s="107">
        <f t="shared" si="349"/>
        <v>0</v>
      </c>
      <c r="AD85" s="107">
        <f t="shared" si="349"/>
        <v>0</v>
      </c>
      <c r="AE85" s="107">
        <f t="shared" si="349"/>
        <v>0</v>
      </c>
      <c r="AF85" s="107">
        <f t="shared" si="349"/>
        <v>0</v>
      </c>
      <c r="AG85" s="107">
        <f t="shared" si="349"/>
        <v>0</v>
      </c>
      <c r="AH85" s="107">
        <f t="shared" si="349"/>
        <v>0</v>
      </c>
      <c r="AI85" s="107">
        <f t="shared" si="349"/>
        <v>0</v>
      </c>
      <c r="AJ85" s="107">
        <f t="shared" si="349"/>
        <v>0</v>
      </c>
      <c r="AK85" s="107">
        <f t="shared" si="349"/>
        <v>0</v>
      </c>
      <c r="AL85" s="107">
        <f t="shared" si="349"/>
        <v>0</v>
      </c>
      <c r="AM85" s="107">
        <f t="shared" si="349"/>
        <v>0</v>
      </c>
      <c r="AN85" s="739">
        <f t="shared" si="349"/>
        <v>0</v>
      </c>
      <c r="AO85" s="107">
        <f t="shared" si="349"/>
        <v>0</v>
      </c>
      <c r="AP85" s="107">
        <f t="shared" si="349"/>
        <v>0</v>
      </c>
      <c r="AQ85" s="107">
        <f t="shared" si="349"/>
        <v>0</v>
      </c>
      <c r="AR85" s="107">
        <f t="shared" si="349"/>
        <v>0</v>
      </c>
      <c r="AS85" s="107">
        <f t="shared" si="349"/>
        <v>0</v>
      </c>
      <c r="AT85" s="107">
        <f t="shared" si="349"/>
        <v>0</v>
      </c>
      <c r="AU85" s="107">
        <f t="shared" si="349"/>
        <v>0</v>
      </c>
      <c r="AV85" s="107">
        <f t="shared" si="349"/>
        <v>0</v>
      </c>
      <c r="AW85" s="107">
        <f t="shared" si="349"/>
        <v>0</v>
      </c>
      <c r="AX85" s="107">
        <f t="shared" si="349"/>
        <v>0</v>
      </c>
      <c r="AY85" s="107">
        <f t="shared" si="349"/>
        <v>0</v>
      </c>
      <c r="AZ85" s="739">
        <f t="shared" si="349"/>
        <v>0</v>
      </c>
      <c r="BA85" s="107">
        <f t="shared" si="349"/>
        <v>0</v>
      </c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739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739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739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739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739"/>
      <c r="DI85" s="107"/>
      <c r="DJ85" s="107"/>
      <c r="DK85" s="107"/>
      <c r="DL85" s="107"/>
      <c r="DM85" s="107"/>
      <c r="DN85" s="107"/>
      <c r="DO85" s="107"/>
      <c r="DP85" s="107"/>
      <c r="DQ85" s="387"/>
      <c r="DR85" s="387"/>
      <c r="DS85" s="387"/>
      <c r="DT85" s="764"/>
    </row>
    <row r="86" spans="2:124" s="886" customFormat="1" ht="15" x14ac:dyDescent="0.25">
      <c r="B86" s="405" t="s">
        <v>384</v>
      </c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97"/>
      <c r="Q86" s="107"/>
      <c r="R86" s="106"/>
      <c r="S86" s="106"/>
      <c r="T86" s="106"/>
      <c r="U86" s="106"/>
      <c r="V86" s="106"/>
      <c r="W86" s="106"/>
      <c r="X86" s="106"/>
      <c r="Y86" s="106"/>
      <c r="Z86" s="106"/>
      <c r="AA86" s="106">
        <f>O85</f>
        <v>3</v>
      </c>
      <c r="AB86" s="108">
        <f t="shared" ref="AB86:BN89" si="350">P85</f>
        <v>5</v>
      </c>
      <c r="AC86" s="107">
        <f t="shared" si="350"/>
        <v>11</v>
      </c>
      <c r="AD86" s="106">
        <f t="shared" si="350"/>
        <v>3</v>
      </c>
      <c r="AE86" s="106">
        <f t="shared" si="350"/>
        <v>5</v>
      </c>
      <c r="AF86" s="106">
        <f t="shared" si="350"/>
        <v>11</v>
      </c>
      <c r="AG86" s="106">
        <f t="shared" si="350"/>
        <v>3</v>
      </c>
      <c r="AH86" s="106">
        <f t="shared" si="350"/>
        <v>6</v>
      </c>
      <c r="AI86" s="106">
        <f t="shared" si="350"/>
        <v>12</v>
      </c>
      <c r="AJ86" s="106">
        <f t="shared" si="350"/>
        <v>3</v>
      </c>
      <c r="AK86" s="106">
        <f t="shared" si="350"/>
        <v>5</v>
      </c>
      <c r="AL86" s="106">
        <f t="shared" si="350"/>
        <v>12</v>
      </c>
      <c r="AM86" s="106">
        <f t="shared" si="350"/>
        <v>0</v>
      </c>
      <c r="AN86" s="108">
        <f t="shared" si="350"/>
        <v>0</v>
      </c>
      <c r="AO86" s="107">
        <f t="shared" si="350"/>
        <v>0</v>
      </c>
      <c r="AP86" s="106">
        <f t="shared" si="350"/>
        <v>0</v>
      </c>
      <c r="AQ86" s="106">
        <f t="shared" si="350"/>
        <v>0</v>
      </c>
      <c r="AR86" s="106">
        <f t="shared" si="350"/>
        <v>0</v>
      </c>
      <c r="AS86" s="106">
        <f t="shared" si="350"/>
        <v>0</v>
      </c>
      <c r="AT86" s="106">
        <f t="shared" si="350"/>
        <v>0</v>
      </c>
      <c r="AU86" s="106">
        <f t="shared" si="350"/>
        <v>0</v>
      </c>
      <c r="AV86" s="106">
        <f t="shared" si="350"/>
        <v>0</v>
      </c>
      <c r="AW86" s="106">
        <f t="shared" si="350"/>
        <v>0</v>
      </c>
      <c r="AX86" s="106">
        <f t="shared" si="350"/>
        <v>0</v>
      </c>
      <c r="AY86" s="106">
        <f t="shared" si="350"/>
        <v>0</v>
      </c>
      <c r="AZ86" s="108">
        <f t="shared" si="350"/>
        <v>0</v>
      </c>
      <c r="BA86" s="107">
        <f t="shared" si="350"/>
        <v>0</v>
      </c>
      <c r="BB86" s="106">
        <f t="shared" si="350"/>
        <v>0</v>
      </c>
      <c r="BC86" s="106">
        <f t="shared" si="350"/>
        <v>0</v>
      </c>
      <c r="BD86" s="106">
        <f t="shared" si="350"/>
        <v>0</v>
      </c>
      <c r="BE86" s="106">
        <f t="shared" si="350"/>
        <v>0</v>
      </c>
      <c r="BF86" s="106">
        <f t="shared" si="350"/>
        <v>0</v>
      </c>
      <c r="BG86" s="106">
        <f t="shared" si="350"/>
        <v>0</v>
      </c>
      <c r="BH86" s="106">
        <f t="shared" si="350"/>
        <v>0</v>
      </c>
      <c r="BI86" s="106">
        <f t="shared" si="350"/>
        <v>0</v>
      </c>
      <c r="BJ86" s="106">
        <f t="shared" si="350"/>
        <v>0</v>
      </c>
      <c r="BK86" s="106">
        <f t="shared" si="350"/>
        <v>0</v>
      </c>
      <c r="BL86" s="108">
        <f t="shared" si="350"/>
        <v>0</v>
      </c>
      <c r="BM86" s="107">
        <f t="shared" si="350"/>
        <v>0</v>
      </c>
      <c r="BN86" s="106">
        <f t="shared" si="350"/>
        <v>0</v>
      </c>
      <c r="BO86" s="106"/>
      <c r="BP86" s="106"/>
      <c r="BQ86" s="106"/>
      <c r="BR86" s="106"/>
      <c r="BS86" s="106"/>
      <c r="BT86" s="106"/>
      <c r="BU86" s="106"/>
      <c r="BV86" s="106"/>
      <c r="BW86" s="106"/>
      <c r="BX86" s="108"/>
      <c r="BY86" s="107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8"/>
      <c r="CK86" s="107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8"/>
      <c r="CW86" s="107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8"/>
      <c r="DI86" s="107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8"/>
    </row>
    <row r="87" spans="2:124" ht="15" x14ac:dyDescent="0.25">
      <c r="B87" s="405" t="s">
        <v>385</v>
      </c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97"/>
      <c r="Q87" s="107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8"/>
      <c r="AC87" s="107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>
        <f>AA86</f>
        <v>3</v>
      </c>
      <c r="AN87" s="108">
        <f t="shared" si="350"/>
        <v>5</v>
      </c>
      <c r="AO87" s="107">
        <f t="shared" si="350"/>
        <v>11</v>
      </c>
      <c r="AP87" s="106">
        <f t="shared" si="350"/>
        <v>3</v>
      </c>
      <c r="AQ87" s="106">
        <f t="shared" si="350"/>
        <v>5</v>
      </c>
      <c r="AR87" s="106">
        <f t="shared" si="350"/>
        <v>11</v>
      </c>
      <c r="AS87" s="106">
        <f t="shared" si="350"/>
        <v>3</v>
      </c>
      <c r="AT87" s="106">
        <f t="shared" si="350"/>
        <v>6</v>
      </c>
      <c r="AU87" s="106">
        <f t="shared" si="350"/>
        <v>12</v>
      </c>
      <c r="AV87" s="106">
        <f t="shared" si="350"/>
        <v>3</v>
      </c>
      <c r="AW87" s="106">
        <f t="shared" si="350"/>
        <v>5</v>
      </c>
      <c r="AX87" s="106">
        <f t="shared" si="350"/>
        <v>12</v>
      </c>
      <c r="AY87" s="106">
        <f t="shared" si="350"/>
        <v>0</v>
      </c>
      <c r="AZ87" s="108">
        <f t="shared" si="350"/>
        <v>0</v>
      </c>
      <c r="BA87" s="107">
        <f t="shared" si="350"/>
        <v>0</v>
      </c>
      <c r="BB87" s="106">
        <f t="shared" si="350"/>
        <v>0</v>
      </c>
      <c r="BC87" s="106">
        <f t="shared" si="350"/>
        <v>0</v>
      </c>
      <c r="BD87" s="106">
        <f t="shared" si="350"/>
        <v>0</v>
      </c>
      <c r="BE87" s="106">
        <f t="shared" si="350"/>
        <v>0</v>
      </c>
      <c r="BF87" s="106">
        <f t="shared" si="350"/>
        <v>0</v>
      </c>
      <c r="BG87" s="106">
        <f t="shared" si="350"/>
        <v>0</v>
      </c>
      <c r="BH87" s="106">
        <f t="shared" si="350"/>
        <v>0</v>
      </c>
      <c r="BI87" s="106">
        <f t="shared" si="350"/>
        <v>0</v>
      </c>
      <c r="BJ87" s="106">
        <f t="shared" si="350"/>
        <v>0</v>
      </c>
      <c r="BK87" s="106">
        <f t="shared" si="350"/>
        <v>0</v>
      </c>
      <c r="BL87" s="108">
        <f t="shared" si="350"/>
        <v>0</v>
      </c>
      <c r="BM87" s="107">
        <f t="shared" si="350"/>
        <v>0</v>
      </c>
      <c r="BN87" s="106">
        <f t="shared" si="350"/>
        <v>0</v>
      </c>
      <c r="BO87" s="106">
        <f t="shared" ref="BO87:CD90" si="351">BC86</f>
        <v>0</v>
      </c>
      <c r="BP87" s="106">
        <f t="shared" si="351"/>
        <v>0</v>
      </c>
      <c r="BQ87" s="106">
        <f t="shared" si="351"/>
        <v>0</v>
      </c>
      <c r="BR87" s="106">
        <f t="shared" si="351"/>
        <v>0</v>
      </c>
      <c r="BS87" s="106">
        <f t="shared" si="351"/>
        <v>0</v>
      </c>
      <c r="BT87" s="106">
        <f t="shared" si="351"/>
        <v>0</v>
      </c>
      <c r="BU87" s="106">
        <f t="shared" si="351"/>
        <v>0</v>
      </c>
      <c r="BV87" s="106">
        <f t="shared" si="351"/>
        <v>0</v>
      </c>
      <c r="BW87" s="106">
        <f t="shared" si="351"/>
        <v>0</v>
      </c>
      <c r="BX87" s="108">
        <f t="shared" si="351"/>
        <v>0</v>
      </c>
      <c r="BY87" s="107">
        <f t="shared" si="351"/>
        <v>0</v>
      </c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8"/>
      <c r="CK87" s="107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8"/>
      <c r="CW87" s="107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8"/>
      <c r="DI87" s="107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8"/>
    </row>
    <row r="88" spans="2:124" ht="15" x14ac:dyDescent="0.25">
      <c r="B88" s="405" t="s">
        <v>386</v>
      </c>
      <c r="E88" s="538"/>
      <c r="F88" s="538"/>
      <c r="G88" s="538"/>
      <c r="H88" s="538"/>
      <c r="I88" s="538"/>
      <c r="J88" s="538"/>
      <c r="K88" s="471"/>
      <c r="L88" s="471"/>
      <c r="M88" s="471"/>
      <c r="N88" s="471"/>
      <c r="O88" s="471"/>
      <c r="P88" s="498"/>
      <c r="Q88" s="28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3"/>
      <c r="AC88" s="28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3"/>
      <c r="AO88" s="28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>
        <f>AM87</f>
        <v>3</v>
      </c>
      <c r="AZ88" s="313">
        <f t="shared" si="350"/>
        <v>5</v>
      </c>
      <c r="BA88" s="282">
        <f t="shared" si="350"/>
        <v>11</v>
      </c>
      <c r="BB88" s="312">
        <f t="shared" si="350"/>
        <v>3</v>
      </c>
      <c r="BC88" s="312">
        <f t="shared" si="350"/>
        <v>5</v>
      </c>
      <c r="BD88" s="312">
        <f t="shared" si="350"/>
        <v>11</v>
      </c>
      <c r="BE88" s="312">
        <f t="shared" si="350"/>
        <v>3</v>
      </c>
      <c r="BF88" s="312">
        <f t="shared" si="350"/>
        <v>6</v>
      </c>
      <c r="BG88" s="312">
        <f t="shared" si="350"/>
        <v>12</v>
      </c>
      <c r="BH88" s="312">
        <f t="shared" si="350"/>
        <v>3</v>
      </c>
      <c r="BI88" s="312">
        <f t="shared" si="350"/>
        <v>5</v>
      </c>
      <c r="BJ88" s="312">
        <f t="shared" si="350"/>
        <v>12</v>
      </c>
      <c r="BK88" s="312">
        <f t="shared" si="350"/>
        <v>0</v>
      </c>
      <c r="BL88" s="313">
        <f t="shared" si="350"/>
        <v>0</v>
      </c>
      <c r="BM88" s="282">
        <f t="shared" si="350"/>
        <v>0</v>
      </c>
      <c r="BN88" s="312">
        <f t="shared" si="350"/>
        <v>0</v>
      </c>
      <c r="BO88" s="312">
        <f t="shared" si="351"/>
        <v>0</v>
      </c>
      <c r="BP88" s="312">
        <f t="shared" si="351"/>
        <v>0</v>
      </c>
      <c r="BQ88" s="312">
        <f t="shared" si="351"/>
        <v>0</v>
      </c>
      <c r="BR88" s="312">
        <f t="shared" si="351"/>
        <v>0</v>
      </c>
      <c r="BS88" s="312">
        <f t="shared" si="351"/>
        <v>0</v>
      </c>
      <c r="BT88" s="312">
        <f t="shared" si="351"/>
        <v>0</v>
      </c>
      <c r="BU88" s="312">
        <f t="shared" si="351"/>
        <v>0</v>
      </c>
      <c r="BV88" s="312">
        <f t="shared" si="351"/>
        <v>0</v>
      </c>
      <c r="BW88" s="312">
        <f t="shared" si="351"/>
        <v>0</v>
      </c>
      <c r="BX88" s="313">
        <f t="shared" si="351"/>
        <v>0</v>
      </c>
      <c r="BY88" s="282">
        <f t="shared" si="351"/>
        <v>0</v>
      </c>
      <c r="BZ88" s="312">
        <f t="shared" si="351"/>
        <v>0</v>
      </c>
      <c r="CA88" s="312">
        <f t="shared" si="351"/>
        <v>0</v>
      </c>
      <c r="CB88" s="312">
        <f t="shared" si="351"/>
        <v>0</v>
      </c>
      <c r="CC88" s="312">
        <f t="shared" si="351"/>
        <v>0</v>
      </c>
      <c r="CD88" s="312">
        <f t="shared" si="351"/>
        <v>0</v>
      </c>
      <c r="CE88" s="312">
        <f t="shared" ref="CE88:CT91" si="352">BS87</f>
        <v>0</v>
      </c>
      <c r="CF88" s="312">
        <f t="shared" si="352"/>
        <v>0</v>
      </c>
      <c r="CG88" s="312">
        <f t="shared" si="352"/>
        <v>0</v>
      </c>
      <c r="CH88" s="312">
        <f t="shared" si="352"/>
        <v>0</v>
      </c>
      <c r="CI88" s="312">
        <f t="shared" si="352"/>
        <v>0</v>
      </c>
      <c r="CJ88" s="313">
        <f t="shared" si="352"/>
        <v>0</v>
      </c>
      <c r="CK88" s="282">
        <f t="shared" si="352"/>
        <v>0</v>
      </c>
      <c r="CL88" s="312">
        <f t="shared" si="352"/>
        <v>0</v>
      </c>
      <c r="CM88" s="312">
        <f t="shared" si="352"/>
        <v>0</v>
      </c>
      <c r="CN88" s="312">
        <f t="shared" si="352"/>
        <v>0</v>
      </c>
      <c r="CO88" s="312">
        <f t="shared" si="352"/>
        <v>0</v>
      </c>
      <c r="CP88" s="312">
        <f t="shared" si="352"/>
        <v>0</v>
      </c>
      <c r="CQ88" s="312">
        <f t="shared" si="352"/>
        <v>0</v>
      </c>
      <c r="CR88" s="312">
        <f t="shared" si="352"/>
        <v>0</v>
      </c>
      <c r="CS88" s="312">
        <f t="shared" si="352"/>
        <v>0</v>
      </c>
      <c r="CT88" s="312">
        <f t="shared" si="352"/>
        <v>0</v>
      </c>
      <c r="CU88" s="312">
        <f t="shared" ref="CU88:DJ93" si="353">CI87</f>
        <v>0</v>
      </c>
      <c r="CV88" s="313">
        <f t="shared" si="353"/>
        <v>0</v>
      </c>
      <c r="CW88" s="282">
        <f t="shared" si="353"/>
        <v>0</v>
      </c>
      <c r="CX88" s="312">
        <f t="shared" si="353"/>
        <v>0</v>
      </c>
      <c r="CY88" s="312">
        <f t="shared" si="353"/>
        <v>0</v>
      </c>
      <c r="CZ88" s="312">
        <f t="shared" si="353"/>
        <v>0</v>
      </c>
      <c r="DA88" s="312">
        <f t="shared" si="353"/>
        <v>0</v>
      </c>
      <c r="DB88" s="312">
        <f t="shared" si="353"/>
        <v>0</v>
      </c>
      <c r="DC88" s="312">
        <f t="shared" si="353"/>
        <v>0</v>
      </c>
      <c r="DD88" s="312">
        <f t="shared" si="353"/>
        <v>0</v>
      </c>
      <c r="DE88" s="312">
        <f t="shared" si="353"/>
        <v>0</v>
      </c>
      <c r="DF88" s="312">
        <f t="shared" si="353"/>
        <v>0</v>
      </c>
      <c r="DG88" s="312">
        <f t="shared" si="353"/>
        <v>0</v>
      </c>
      <c r="DH88" s="313">
        <f t="shared" si="353"/>
        <v>0</v>
      </c>
      <c r="DI88" s="282">
        <f t="shared" si="353"/>
        <v>0</v>
      </c>
      <c r="DJ88" s="312">
        <f t="shared" si="353"/>
        <v>0</v>
      </c>
      <c r="DK88" s="312">
        <f t="shared" ref="DK88:DT93" si="354">CY87</f>
        <v>0</v>
      </c>
      <c r="DL88" s="312">
        <f t="shared" si="354"/>
        <v>0</v>
      </c>
      <c r="DM88" s="312"/>
      <c r="DN88" s="312"/>
      <c r="DO88" s="312"/>
      <c r="DP88" s="312"/>
      <c r="DQ88" s="312"/>
      <c r="DR88" s="312"/>
      <c r="DS88" s="312"/>
      <c r="DT88" s="313"/>
    </row>
    <row r="89" spans="2:124" ht="15" x14ac:dyDescent="0.25">
      <c r="B89" s="405" t="s">
        <v>387</v>
      </c>
      <c r="E89" s="538"/>
      <c r="F89" s="538"/>
      <c r="G89" s="538"/>
      <c r="H89" s="538"/>
      <c r="I89" s="538"/>
      <c r="J89" s="538"/>
      <c r="K89" s="404"/>
      <c r="L89" s="404"/>
      <c r="M89" s="404"/>
      <c r="N89" s="404"/>
      <c r="O89" s="404"/>
      <c r="P89" s="497"/>
      <c r="Q89" s="107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8"/>
      <c r="AC89" s="107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8"/>
      <c r="AO89" s="107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8"/>
      <c r="BA89" s="107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>
        <f>AY88</f>
        <v>3</v>
      </c>
      <c r="BL89" s="108">
        <f t="shared" si="350"/>
        <v>5</v>
      </c>
      <c r="BM89" s="107">
        <f t="shared" si="350"/>
        <v>11</v>
      </c>
      <c r="BN89" s="106">
        <f t="shared" si="350"/>
        <v>3</v>
      </c>
      <c r="BO89" s="106">
        <f t="shared" si="351"/>
        <v>5</v>
      </c>
      <c r="BP89" s="106">
        <f t="shared" si="351"/>
        <v>11</v>
      </c>
      <c r="BQ89" s="106">
        <f t="shared" si="351"/>
        <v>3</v>
      </c>
      <c r="BR89" s="106">
        <f t="shared" si="351"/>
        <v>6</v>
      </c>
      <c r="BS89" s="106">
        <f t="shared" si="351"/>
        <v>12</v>
      </c>
      <c r="BT89" s="106">
        <f t="shared" si="351"/>
        <v>3</v>
      </c>
      <c r="BU89" s="106">
        <f t="shared" si="351"/>
        <v>5</v>
      </c>
      <c r="BV89" s="106">
        <f t="shared" si="351"/>
        <v>12</v>
      </c>
      <c r="BW89" s="106">
        <f t="shared" si="351"/>
        <v>0</v>
      </c>
      <c r="BX89" s="108">
        <f t="shared" si="351"/>
        <v>0</v>
      </c>
      <c r="BY89" s="107">
        <f t="shared" si="351"/>
        <v>0</v>
      </c>
      <c r="BZ89" s="106">
        <f t="shared" si="351"/>
        <v>0</v>
      </c>
      <c r="CA89" s="106">
        <f t="shared" si="351"/>
        <v>0</v>
      </c>
      <c r="CB89" s="106">
        <f t="shared" si="351"/>
        <v>0</v>
      </c>
      <c r="CC89" s="106">
        <f t="shared" si="351"/>
        <v>0</v>
      </c>
      <c r="CD89" s="106">
        <f t="shared" si="351"/>
        <v>0</v>
      </c>
      <c r="CE89" s="106">
        <f t="shared" si="352"/>
        <v>0</v>
      </c>
      <c r="CF89" s="106">
        <f t="shared" si="352"/>
        <v>0</v>
      </c>
      <c r="CG89" s="106">
        <f t="shared" si="352"/>
        <v>0</v>
      </c>
      <c r="CH89" s="106">
        <f t="shared" si="352"/>
        <v>0</v>
      </c>
      <c r="CI89" s="106">
        <f t="shared" si="352"/>
        <v>0</v>
      </c>
      <c r="CJ89" s="108">
        <f t="shared" si="352"/>
        <v>0</v>
      </c>
      <c r="CK89" s="107">
        <f t="shared" si="352"/>
        <v>0</v>
      </c>
      <c r="CL89" s="106">
        <f t="shared" si="352"/>
        <v>0</v>
      </c>
      <c r="CM89" s="106">
        <f t="shared" si="352"/>
        <v>0</v>
      </c>
      <c r="CN89" s="106">
        <f t="shared" si="352"/>
        <v>0</v>
      </c>
      <c r="CO89" s="106">
        <f t="shared" si="352"/>
        <v>0</v>
      </c>
      <c r="CP89" s="106">
        <f t="shared" si="352"/>
        <v>0</v>
      </c>
      <c r="CQ89" s="106">
        <f t="shared" si="352"/>
        <v>0</v>
      </c>
      <c r="CR89" s="106">
        <f t="shared" si="352"/>
        <v>0</v>
      </c>
      <c r="CS89" s="106">
        <f t="shared" si="352"/>
        <v>0</v>
      </c>
      <c r="CT89" s="106">
        <f t="shared" si="352"/>
        <v>0</v>
      </c>
      <c r="CU89" s="106">
        <f t="shared" si="353"/>
        <v>0</v>
      </c>
      <c r="CV89" s="108">
        <f t="shared" si="353"/>
        <v>0</v>
      </c>
      <c r="CW89" s="107">
        <f t="shared" si="353"/>
        <v>0</v>
      </c>
      <c r="CX89" s="106">
        <f t="shared" si="353"/>
        <v>0</v>
      </c>
      <c r="CY89" s="106">
        <f t="shared" si="353"/>
        <v>0</v>
      </c>
      <c r="CZ89" s="106">
        <f t="shared" si="353"/>
        <v>0</v>
      </c>
      <c r="DA89" s="106">
        <f t="shared" si="353"/>
        <v>0</v>
      </c>
      <c r="DB89" s="106">
        <f t="shared" si="353"/>
        <v>0</v>
      </c>
      <c r="DC89" s="106">
        <f t="shared" si="353"/>
        <v>0</v>
      </c>
      <c r="DD89" s="106">
        <f t="shared" si="353"/>
        <v>0</v>
      </c>
      <c r="DE89" s="106">
        <f t="shared" si="353"/>
        <v>0</v>
      </c>
      <c r="DF89" s="106">
        <f t="shared" si="353"/>
        <v>0</v>
      </c>
      <c r="DG89" s="106">
        <f t="shared" si="353"/>
        <v>0</v>
      </c>
      <c r="DH89" s="108">
        <f t="shared" si="353"/>
        <v>0</v>
      </c>
      <c r="DI89" s="107">
        <f t="shared" si="353"/>
        <v>0</v>
      </c>
      <c r="DJ89" s="106">
        <f t="shared" si="353"/>
        <v>0</v>
      </c>
      <c r="DK89" s="106">
        <f t="shared" si="354"/>
        <v>0</v>
      </c>
      <c r="DL89" s="106">
        <f t="shared" si="354"/>
        <v>0</v>
      </c>
      <c r="DM89" s="106">
        <f t="shared" si="354"/>
        <v>0</v>
      </c>
      <c r="DN89" s="106">
        <f t="shared" si="354"/>
        <v>0</v>
      </c>
      <c r="DO89" s="106">
        <f t="shared" si="354"/>
        <v>0</v>
      </c>
      <c r="DP89" s="106">
        <f t="shared" si="354"/>
        <v>0</v>
      </c>
      <c r="DQ89" s="106">
        <f t="shared" si="354"/>
        <v>0</v>
      </c>
      <c r="DR89" s="106">
        <f t="shared" si="354"/>
        <v>0</v>
      </c>
      <c r="DS89" s="106">
        <f t="shared" si="354"/>
        <v>0</v>
      </c>
      <c r="DT89" s="108">
        <f t="shared" si="354"/>
        <v>0</v>
      </c>
    </row>
    <row r="90" spans="2:124" ht="15" x14ac:dyDescent="0.25">
      <c r="B90" s="405" t="s">
        <v>388</v>
      </c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99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5"/>
      <c r="AC90" s="314"/>
      <c r="AD90" s="314"/>
      <c r="AE90" s="314"/>
      <c r="AF90" s="314"/>
      <c r="AG90" s="314"/>
      <c r="AH90" s="314"/>
      <c r="AI90" s="314"/>
      <c r="AJ90" s="314"/>
      <c r="AK90" s="314"/>
      <c r="AL90" s="314"/>
      <c r="AM90" s="314"/>
      <c r="AN90" s="315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4"/>
      <c r="AZ90" s="315"/>
      <c r="BA90" s="314"/>
      <c r="BB90" s="314"/>
      <c r="BC90" s="314"/>
      <c r="BD90" s="314"/>
      <c r="BE90" s="314"/>
      <c r="BF90" s="314"/>
      <c r="BG90" s="314"/>
      <c r="BH90" s="314"/>
      <c r="BI90" s="314"/>
      <c r="BJ90" s="314"/>
      <c r="BK90" s="314"/>
      <c r="BL90" s="315"/>
      <c r="BM90" s="314"/>
      <c r="BN90" s="314"/>
      <c r="BO90" s="314"/>
      <c r="BP90" s="314"/>
      <c r="BQ90" s="314"/>
      <c r="BR90" s="314"/>
      <c r="BS90" s="314"/>
      <c r="BT90" s="314"/>
      <c r="BU90" s="314"/>
      <c r="BV90" s="314"/>
      <c r="BW90" s="314">
        <f>BK89</f>
        <v>3</v>
      </c>
      <c r="BX90" s="315">
        <f t="shared" si="351"/>
        <v>5</v>
      </c>
      <c r="BY90" s="314">
        <f t="shared" si="351"/>
        <v>11</v>
      </c>
      <c r="BZ90" s="314">
        <f t="shared" si="351"/>
        <v>3</v>
      </c>
      <c r="CA90" s="314">
        <f t="shared" si="351"/>
        <v>5</v>
      </c>
      <c r="CB90" s="314">
        <f t="shared" si="351"/>
        <v>11</v>
      </c>
      <c r="CC90" s="314">
        <f t="shared" si="351"/>
        <v>3</v>
      </c>
      <c r="CD90" s="314">
        <f t="shared" si="351"/>
        <v>6</v>
      </c>
      <c r="CE90" s="314">
        <f t="shared" si="352"/>
        <v>12</v>
      </c>
      <c r="CF90" s="314">
        <f t="shared" si="352"/>
        <v>3</v>
      </c>
      <c r="CG90" s="314">
        <f t="shared" si="352"/>
        <v>5</v>
      </c>
      <c r="CH90" s="314">
        <f t="shared" si="352"/>
        <v>12</v>
      </c>
      <c r="CI90" s="314">
        <f t="shared" si="352"/>
        <v>0</v>
      </c>
      <c r="CJ90" s="315">
        <f t="shared" si="352"/>
        <v>0</v>
      </c>
      <c r="CK90" s="314">
        <f t="shared" si="352"/>
        <v>0</v>
      </c>
      <c r="CL90" s="314">
        <f t="shared" si="352"/>
        <v>0</v>
      </c>
      <c r="CM90" s="314">
        <f t="shared" si="352"/>
        <v>0</v>
      </c>
      <c r="CN90" s="314">
        <f t="shared" si="352"/>
        <v>0</v>
      </c>
      <c r="CO90" s="314">
        <f t="shared" si="352"/>
        <v>0</v>
      </c>
      <c r="CP90" s="314">
        <f t="shared" si="352"/>
        <v>0</v>
      </c>
      <c r="CQ90" s="314">
        <f t="shared" si="352"/>
        <v>0</v>
      </c>
      <c r="CR90" s="314">
        <f t="shared" si="352"/>
        <v>0</v>
      </c>
      <c r="CS90" s="314">
        <f t="shared" si="352"/>
        <v>0</v>
      </c>
      <c r="CT90" s="314">
        <f t="shared" si="352"/>
        <v>0</v>
      </c>
      <c r="CU90" s="314">
        <f t="shared" si="353"/>
        <v>0</v>
      </c>
      <c r="CV90" s="315">
        <f t="shared" si="353"/>
        <v>0</v>
      </c>
      <c r="CW90" s="314">
        <f t="shared" si="353"/>
        <v>0</v>
      </c>
      <c r="CX90" s="314">
        <f t="shared" si="353"/>
        <v>0</v>
      </c>
      <c r="CY90" s="314">
        <f t="shared" si="353"/>
        <v>0</v>
      </c>
      <c r="CZ90" s="314">
        <f t="shared" si="353"/>
        <v>0</v>
      </c>
      <c r="DA90" s="314">
        <f t="shared" si="353"/>
        <v>0</v>
      </c>
      <c r="DB90" s="314">
        <f t="shared" si="353"/>
        <v>0</v>
      </c>
      <c r="DC90" s="314">
        <f t="shared" si="353"/>
        <v>0</v>
      </c>
      <c r="DD90" s="314">
        <f t="shared" si="353"/>
        <v>0</v>
      </c>
      <c r="DE90" s="314">
        <f t="shared" si="353"/>
        <v>0</v>
      </c>
      <c r="DF90" s="314">
        <f t="shared" si="353"/>
        <v>0</v>
      </c>
      <c r="DG90" s="314">
        <f t="shared" si="353"/>
        <v>0</v>
      </c>
      <c r="DH90" s="315">
        <f t="shared" si="353"/>
        <v>0</v>
      </c>
      <c r="DI90" s="314">
        <f t="shared" si="353"/>
        <v>0</v>
      </c>
      <c r="DJ90" s="314">
        <f t="shared" si="353"/>
        <v>0</v>
      </c>
      <c r="DK90" s="314">
        <f t="shared" si="354"/>
        <v>0</v>
      </c>
      <c r="DL90" s="314">
        <f t="shared" si="354"/>
        <v>0</v>
      </c>
      <c r="DM90" s="314">
        <f t="shared" si="354"/>
        <v>0</v>
      </c>
      <c r="DN90" s="314">
        <f t="shared" si="354"/>
        <v>0</v>
      </c>
      <c r="DO90" s="314">
        <f t="shared" si="354"/>
        <v>0</v>
      </c>
      <c r="DP90" s="314">
        <f t="shared" si="354"/>
        <v>0</v>
      </c>
      <c r="DQ90" s="314">
        <f t="shared" si="354"/>
        <v>0</v>
      </c>
      <c r="DR90" s="314">
        <f t="shared" si="354"/>
        <v>0</v>
      </c>
      <c r="DS90" s="314">
        <f t="shared" si="354"/>
        <v>0</v>
      </c>
      <c r="DT90" s="315">
        <f t="shared" si="354"/>
        <v>0</v>
      </c>
    </row>
    <row r="91" spans="2:124" ht="15" x14ac:dyDescent="0.25">
      <c r="B91" s="405" t="s">
        <v>389</v>
      </c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99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5"/>
      <c r="AC91" s="314"/>
      <c r="AD91" s="314"/>
      <c r="AE91" s="314"/>
      <c r="AF91" s="314"/>
      <c r="AG91" s="314"/>
      <c r="AH91" s="314"/>
      <c r="AI91" s="314"/>
      <c r="AJ91" s="314"/>
      <c r="AK91" s="314"/>
      <c r="AL91" s="314"/>
      <c r="AM91" s="314"/>
      <c r="AN91" s="315"/>
      <c r="AO91" s="314"/>
      <c r="AP91" s="314"/>
      <c r="AQ91" s="314"/>
      <c r="AR91" s="314"/>
      <c r="AS91" s="314"/>
      <c r="AT91" s="314"/>
      <c r="AU91" s="314"/>
      <c r="AV91" s="314"/>
      <c r="AW91" s="314"/>
      <c r="AX91" s="314"/>
      <c r="AY91" s="314"/>
      <c r="AZ91" s="315"/>
      <c r="BA91" s="314"/>
      <c r="BB91" s="314"/>
      <c r="BC91" s="314"/>
      <c r="BD91" s="314"/>
      <c r="BE91" s="314"/>
      <c r="BF91" s="314"/>
      <c r="BG91" s="314"/>
      <c r="BH91" s="314"/>
      <c r="BI91" s="314"/>
      <c r="BJ91" s="314"/>
      <c r="BK91" s="314"/>
      <c r="BL91" s="315"/>
      <c r="BM91" s="314"/>
      <c r="BN91" s="314"/>
      <c r="BO91" s="314"/>
      <c r="BP91" s="314"/>
      <c r="BQ91" s="314"/>
      <c r="BR91" s="314"/>
      <c r="BS91" s="314"/>
      <c r="BT91" s="314"/>
      <c r="BU91" s="314"/>
      <c r="BV91" s="314"/>
      <c r="BW91" s="314"/>
      <c r="BX91" s="315"/>
      <c r="BY91" s="314"/>
      <c r="BZ91" s="314"/>
      <c r="CA91" s="314"/>
      <c r="CB91" s="314"/>
      <c r="CC91" s="314"/>
      <c r="CD91" s="314"/>
      <c r="CE91" s="314"/>
      <c r="CF91" s="314"/>
      <c r="CG91" s="314"/>
      <c r="CH91" s="314"/>
      <c r="CI91" s="314">
        <f>BW90</f>
        <v>3</v>
      </c>
      <c r="CJ91" s="315">
        <f t="shared" si="352"/>
        <v>5</v>
      </c>
      <c r="CK91" s="314">
        <f t="shared" si="352"/>
        <v>11</v>
      </c>
      <c r="CL91" s="314">
        <f t="shared" si="352"/>
        <v>3</v>
      </c>
      <c r="CM91" s="314">
        <f t="shared" si="352"/>
        <v>5</v>
      </c>
      <c r="CN91" s="314">
        <f t="shared" si="352"/>
        <v>11</v>
      </c>
      <c r="CO91" s="314">
        <f t="shared" si="352"/>
        <v>3</v>
      </c>
      <c r="CP91" s="314">
        <f t="shared" si="352"/>
        <v>6</v>
      </c>
      <c r="CQ91" s="314">
        <f t="shared" si="352"/>
        <v>12</v>
      </c>
      <c r="CR91" s="314">
        <f t="shared" si="352"/>
        <v>3</v>
      </c>
      <c r="CS91" s="314">
        <f t="shared" si="352"/>
        <v>5</v>
      </c>
      <c r="CT91" s="314">
        <f t="shared" si="352"/>
        <v>12</v>
      </c>
      <c r="CU91" s="314">
        <f t="shared" si="353"/>
        <v>0</v>
      </c>
      <c r="CV91" s="315">
        <f t="shared" si="353"/>
        <v>0</v>
      </c>
      <c r="CW91" s="314">
        <f t="shared" si="353"/>
        <v>0</v>
      </c>
      <c r="CX91" s="314">
        <f t="shared" si="353"/>
        <v>0</v>
      </c>
      <c r="CY91" s="314">
        <f t="shared" si="353"/>
        <v>0</v>
      </c>
      <c r="CZ91" s="314">
        <f t="shared" si="353"/>
        <v>0</v>
      </c>
      <c r="DA91" s="314">
        <f t="shared" si="353"/>
        <v>0</v>
      </c>
      <c r="DB91" s="314">
        <f t="shared" si="353"/>
        <v>0</v>
      </c>
      <c r="DC91" s="314">
        <f t="shared" si="353"/>
        <v>0</v>
      </c>
      <c r="DD91" s="314">
        <f t="shared" si="353"/>
        <v>0</v>
      </c>
      <c r="DE91" s="314">
        <f t="shared" si="353"/>
        <v>0</v>
      </c>
      <c r="DF91" s="314">
        <f t="shared" si="353"/>
        <v>0</v>
      </c>
      <c r="DG91" s="314">
        <f t="shared" si="353"/>
        <v>0</v>
      </c>
      <c r="DH91" s="315">
        <f t="shared" si="353"/>
        <v>0</v>
      </c>
      <c r="DI91" s="314">
        <f t="shared" si="353"/>
        <v>0</v>
      </c>
      <c r="DJ91" s="314">
        <f t="shared" si="353"/>
        <v>0</v>
      </c>
      <c r="DK91" s="314">
        <f t="shared" si="354"/>
        <v>0</v>
      </c>
      <c r="DL91" s="314">
        <f t="shared" si="354"/>
        <v>0</v>
      </c>
      <c r="DM91" s="314">
        <f t="shared" si="354"/>
        <v>0</v>
      </c>
      <c r="DN91" s="314">
        <f t="shared" si="354"/>
        <v>0</v>
      </c>
      <c r="DO91" s="314">
        <f t="shared" si="354"/>
        <v>0</v>
      </c>
      <c r="DP91" s="314">
        <f t="shared" si="354"/>
        <v>0</v>
      </c>
      <c r="DQ91" s="314">
        <f t="shared" si="354"/>
        <v>0</v>
      </c>
      <c r="DR91" s="314">
        <f t="shared" si="354"/>
        <v>0</v>
      </c>
      <c r="DS91" s="314">
        <f t="shared" si="354"/>
        <v>0</v>
      </c>
      <c r="DT91" s="315">
        <f t="shared" si="354"/>
        <v>0</v>
      </c>
    </row>
    <row r="92" spans="2:124" ht="15" x14ac:dyDescent="0.25">
      <c r="B92" s="405" t="s">
        <v>390</v>
      </c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99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5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5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5"/>
      <c r="BA92" s="314"/>
      <c r="BB92" s="314"/>
      <c r="BC92" s="314"/>
      <c r="BD92" s="314"/>
      <c r="BE92" s="314"/>
      <c r="BF92" s="314"/>
      <c r="BG92" s="314"/>
      <c r="BH92" s="314"/>
      <c r="BI92" s="314"/>
      <c r="BJ92" s="314"/>
      <c r="BK92" s="314"/>
      <c r="BL92" s="315"/>
      <c r="BM92" s="314"/>
      <c r="BN92" s="314"/>
      <c r="BO92" s="314"/>
      <c r="BP92" s="314"/>
      <c r="BQ92" s="314"/>
      <c r="BR92" s="314"/>
      <c r="BS92" s="314"/>
      <c r="BT92" s="314"/>
      <c r="BU92" s="314"/>
      <c r="BV92" s="314"/>
      <c r="BW92" s="314"/>
      <c r="BX92" s="315"/>
      <c r="BY92" s="314"/>
      <c r="BZ92" s="314"/>
      <c r="CA92" s="314"/>
      <c r="CB92" s="314"/>
      <c r="CC92" s="314"/>
      <c r="CD92" s="314"/>
      <c r="CE92" s="314"/>
      <c r="CF92" s="314"/>
      <c r="CG92" s="314"/>
      <c r="CH92" s="314"/>
      <c r="CI92" s="314"/>
      <c r="CJ92" s="315"/>
      <c r="CK92" s="314"/>
      <c r="CL92" s="314"/>
      <c r="CM92" s="314"/>
      <c r="CN92" s="314"/>
      <c r="CO92" s="314"/>
      <c r="CP92" s="314"/>
      <c r="CQ92" s="314"/>
      <c r="CR92" s="314"/>
      <c r="CS92" s="314"/>
      <c r="CT92" s="314"/>
      <c r="CU92" s="314">
        <f>CI91</f>
        <v>3</v>
      </c>
      <c r="CV92" s="315">
        <f t="shared" si="353"/>
        <v>5</v>
      </c>
      <c r="CW92" s="314">
        <f t="shared" si="353"/>
        <v>11</v>
      </c>
      <c r="CX92" s="314">
        <f t="shared" si="353"/>
        <v>3</v>
      </c>
      <c r="CY92" s="314">
        <f t="shared" si="353"/>
        <v>5</v>
      </c>
      <c r="CZ92" s="314">
        <f t="shared" si="353"/>
        <v>11</v>
      </c>
      <c r="DA92" s="314">
        <f t="shared" si="353"/>
        <v>3</v>
      </c>
      <c r="DB92" s="314">
        <f t="shared" si="353"/>
        <v>6</v>
      </c>
      <c r="DC92" s="314">
        <f t="shared" si="353"/>
        <v>12</v>
      </c>
      <c r="DD92" s="314">
        <f t="shared" si="353"/>
        <v>3</v>
      </c>
      <c r="DE92" s="314">
        <f t="shared" si="353"/>
        <v>5</v>
      </c>
      <c r="DF92" s="314">
        <f t="shared" si="353"/>
        <v>12</v>
      </c>
      <c r="DG92" s="314">
        <f t="shared" si="353"/>
        <v>0</v>
      </c>
      <c r="DH92" s="315">
        <f t="shared" si="353"/>
        <v>0</v>
      </c>
      <c r="DI92" s="314">
        <f t="shared" si="353"/>
        <v>0</v>
      </c>
      <c r="DJ92" s="314">
        <f t="shared" si="353"/>
        <v>0</v>
      </c>
      <c r="DK92" s="314">
        <f t="shared" si="354"/>
        <v>0</v>
      </c>
      <c r="DL92" s="314">
        <f t="shared" si="354"/>
        <v>0</v>
      </c>
      <c r="DM92" s="314">
        <f t="shared" si="354"/>
        <v>0</v>
      </c>
      <c r="DN92" s="314">
        <f t="shared" si="354"/>
        <v>0</v>
      </c>
      <c r="DO92" s="314">
        <f t="shared" si="354"/>
        <v>0</v>
      </c>
      <c r="DP92" s="314">
        <f t="shared" si="354"/>
        <v>0</v>
      </c>
      <c r="DQ92" s="314">
        <f t="shared" si="354"/>
        <v>0</v>
      </c>
      <c r="DR92" s="314">
        <f t="shared" si="354"/>
        <v>0</v>
      </c>
      <c r="DS92" s="314">
        <f t="shared" si="354"/>
        <v>0</v>
      </c>
      <c r="DT92" s="315">
        <f t="shared" si="354"/>
        <v>0</v>
      </c>
    </row>
    <row r="93" spans="2:124" ht="15" x14ac:dyDescent="0.25">
      <c r="B93" s="405" t="s">
        <v>391</v>
      </c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99"/>
      <c r="Q93" s="107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8"/>
      <c r="AC93" s="107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8"/>
      <c r="AO93" s="107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8"/>
      <c r="BA93" s="107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8"/>
      <c r="BM93" s="107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8"/>
      <c r="BY93" s="107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8"/>
      <c r="CK93" s="107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8"/>
      <c r="CW93" s="107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>
        <f>CU92</f>
        <v>3</v>
      </c>
      <c r="DH93" s="108">
        <f t="shared" si="353"/>
        <v>5</v>
      </c>
      <c r="DI93" s="107">
        <f t="shared" si="353"/>
        <v>11</v>
      </c>
      <c r="DJ93" s="106">
        <f t="shared" si="353"/>
        <v>3</v>
      </c>
      <c r="DK93" s="106">
        <f t="shared" si="354"/>
        <v>5</v>
      </c>
      <c r="DL93" s="106">
        <f t="shared" si="354"/>
        <v>11</v>
      </c>
      <c r="DM93" s="106">
        <f t="shared" si="354"/>
        <v>3</v>
      </c>
      <c r="DN93" s="106">
        <f t="shared" si="354"/>
        <v>6</v>
      </c>
      <c r="DO93" s="106">
        <f t="shared" si="354"/>
        <v>12</v>
      </c>
      <c r="DP93" s="106">
        <f t="shared" si="354"/>
        <v>3</v>
      </c>
      <c r="DQ93" s="106">
        <f t="shared" si="354"/>
        <v>5</v>
      </c>
      <c r="DR93" s="106">
        <f t="shared" si="354"/>
        <v>12</v>
      </c>
      <c r="DS93" s="106">
        <f t="shared" si="354"/>
        <v>0</v>
      </c>
      <c r="DT93" s="108">
        <f t="shared" si="354"/>
        <v>0</v>
      </c>
    </row>
    <row r="94" spans="2:124" ht="15" x14ac:dyDescent="0.25">
      <c r="B94" s="405" t="s">
        <v>392</v>
      </c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99"/>
      <c r="Q94" s="107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8"/>
      <c r="AC94" s="107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8"/>
      <c r="AO94" s="107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8"/>
      <c r="BA94" s="107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8"/>
      <c r="BM94" s="107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8"/>
      <c r="BY94" s="107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8"/>
      <c r="CK94" s="107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8"/>
      <c r="CW94" s="107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8"/>
      <c r="DI94" s="107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8"/>
    </row>
    <row r="95" spans="2:124" ht="19.5" thickBot="1" x14ac:dyDescent="0.35">
      <c r="B95" s="159" t="s">
        <v>1384</v>
      </c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>
        <f t="shared" ref="O95:Z95" si="355">SUM(O81:O84)</f>
        <v>3</v>
      </c>
      <c r="P95" s="758">
        <f t="shared" si="355"/>
        <v>5</v>
      </c>
      <c r="Q95" s="391">
        <f t="shared" si="355"/>
        <v>11</v>
      </c>
      <c r="R95" s="391">
        <f t="shared" si="355"/>
        <v>3</v>
      </c>
      <c r="S95" s="391">
        <f t="shared" si="355"/>
        <v>5</v>
      </c>
      <c r="T95" s="391">
        <f t="shared" si="355"/>
        <v>11</v>
      </c>
      <c r="U95" s="391">
        <f t="shared" si="355"/>
        <v>3</v>
      </c>
      <c r="V95" s="391">
        <f t="shared" si="355"/>
        <v>6</v>
      </c>
      <c r="W95" s="391">
        <f t="shared" si="355"/>
        <v>12</v>
      </c>
      <c r="X95" s="391">
        <f t="shared" si="355"/>
        <v>3</v>
      </c>
      <c r="Y95" s="391">
        <f t="shared" si="355"/>
        <v>5</v>
      </c>
      <c r="Z95" s="391">
        <f t="shared" si="355"/>
        <v>12</v>
      </c>
      <c r="AA95" s="391">
        <f>SUM(AA86:AA94)</f>
        <v>3</v>
      </c>
      <c r="AB95" s="762">
        <f t="shared" ref="AB95:CM95" si="356">SUM(AB86:AB94)</f>
        <v>5</v>
      </c>
      <c r="AC95" s="391">
        <f t="shared" si="356"/>
        <v>11</v>
      </c>
      <c r="AD95" s="391">
        <f t="shared" si="356"/>
        <v>3</v>
      </c>
      <c r="AE95" s="391">
        <f t="shared" si="356"/>
        <v>5</v>
      </c>
      <c r="AF95" s="391">
        <f t="shared" si="356"/>
        <v>11</v>
      </c>
      <c r="AG95" s="391">
        <f t="shared" si="356"/>
        <v>3</v>
      </c>
      <c r="AH95" s="391">
        <f t="shared" si="356"/>
        <v>6</v>
      </c>
      <c r="AI95" s="391">
        <f t="shared" si="356"/>
        <v>12</v>
      </c>
      <c r="AJ95" s="391">
        <f t="shared" si="356"/>
        <v>3</v>
      </c>
      <c r="AK95" s="391">
        <f t="shared" si="356"/>
        <v>5</v>
      </c>
      <c r="AL95" s="391">
        <f t="shared" si="356"/>
        <v>12</v>
      </c>
      <c r="AM95" s="391">
        <f t="shared" si="356"/>
        <v>3</v>
      </c>
      <c r="AN95" s="762">
        <f t="shared" si="356"/>
        <v>5</v>
      </c>
      <c r="AO95" s="391">
        <f t="shared" si="356"/>
        <v>11</v>
      </c>
      <c r="AP95" s="391">
        <f t="shared" si="356"/>
        <v>3</v>
      </c>
      <c r="AQ95" s="391">
        <f t="shared" si="356"/>
        <v>5</v>
      </c>
      <c r="AR95" s="391">
        <f t="shared" si="356"/>
        <v>11</v>
      </c>
      <c r="AS95" s="391">
        <f t="shared" si="356"/>
        <v>3</v>
      </c>
      <c r="AT95" s="391">
        <f t="shared" si="356"/>
        <v>6</v>
      </c>
      <c r="AU95" s="391">
        <f t="shared" si="356"/>
        <v>12</v>
      </c>
      <c r="AV95" s="391">
        <f t="shared" si="356"/>
        <v>3</v>
      </c>
      <c r="AW95" s="391">
        <f t="shared" si="356"/>
        <v>5</v>
      </c>
      <c r="AX95" s="391">
        <f t="shared" si="356"/>
        <v>12</v>
      </c>
      <c r="AY95" s="391">
        <f t="shared" si="356"/>
        <v>3</v>
      </c>
      <c r="AZ95" s="762">
        <f t="shared" si="356"/>
        <v>5</v>
      </c>
      <c r="BA95" s="391">
        <f t="shared" si="356"/>
        <v>11</v>
      </c>
      <c r="BB95" s="391">
        <f t="shared" si="356"/>
        <v>3</v>
      </c>
      <c r="BC95" s="391">
        <f t="shared" si="356"/>
        <v>5</v>
      </c>
      <c r="BD95" s="391">
        <f t="shared" si="356"/>
        <v>11</v>
      </c>
      <c r="BE95" s="391">
        <f t="shared" si="356"/>
        <v>3</v>
      </c>
      <c r="BF95" s="391">
        <f t="shared" si="356"/>
        <v>6</v>
      </c>
      <c r="BG95" s="391">
        <f t="shared" si="356"/>
        <v>12</v>
      </c>
      <c r="BH95" s="391">
        <f t="shared" si="356"/>
        <v>3</v>
      </c>
      <c r="BI95" s="391">
        <f t="shared" si="356"/>
        <v>5</v>
      </c>
      <c r="BJ95" s="391">
        <f t="shared" si="356"/>
        <v>12</v>
      </c>
      <c r="BK95" s="391">
        <f t="shared" si="356"/>
        <v>3</v>
      </c>
      <c r="BL95" s="762">
        <f t="shared" si="356"/>
        <v>5</v>
      </c>
      <c r="BM95" s="391">
        <f t="shared" si="356"/>
        <v>11</v>
      </c>
      <c r="BN95" s="391">
        <f t="shared" si="356"/>
        <v>3</v>
      </c>
      <c r="BO95" s="391">
        <f t="shared" si="356"/>
        <v>5</v>
      </c>
      <c r="BP95" s="391">
        <f t="shared" si="356"/>
        <v>11</v>
      </c>
      <c r="BQ95" s="391">
        <f t="shared" si="356"/>
        <v>3</v>
      </c>
      <c r="BR95" s="391">
        <f t="shared" si="356"/>
        <v>6</v>
      </c>
      <c r="BS95" s="391">
        <f t="shared" si="356"/>
        <v>12</v>
      </c>
      <c r="BT95" s="391">
        <f t="shared" si="356"/>
        <v>3</v>
      </c>
      <c r="BU95" s="391">
        <f t="shared" si="356"/>
        <v>5</v>
      </c>
      <c r="BV95" s="391">
        <f t="shared" si="356"/>
        <v>12</v>
      </c>
      <c r="BW95" s="391">
        <f t="shared" si="356"/>
        <v>3</v>
      </c>
      <c r="BX95" s="762">
        <f t="shared" si="356"/>
        <v>5</v>
      </c>
      <c r="BY95" s="391">
        <f t="shared" si="356"/>
        <v>11</v>
      </c>
      <c r="BZ95" s="391">
        <f t="shared" si="356"/>
        <v>3</v>
      </c>
      <c r="CA95" s="391">
        <f t="shared" si="356"/>
        <v>5</v>
      </c>
      <c r="CB95" s="391">
        <f t="shared" si="356"/>
        <v>11</v>
      </c>
      <c r="CC95" s="391">
        <f t="shared" si="356"/>
        <v>3</v>
      </c>
      <c r="CD95" s="391">
        <f t="shared" si="356"/>
        <v>6</v>
      </c>
      <c r="CE95" s="391">
        <f t="shared" si="356"/>
        <v>12</v>
      </c>
      <c r="CF95" s="391">
        <f t="shared" si="356"/>
        <v>3</v>
      </c>
      <c r="CG95" s="391">
        <f t="shared" si="356"/>
        <v>5</v>
      </c>
      <c r="CH95" s="391">
        <f t="shared" si="356"/>
        <v>12</v>
      </c>
      <c r="CI95" s="391">
        <f t="shared" si="356"/>
        <v>3</v>
      </c>
      <c r="CJ95" s="762">
        <f t="shared" si="356"/>
        <v>5</v>
      </c>
      <c r="CK95" s="391">
        <f t="shared" si="356"/>
        <v>11</v>
      </c>
      <c r="CL95" s="391">
        <f t="shared" si="356"/>
        <v>3</v>
      </c>
      <c r="CM95" s="391">
        <f t="shared" si="356"/>
        <v>5</v>
      </c>
      <c r="CN95" s="391">
        <f t="shared" ref="CN95:DT95" si="357">SUM(CN86:CN94)</f>
        <v>11</v>
      </c>
      <c r="CO95" s="391">
        <f t="shared" si="357"/>
        <v>3</v>
      </c>
      <c r="CP95" s="391">
        <f t="shared" si="357"/>
        <v>6</v>
      </c>
      <c r="CQ95" s="391">
        <f t="shared" si="357"/>
        <v>12</v>
      </c>
      <c r="CR95" s="391">
        <f t="shared" si="357"/>
        <v>3</v>
      </c>
      <c r="CS95" s="391">
        <f t="shared" si="357"/>
        <v>5</v>
      </c>
      <c r="CT95" s="391">
        <f t="shared" si="357"/>
        <v>12</v>
      </c>
      <c r="CU95" s="391">
        <f t="shared" si="357"/>
        <v>3</v>
      </c>
      <c r="CV95" s="762">
        <f t="shared" si="357"/>
        <v>5</v>
      </c>
      <c r="CW95" s="391">
        <f t="shared" si="357"/>
        <v>11</v>
      </c>
      <c r="CX95" s="391">
        <f t="shared" si="357"/>
        <v>3</v>
      </c>
      <c r="CY95" s="391">
        <f t="shared" si="357"/>
        <v>5</v>
      </c>
      <c r="CZ95" s="391">
        <f t="shared" si="357"/>
        <v>11</v>
      </c>
      <c r="DA95" s="391">
        <f t="shared" si="357"/>
        <v>3</v>
      </c>
      <c r="DB95" s="391">
        <f t="shared" si="357"/>
        <v>6</v>
      </c>
      <c r="DC95" s="391">
        <f t="shared" si="357"/>
        <v>12</v>
      </c>
      <c r="DD95" s="391">
        <f t="shared" si="357"/>
        <v>3</v>
      </c>
      <c r="DE95" s="391">
        <f t="shared" si="357"/>
        <v>5</v>
      </c>
      <c r="DF95" s="391">
        <f t="shared" si="357"/>
        <v>12</v>
      </c>
      <c r="DG95" s="391">
        <f t="shared" si="357"/>
        <v>3</v>
      </c>
      <c r="DH95" s="762">
        <f t="shared" si="357"/>
        <v>5</v>
      </c>
      <c r="DI95" s="391">
        <f t="shared" si="357"/>
        <v>11</v>
      </c>
      <c r="DJ95" s="391">
        <f t="shared" si="357"/>
        <v>3</v>
      </c>
      <c r="DK95" s="391">
        <f t="shared" si="357"/>
        <v>5</v>
      </c>
      <c r="DL95" s="391">
        <f t="shared" si="357"/>
        <v>11</v>
      </c>
      <c r="DM95" s="391">
        <f t="shared" si="357"/>
        <v>3</v>
      </c>
      <c r="DN95" s="391">
        <f t="shared" si="357"/>
        <v>6</v>
      </c>
      <c r="DO95" s="391">
        <f t="shared" si="357"/>
        <v>12</v>
      </c>
      <c r="DP95" s="391">
        <f t="shared" si="357"/>
        <v>3</v>
      </c>
      <c r="DQ95" s="391">
        <f t="shared" si="357"/>
        <v>5</v>
      </c>
      <c r="DR95" s="391">
        <f t="shared" si="357"/>
        <v>12</v>
      </c>
      <c r="DS95" s="391">
        <f t="shared" si="357"/>
        <v>0</v>
      </c>
      <c r="DT95" s="762">
        <f t="shared" si="357"/>
        <v>0</v>
      </c>
    </row>
    <row r="96" spans="2:124" x14ac:dyDescent="0.2">
      <c r="B96" s="886"/>
      <c r="E96" s="887"/>
      <c r="F96" s="887"/>
      <c r="G96" s="887"/>
      <c r="H96" s="887"/>
      <c r="I96" s="887"/>
      <c r="J96" s="887"/>
      <c r="K96" s="887"/>
      <c r="L96" s="887"/>
      <c r="M96" s="887"/>
      <c r="N96" s="887"/>
      <c r="O96" s="887"/>
      <c r="P96" s="842"/>
      <c r="Q96" s="887"/>
      <c r="R96" s="887"/>
      <c r="S96" s="887"/>
      <c r="T96" s="887"/>
      <c r="U96" s="887"/>
      <c r="V96" s="887"/>
      <c r="W96" s="887"/>
      <c r="X96" s="887"/>
      <c r="Y96" s="887"/>
      <c r="Z96" s="887"/>
      <c r="AA96" s="887"/>
      <c r="AB96" s="842"/>
      <c r="AC96" s="887"/>
      <c r="AD96" s="887"/>
      <c r="AE96" s="887"/>
      <c r="AF96" s="887"/>
      <c r="AG96" s="887"/>
      <c r="AH96" s="887"/>
      <c r="AI96" s="887"/>
      <c r="AJ96" s="887"/>
      <c r="AK96" s="887"/>
      <c r="AL96" s="887"/>
      <c r="AM96" s="887"/>
      <c r="AN96" s="842"/>
      <c r="AO96" s="887"/>
      <c r="AP96" s="887"/>
      <c r="AQ96" s="887"/>
      <c r="AR96" s="887"/>
      <c r="AS96" s="887"/>
      <c r="AT96" s="887"/>
      <c r="AU96" s="887"/>
      <c r="AV96" s="887"/>
      <c r="AW96" s="887"/>
      <c r="AX96" s="887"/>
      <c r="AY96" s="887"/>
      <c r="AZ96" s="842"/>
      <c r="BA96" s="887"/>
      <c r="BB96" s="887"/>
      <c r="BC96" s="887"/>
      <c r="BD96" s="887"/>
      <c r="BE96" s="887"/>
      <c r="BF96" s="887"/>
      <c r="BG96" s="887"/>
      <c r="BH96" s="887"/>
      <c r="BI96" s="887"/>
      <c r="BJ96" s="887"/>
      <c r="BK96" s="887"/>
      <c r="BL96" s="842"/>
      <c r="BM96" s="887"/>
      <c r="BN96" s="887"/>
      <c r="BO96" s="887"/>
      <c r="BP96" s="887"/>
      <c r="BQ96" s="887"/>
      <c r="BR96" s="887"/>
      <c r="BS96" s="887"/>
      <c r="BT96" s="887"/>
      <c r="BU96" s="887"/>
      <c r="BV96" s="887"/>
      <c r="BW96" s="887"/>
      <c r="BX96" s="842"/>
      <c r="BY96" s="887"/>
      <c r="BZ96" s="887"/>
      <c r="CA96" s="887"/>
      <c r="CB96" s="887"/>
      <c r="CC96" s="887"/>
      <c r="CD96" s="887"/>
      <c r="CE96" s="887"/>
      <c r="CF96" s="887"/>
      <c r="CG96" s="887"/>
      <c r="CH96" s="887"/>
      <c r="CI96" s="887"/>
      <c r="CJ96" s="842"/>
      <c r="CK96" s="887"/>
      <c r="CL96" s="887"/>
      <c r="CM96" s="887"/>
      <c r="CN96" s="887"/>
      <c r="CO96" s="887"/>
      <c r="CP96" s="887"/>
      <c r="CQ96" s="887"/>
      <c r="CR96" s="887"/>
      <c r="CS96" s="887"/>
      <c r="CT96" s="887"/>
      <c r="CU96" s="887"/>
      <c r="CV96" s="842"/>
      <c r="CW96" s="887"/>
      <c r="CX96" s="887"/>
      <c r="CY96" s="887"/>
      <c r="CZ96" s="887"/>
      <c r="DA96" s="887"/>
      <c r="DB96" s="887"/>
      <c r="DC96" s="887"/>
      <c r="DD96" s="887"/>
      <c r="DE96" s="887"/>
      <c r="DF96" s="887"/>
      <c r="DG96" s="887"/>
      <c r="DH96" s="842"/>
      <c r="DI96" s="887"/>
      <c r="DJ96" s="887"/>
      <c r="DK96" s="887"/>
      <c r="DL96" s="887"/>
      <c r="DM96" s="887"/>
      <c r="DN96" s="887"/>
      <c r="DO96" s="887"/>
      <c r="DP96" s="887"/>
      <c r="DQ96" s="887"/>
      <c r="DR96" s="887"/>
      <c r="DS96" s="887"/>
      <c r="DT96" s="842"/>
    </row>
    <row r="97" spans="2:124" ht="18.75" customHeight="1" x14ac:dyDescent="0.3">
      <c r="B97" s="159" t="s">
        <v>1274</v>
      </c>
      <c r="C97" s="887">
        <v>1587</v>
      </c>
      <c r="D97" s="1066"/>
      <c r="E97" s="840"/>
      <c r="F97" s="840"/>
      <c r="G97" s="840"/>
      <c r="H97" s="840"/>
      <c r="I97" s="840"/>
      <c r="J97" s="840"/>
      <c r="K97" s="840"/>
      <c r="L97" s="840"/>
      <c r="M97" s="840"/>
      <c r="N97" s="840"/>
      <c r="O97" s="840"/>
      <c r="P97" s="682"/>
      <c r="Q97" s="891"/>
      <c r="R97" s="891"/>
      <c r="S97" s="891"/>
      <c r="T97" s="891"/>
      <c r="U97" s="891"/>
      <c r="V97" s="891"/>
      <c r="W97" s="891"/>
      <c r="X97" s="891"/>
      <c r="Y97" s="891"/>
      <c r="Z97" s="891"/>
      <c r="AA97" s="891"/>
      <c r="AB97" s="846"/>
      <c r="AC97" s="891"/>
      <c r="AD97" s="891"/>
      <c r="AE97" s="891"/>
      <c r="AF97" s="891"/>
      <c r="AG97" s="891"/>
      <c r="AH97" s="891"/>
      <c r="AI97" s="891"/>
      <c r="AJ97" s="891"/>
      <c r="AK97" s="891"/>
      <c r="AL97" s="891"/>
      <c r="AM97" s="891"/>
      <c r="AN97" s="846"/>
      <c r="AO97" s="891"/>
      <c r="AP97" s="891"/>
      <c r="AQ97" s="891"/>
      <c r="AR97" s="891"/>
      <c r="AS97" s="891"/>
      <c r="AT97" s="891"/>
      <c r="AU97" s="891"/>
      <c r="AV97" s="891"/>
      <c r="AW97" s="891"/>
      <c r="AX97" s="891"/>
      <c r="AY97" s="891"/>
      <c r="AZ97" s="846"/>
      <c r="BA97" s="891"/>
      <c r="BB97" s="891"/>
      <c r="BC97" s="891"/>
      <c r="BD97" s="891"/>
      <c r="BE97" s="891"/>
      <c r="BF97" s="891"/>
      <c r="BG97" s="891"/>
      <c r="BH97" s="891"/>
      <c r="BI97" s="891"/>
      <c r="BJ97" s="891"/>
      <c r="BK97" s="891"/>
      <c r="BL97" s="846"/>
      <c r="BM97" s="891"/>
      <c r="BN97" s="891"/>
      <c r="BO97" s="891"/>
      <c r="BP97" s="891"/>
      <c r="BQ97" s="891"/>
      <c r="BR97" s="891"/>
      <c r="BS97" s="891"/>
      <c r="BT97" s="891"/>
      <c r="BU97" s="891"/>
      <c r="BV97" s="891"/>
      <c r="BW97" s="891"/>
      <c r="BX97" s="846"/>
      <c r="BY97" s="891"/>
      <c r="BZ97" s="891"/>
      <c r="CA97" s="891"/>
      <c r="CB97" s="891"/>
      <c r="CC97" s="891"/>
      <c r="CD97" s="891"/>
      <c r="CE97" s="891"/>
      <c r="CF97" s="891"/>
      <c r="CG97" s="891"/>
      <c r="CH97" s="891"/>
      <c r="CI97" s="891"/>
      <c r="CJ97" s="846"/>
      <c r="CK97" s="891"/>
      <c r="CL97" s="891"/>
      <c r="CM97" s="891"/>
      <c r="CN97" s="891"/>
      <c r="CO97" s="891"/>
      <c r="CP97" s="891"/>
      <c r="CQ97" s="891"/>
      <c r="CR97" s="891"/>
      <c r="CS97" s="891"/>
      <c r="CT97" s="891"/>
      <c r="CU97" s="891"/>
      <c r="CV97" s="846"/>
      <c r="CW97" s="891"/>
      <c r="CX97" s="891"/>
      <c r="CY97" s="891"/>
      <c r="CZ97" s="891"/>
      <c r="DA97" s="891"/>
      <c r="DB97" s="891"/>
      <c r="DC97" s="891"/>
      <c r="DD97" s="891"/>
      <c r="DE97" s="891"/>
      <c r="DF97" s="891"/>
      <c r="DG97" s="891"/>
      <c r="DH97" s="846"/>
      <c r="DI97" s="891"/>
      <c r="DJ97" s="891"/>
      <c r="DK97" s="891"/>
      <c r="DL97" s="891"/>
      <c r="DM97" s="891"/>
      <c r="DN97" s="891"/>
      <c r="DO97" s="891"/>
      <c r="DP97" s="891"/>
      <c r="DQ97" s="891"/>
      <c r="DR97" s="891"/>
      <c r="DS97" s="891"/>
      <c r="DT97" s="846"/>
    </row>
    <row r="98" spans="2:124" ht="15" customHeight="1" x14ac:dyDescent="0.25">
      <c r="B98" s="754" t="s">
        <v>381</v>
      </c>
      <c r="C98" s="887">
        <v>12.5</v>
      </c>
      <c r="D98" s="1066"/>
      <c r="E98" s="471"/>
      <c r="F98" s="471"/>
      <c r="G98" s="471"/>
      <c r="H98" s="471"/>
      <c r="I98" s="471"/>
      <c r="J98" s="498"/>
      <c r="K98" s="471"/>
      <c r="L98" s="471"/>
      <c r="M98" s="471"/>
      <c r="N98" s="471"/>
      <c r="O98" s="1091"/>
      <c r="P98" s="1092"/>
      <c r="Q98" s="107"/>
      <c r="R98" s="1093">
        <f>_xlfn.CEILING.MATH(R9/$C$97/$C$98,1)</f>
        <v>1</v>
      </c>
      <c r="S98" s="1093">
        <f t="shared" ref="S98:AW101" si="358">_xlfn.CEILING.MATH(S9/$C$97/$C$98,1)</f>
        <v>1</v>
      </c>
      <c r="T98" s="1093">
        <f t="shared" si="358"/>
        <v>1</v>
      </c>
      <c r="U98" s="1093">
        <f t="shared" si="358"/>
        <v>1</v>
      </c>
      <c r="V98" s="1093">
        <f t="shared" si="358"/>
        <v>1</v>
      </c>
      <c r="W98" s="1093">
        <f t="shared" si="358"/>
        <v>1</v>
      </c>
      <c r="X98" s="1093">
        <f t="shared" si="358"/>
        <v>2</v>
      </c>
      <c r="Y98" s="1093">
        <f t="shared" si="358"/>
        <v>2</v>
      </c>
      <c r="Z98" s="1093">
        <f t="shared" si="358"/>
        <v>2</v>
      </c>
      <c r="AA98" s="1093">
        <f t="shared" si="358"/>
        <v>2</v>
      </c>
      <c r="AB98" s="1142">
        <f t="shared" si="358"/>
        <v>2</v>
      </c>
      <c r="AC98" s="1093">
        <f t="shared" si="358"/>
        <v>3</v>
      </c>
      <c r="AD98" s="1093">
        <f t="shared" si="358"/>
        <v>3</v>
      </c>
      <c r="AE98" s="1093">
        <f t="shared" si="358"/>
        <v>3</v>
      </c>
      <c r="AF98" s="1093">
        <f t="shared" si="358"/>
        <v>4</v>
      </c>
      <c r="AG98" s="1093">
        <f t="shared" si="358"/>
        <v>4</v>
      </c>
      <c r="AH98" s="1093">
        <f t="shared" si="358"/>
        <v>5</v>
      </c>
      <c r="AI98" s="1093">
        <f t="shared" si="358"/>
        <v>5</v>
      </c>
      <c r="AJ98" s="1093">
        <f t="shared" si="358"/>
        <v>6</v>
      </c>
      <c r="AK98" s="1093">
        <f t="shared" si="358"/>
        <v>6</v>
      </c>
      <c r="AL98" s="1093">
        <f t="shared" si="358"/>
        <v>5</v>
      </c>
      <c r="AM98" s="1093">
        <f t="shared" si="358"/>
        <v>2</v>
      </c>
      <c r="AN98" s="1142">
        <f t="shared" si="358"/>
        <v>0</v>
      </c>
      <c r="AO98" s="1093">
        <f t="shared" si="358"/>
        <v>0</v>
      </c>
      <c r="AP98" s="1093">
        <f t="shared" si="358"/>
        <v>0</v>
      </c>
      <c r="AQ98" s="1093">
        <f t="shared" si="358"/>
        <v>0</v>
      </c>
      <c r="AR98" s="1093">
        <f t="shared" si="358"/>
        <v>0</v>
      </c>
      <c r="AS98" s="1093">
        <f t="shared" si="358"/>
        <v>0</v>
      </c>
      <c r="AT98" s="1093">
        <f t="shared" si="358"/>
        <v>0</v>
      </c>
      <c r="AU98" s="1093">
        <f t="shared" si="358"/>
        <v>0</v>
      </c>
      <c r="AV98" s="1093">
        <f t="shared" si="358"/>
        <v>0</v>
      </c>
      <c r="AW98" s="1093">
        <f t="shared" si="358"/>
        <v>0</v>
      </c>
      <c r="AX98" s="107"/>
      <c r="AY98" s="107"/>
      <c r="AZ98" s="739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739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739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739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739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739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739"/>
    </row>
    <row r="99" spans="2:124" ht="15" customHeight="1" x14ac:dyDescent="0.25">
      <c r="B99" s="754" t="s">
        <v>382</v>
      </c>
      <c r="C99" s="1066"/>
      <c r="D99" s="1066"/>
      <c r="E99" s="538"/>
      <c r="F99" s="538"/>
      <c r="G99" s="538"/>
      <c r="H99" s="538"/>
      <c r="I99" s="538"/>
      <c r="J99" s="538"/>
      <c r="K99" s="404"/>
      <c r="L99" s="404"/>
      <c r="M99" s="404"/>
      <c r="N99" s="404"/>
      <c r="O99" s="404"/>
      <c r="P99" s="497"/>
      <c r="Q99" s="107"/>
      <c r="R99" s="107"/>
      <c r="S99" s="107"/>
      <c r="T99" s="107"/>
      <c r="U99" s="1093">
        <f t="shared" si="358"/>
        <v>1</v>
      </c>
      <c r="V99" s="1093">
        <f t="shared" si="358"/>
        <v>1</v>
      </c>
      <c r="W99" s="1093">
        <f t="shared" si="358"/>
        <v>1</v>
      </c>
      <c r="X99" s="1093">
        <f t="shared" si="358"/>
        <v>1</v>
      </c>
      <c r="Y99" s="1093">
        <f t="shared" si="358"/>
        <v>1</v>
      </c>
      <c r="Z99" s="1093">
        <f t="shared" si="358"/>
        <v>1</v>
      </c>
      <c r="AA99" s="1093">
        <f t="shared" si="358"/>
        <v>2</v>
      </c>
      <c r="AB99" s="1142">
        <f t="shared" si="358"/>
        <v>2</v>
      </c>
      <c r="AC99" s="1093">
        <f t="shared" si="358"/>
        <v>2</v>
      </c>
      <c r="AD99" s="1093">
        <f t="shared" si="358"/>
        <v>2</v>
      </c>
      <c r="AE99" s="1093">
        <f t="shared" si="358"/>
        <v>3</v>
      </c>
      <c r="AF99" s="1093">
        <f t="shared" si="358"/>
        <v>3</v>
      </c>
      <c r="AG99" s="1093">
        <f t="shared" si="358"/>
        <v>3</v>
      </c>
      <c r="AH99" s="1093">
        <f t="shared" si="358"/>
        <v>3</v>
      </c>
      <c r="AI99" s="1093">
        <f t="shared" si="358"/>
        <v>4</v>
      </c>
      <c r="AJ99" s="1093">
        <f t="shared" si="358"/>
        <v>4</v>
      </c>
      <c r="AK99" s="1093">
        <f t="shared" si="358"/>
        <v>5</v>
      </c>
      <c r="AL99" s="1093">
        <f t="shared" si="358"/>
        <v>5</v>
      </c>
      <c r="AM99" s="1093">
        <f t="shared" si="358"/>
        <v>6</v>
      </c>
      <c r="AN99" s="1142">
        <f t="shared" si="358"/>
        <v>6</v>
      </c>
      <c r="AO99" s="1093">
        <f t="shared" si="358"/>
        <v>5</v>
      </c>
      <c r="AP99" s="1093">
        <f t="shared" si="358"/>
        <v>3</v>
      </c>
      <c r="AQ99" s="1093">
        <f t="shared" si="358"/>
        <v>0</v>
      </c>
      <c r="AR99" s="107"/>
      <c r="AS99" s="107"/>
      <c r="AT99" s="107"/>
      <c r="AU99" s="107"/>
      <c r="AV99" s="107"/>
      <c r="AW99" s="107"/>
      <c r="AX99" s="107"/>
      <c r="AY99" s="107"/>
      <c r="AZ99" s="739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739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739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739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739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739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739"/>
    </row>
    <row r="100" spans="2:124" ht="15" customHeight="1" x14ac:dyDescent="0.25">
      <c r="B100" s="754" t="s">
        <v>383</v>
      </c>
      <c r="C100" s="1066"/>
      <c r="D100" s="1066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99"/>
      <c r="Q100" s="107"/>
      <c r="R100" s="107"/>
      <c r="S100" s="107"/>
      <c r="T100" s="107"/>
      <c r="U100" s="107"/>
      <c r="V100" s="107"/>
      <c r="W100" s="107"/>
      <c r="X100" s="1093">
        <f t="shared" si="358"/>
        <v>1</v>
      </c>
      <c r="Y100" s="1093">
        <f t="shared" si="358"/>
        <v>1</v>
      </c>
      <c r="Z100" s="1093">
        <f t="shared" si="358"/>
        <v>1</v>
      </c>
      <c r="AA100" s="1093">
        <f t="shared" si="358"/>
        <v>1</v>
      </c>
      <c r="AB100" s="1142">
        <f t="shared" si="358"/>
        <v>1</v>
      </c>
      <c r="AC100" s="1093">
        <f t="shared" si="358"/>
        <v>1</v>
      </c>
      <c r="AD100" s="1093">
        <f t="shared" si="358"/>
        <v>2</v>
      </c>
      <c r="AE100" s="1093">
        <f t="shared" si="358"/>
        <v>2</v>
      </c>
      <c r="AF100" s="1093">
        <f t="shared" si="358"/>
        <v>2</v>
      </c>
      <c r="AG100" s="1093">
        <f t="shared" si="358"/>
        <v>2</v>
      </c>
      <c r="AH100" s="1093">
        <f t="shared" si="358"/>
        <v>3</v>
      </c>
      <c r="AI100" s="1093">
        <f t="shared" si="358"/>
        <v>3</v>
      </c>
      <c r="AJ100" s="1093">
        <f t="shared" si="358"/>
        <v>3</v>
      </c>
      <c r="AK100" s="1093">
        <f t="shared" si="358"/>
        <v>3</v>
      </c>
      <c r="AL100" s="1093">
        <f t="shared" si="358"/>
        <v>4</v>
      </c>
      <c r="AM100" s="1093">
        <f t="shared" si="358"/>
        <v>4</v>
      </c>
      <c r="AN100" s="1142">
        <f t="shared" si="358"/>
        <v>5</v>
      </c>
      <c r="AO100" s="1093">
        <f t="shared" si="358"/>
        <v>5</v>
      </c>
      <c r="AP100" s="1093">
        <f t="shared" si="358"/>
        <v>6</v>
      </c>
      <c r="AQ100" s="1093">
        <f t="shared" si="358"/>
        <v>6</v>
      </c>
      <c r="AR100" s="1093">
        <f t="shared" si="358"/>
        <v>5</v>
      </c>
      <c r="AS100" s="1093">
        <f t="shared" si="358"/>
        <v>3</v>
      </c>
      <c r="AT100" s="1093">
        <f t="shared" si="358"/>
        <v>0</v>
      </c>
      <c r="AU100" s="1093">
        <f t="shared" si="358"/>
        <v>0</v>
      </c>
      <c r="AV100" s="107"/>
      <c r="AW100" s="107"/>
      <c r="AX100" s="107"/>
      <c r="AY100" s="107"/>
      <c r="AZ100" s="739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739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739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739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739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739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739"/>
    </row>
    <row r="101" spans="2:124" ht="15" customHeight="1" x14ac:dyDescent="0.25">
      <c r="B101" s="754" t="s">
        <v>492</v>
      </c>
      <c r="C101" s="1066"/>
      <c r="D101" s="1066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99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93">
        <f t="shared" si="358"/>
        <v>1</v>
      </c>
      <c r="AB101" s="1142">
        <f t="shared" si="358"/>
        <v>1</v>
      </c>
      <c r="AC101" s="1093">
        <f t="shared" si="358"/>
        <v>1</v>
      </c>
      <c r="AD101" s="1093">
        <f t="shared" si="358"/>
        <v>1</v>
      </c>
      <c r="AE101" s="1093">
        <f t="shared" si="358"/>
        <v>1</v>
      </c>
      <c r="AF101" s="1093">
        <f t="shared" si="358"/>
        <v>1</v>
      </c>
      <c r="AG101" s="1093">
        <f t="shared" si="358"/>
        <v>2</v>
      </c>
      <c r="AH101" s="1093">
        <f t="shared" si="358"/>
        <v>2</v>
      </c>
      <c r="AI101" s="1093">
        <f t="shared" si="358"/>
        <v>2</v>
      </c>
      <c r="AJ101" s="1093">
        <f t="shared" si="358"/>
        <v>2</v>
      </c>
      <c r="AK101" s="1093">
        <f t="shared" si="358"/>
        <v>3</v>
      </c>
      <c r="AL101" s="1093">
        <f t="shared" si="358"/>
        <v>3</v>
      </c>
      <c r="AM101" s="1093">
        <f t="shared" si="358"/>
        <v>3</v>
      </c>
      <c r="AN101" s="1142">
        <f t="shared" si="358"/>
        <v>3</v>
      </c>
      <c r="AO101" s="1093">
        <f t="shared" si="358"/>
        <v>4</v>
      </c>
      <c r="AP101" s="1093">
        <f t="shared" si="358"/>
        <v>4</v>
      </c>
      <c r="AQ101" s="1093">
        <f t="shared" si="358"/>
        <v>5</v>
      </c>
      <c r="AR101" s="1093">
        <f t="shared" si="358"/>
        <v>5</v>
      </c>
      <c r="AS101" s="1093">
        <f t="shared" si="358"/>
        <v>6</v>
      </c>
      <c r="AT101" s="1093">
        <f t="shared" si="358"/>
        <v>6</v>
      </c>
      <c r="AU101" s="1093">
        <f t="shared" si="358"/>
        <v>5</v>
      </c>
      <c r="AV101" s="1093">
        <f t="shared" si="358"/>
        <v>3</v>
      </c>
      <c r="AW101" s="1093">
        <f t="shared" si="358"/>
        <v>0</v>
      </c>
      <c r="AX101" s="1093">
        <f t="shared" ref="AX101:BC101" si="359">_xlfn.CEILING.MATH(AX12/$C$97/$C$98,1)</f>
        <v>0</v>
      </c>
      <c r="AY101" s="1093">
        <f t="shared" si="359"/>
        <v>0</v>
      </c>
      <c r="AZ101" s="1142">
        <f t="shared" si="359"/>
        <v>0</v>
      </c>
      <c r="BA101" s="1093">
        <f t="shared" si="359"/>
        <v>0</v>
      </c>
      <c r="BB101" s="1093">
        <f t="shared" si="359"/>
        <v>0</v>
      </c>
      <c r="BC101" s="1093">
        <f t="shared" si="359"/>
        <v>0</v>
      </c>
      <c r="BD101" s="107"/>
      <c r="BE101" s="107"/>
      <c r="BF101" s="107"/>
      <c r="BG101" s="107"/>
      <c r="BH101" s="107"/>
      <c r="BI101" s="107"/>
      <c r="BJ101" s="107"/>
      <c r="BK101" s="107"/>
      <c r="BL101" s="739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739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739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739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739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739"/>
    </row>
    <row r="102" spans="2:124" ht="15" customHeight="1" x14ac:dyDescent="0.25">
      <c r="B102" s="405" t="s">
        <v>370</v>
      </c>
      <c r="C102" s="887"/>
      <c r="D102" s="887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97"/>
      <c r="Q102" s="107"/>
      <c r="R102" s="107">
        <f t="shared" ref="R102:BA102" si="360">SUM(R98:R101)</f>
        <v>1</v>
      </c>
      <c r="S102" s="107">
        <f t="shared" si="360"/>
        <v>1</v>
      </c>
      <c r="T102" s="107">
        <f t="shared" si="360"/>
        <v>1</v>
      </c>
      <c r="U102" s="107">
        <f t="shared" si="360"/>
        <v>2</v>
      </c>
      <c r="V102" s="107">
        <f t="shared" si="360"/>
        <v>2</v>
      </c>
      <c r="W102" s="107">
        <f t="shared" si="360"/>
        <v>2</v>
      </c>
      <c r="X102" s="107">
        <f t="shared" si="360"/>
        <v>4</v>
      </c>
      <c r="Y102" s="107">
        <f t="shared" si="360"/>
        <v>4</v>
      </c>
      <c r="Z102" s="107">
        <f t="shared" si="360"/>
        <v>4</v>
      </c>
      <c r="AA102" s="107">
        <f t="shared" si="360"/>
        <v>6</v>
      </c>
      <c r="AB102" s="739">
        <f t="shared" si="360"/>
        <v>6</v>
      </c>
      <c r="AC102" s="107">
        <f t="shared" si="360"/>
        <v>7</v>
      </c>
      <c r="AD102" s="107">
        <f t="shared" si="360"/>
        <v>8</v>
      </c>
      <c r="AE102" s="107">
        <f t="shared" si="360"/>
        <v>9</v>
      </c>
      <c r="AF102" s="107">
        <f t="shared" si="360"/>
        <v>10</v>
      </c>
      <c r="AG102" s="107">
        <f t="shared" si="360"/>
        <v>11</v>
      </c>
      <c r="AH102" s="107">
        <f t="shared" si="360"/>
        <v>13</v>
      </c>
      <c r="AI102" s="107">
        <f t="shared" si="360"/>
        <v>14</v>
      </c>
      <c r="AJ102" s="107">
        <f t="shared" si="360"/>
        <v>15</v>
      </c>
      <c r="AK102" s="107">
        <f t="shared" si="360"/>
        <v>17</v>
      </c>
      <c r="AL102" s="107">
        <f t="shared" si="360"/>
        <v>17</v>
      </c>
      <c r="AM102" s="107">
        <f t="shared" si="360"/>
        <v>15</v>
      </c>
      <c r="AN102" s="739">
        <f t="shared" si="360"/>
        <v>14</v>
      </c>
      <c r="AO102" s="107">
        <f t="shared" si="360"/>
        <v>14</v>
      </c>
      <c r="AP102" s="107">
        <f t="shared" si="360"/>
        <v>13</v>
      </c>
      <c r="AQ102" s="107">
        <f t="shared" si="360"/>
        <v>11</v>
      </c>
      <c r="AR102" s="107">
        <f t="shared" si="360"/>
        <v>10</v>
      </c>
      <c r="AS102" s="107">
        <f t="shared" si="360"/>
        <v>9</v>
      </c>
      <c r="AT102" s="107">
        <f t="shared" si="360"/>
        <v>6</v>
      </c>
      <c r="AU102" s="107">
        <f t="shared" si="360"/>
        <v>5</v>
      </c>
      <c r="AV102" s="107">
        <f t="shared" si="360"/>
        <v>3</v>
      </c>
      <c r="AW102" s="107">
        <f t="shared" si="360"/>
        <v>0</v>
      </c>
      <c r="AX102" s="107">
        <f t="shared" si="360"/>
        <v>0</v>
      </c>
      <c r="AY102" s="107">
        <f t="shared" si="360"/>
        <v>0</v>
      </c>
      <c r="AZ102" s="739">
        <f t="shared" si="360"/>
        <v>0</v>
      </c>
      <c r="BA102" s="107">
        <f t="shared" si="360"/>
        <v>0</v>
      </c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739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739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739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739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739"/>
      <c r="DI102" s="107"/>
      <c r="DJ102" s="107"/>
      <c r="DK102" s="107"/>
      <c r="DL102" s="107"/>
      <c r="DM102" s="107"/>
      <c r="DN102" s="107"/>
      <c r="DO102" s="107"/>
      <c r="DP102" s="107"/>
      <c r="DQ102" s="387"/>
      <c r="DR102" s="387"/>
      <c r="DS102" s="387"/>
      <c r="DT102" s="764"/>
    </row>
    <row r="103" spans="2:124" ht="15" customHeight="1" x14ac:dyDescent="0.25">
      <c r="B103" s="405" t="s">
        <v>384</v>
      </c>
      <c r="C103" s="887">
        <v>1</v>
      </c>
      <c r="D103" s="887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97"/>
      <c r="Q103" s="107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>
        <f>O102</f>
        <v>0</v>
      </c>
      <c r="AB103" s="108">
        <f t="shared" ref="AB103:AQ104" si="361">P102</f>
        <v>0</v>
      </c>
      <c r="AC103" s="107">
        <f t="shared" si="361"/>
        <v>0</v>
      </c>
      <c r="AD103" s="106">
        <f t="shared" si="361"/>
        <v>1</v>
      </c>
      <c r="AE103" s="106">
        <f t="shared" si="361"/>
        <v>1</v>
      </c>
      <c r="AF103" s="106">
        <f t="shared" si="361"/>
        <v>1</v>
      </c>
      <c r="AG103" s="106">
        <f t="shared" si="361"/>
        <v>2</v>
      </c>
      <c r="AH103" s="106">
        <f t="shared" si="361"/>
        <v>2</v>
      </c>
      <c r="AI103" s="106">
        <f t="shared" si="361"/>
        <v>2</v>
      </c>
      <c r="AJ103" s="106">
        <f t="shared" si="361"/>
        <v>4</v>
      </c>
      <c r="AK103" s="106">
        <f t="shared" si="361"/>
        <v>4</v>
      </c>
      <c r="AL103" s="106">
        <f t="shared" si="361"/>
        <v>4</v>
      </c>
      <c r="AM103" s="106">
        <f t="shared" si="361"/>
        <v>6</v>
      </c>
      <c r="AN103" s="108">
        <f t="shared" si="361"/>
        <v>6</v>
      </c>
      <c r="AO103" s="107">
        <f t="shared" si="361"/>
        <v>7</v>
      </c>
      <c r="AP103" s="106">
        <f t="shared" si="361"/>
        <v>8</v>
      </c>
      <c r="AQ103" s="106">
        <f t="shared" si="361"/>
        <v>9</v>
      </c>
      <c r="AR103" s="106">
        <f t="shared" ref="AR103:BG105" si="362">AF102</f>
        <v>10</v>
      </c>
      <c r="AS103" s="106">
        <f t="shared" si="362"/>
        <v>11</v>
      </c>
      <c r="AT103" s="106">
        <f t="shared" si="362"/>
        <v>13</v>
      </c>
      <c r="AU103" s="106">
        <f t="shared" si="362"/>
        <v>14</v>
      </c>
      <c r="AV103" s="106">
        <f t="shared" si="362"/>
        <v>15</v>
      </c>
      <c r="AW103" s="106">
        <f t="shared" si="362"/>
        <v>17</v>
      </c>
      <c r="AX103" s="106">
        <f t="shared" si="362"/>
        <v>17</v>
      </c>
      <c r="AY103" s="106">
        <f t="shared" si="362"/>
        <v>15</v>
      </c>
      <c r="AZ103" s="108">
        <f t="shared" si="362"/>
        <v>14</v>
      </c>
      <c r="BA103" s="107">
        <f t="shared" si="362"/>
        <v>14</v>
      </c>
      <c r="BB103" s="106">
        <f t="shared" si="362"/>
        <v>13</v>
      </c>
      <c r="BC103" s="106">
        <f t="shared" si="362"/>
        <v>11</v>
      </c>
      <c r="BD103" s="106">
        <f t="shared" si="362"/>
        <v>10</v>
      </c>
      <c r="BE103" s="106">
        <f t="shared" si="362"/>
        <v>9</v>
      </c>
      <c r="BF103" s="106">
        <f t="shared" si="362"/>
        <v>6</v>
      </c>
      <c r="BG103" s="106">
        <f t="shared" si="362"/>
        <v>5</v>
      </c>
      <c r="BH103" s="106">
        <f t="shared" ref="BH103:BJ105" si="363">AV102</f>
        <v>3</v>
      </c>
      <c r="BI103" s="106">
        <f t="shared" si="363"/>
        <v>0</v>
      </c>
      <c r="BJ103" s="106">
        <f>AX102</f>
        <v>0</v>
      </c>
      <c r="BK103" s="106">
        <f t="shared" ref="BK103:BT106" si="364">AY102</f>
        <v>0</v>
      </c>
      <c r="BL103" s="108">
        <f t="shared" si="364"/>
        <v>0</v>
      </c>
      <c r="BM103" s="107">
        <f t="shared" si="364"/>
        <v>0</v>
      </c>
      <c r="BN103" s="106">
        <f t="shared" si="364"/>
        <v>0</v>
      </c>
      <c r="BO103" s="106">
        <f t="shared" si="364"/>
        <v>0</v>
      </c>
      <c r="BP103" s="106"/>
      <c r="BQ103" s="106"/>
      <c r="BR103" s="106"/>
      <c r="BS103" s="106"/>
      <c r="BT103" s="106"/>
      <c r="BU103" s="106"/>
      <c r="BV103" s="106"/>
      <c r="BW103" s="106"/>
      <c r="BX103" s="108"/>
      <c r="BY103" s="107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8"/>
      <c r="CK103" s="107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8"/>
      <c r="CW103" s="107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8"/>
      <c r="DI103" s="107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8"/>
    </row>
    <row r="104" spans="2:124" ht="15" customHeight="1" x14ac:dyDescent="0.25">
      <c r="B104" s="405" t="s">
        <v>385</v>
      </c>
      <c r="C104" s="886"/>
      <c r="D104" s="886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97"/>
      <c r="Q104" s="107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8"/>
      <c r="AC104" s="107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>
        <f>AA103</f>
        <v>0</v>
      </c>
      <c r="AN104" s="108">
        <f t="shared" si="361"/>
        <v>0</v>
      </c>
      <c r="AO104" s="107">
        <f t="shared" si="361"/>
        <v>0</v>
      </c>
      <c r="AP104" s="106">
        <f t="shared" si="361"/>
        <v>1</v>
      </c>
      <c r="AQ104" s="106">
        <f t="shared" si="361"/>
        <v>1</v>
      </c>
      <c r="AR104" s="106">
        <f t="shared" si="362"/>
        <v>1</v>
      </c>
      <c r="AS104" s="106">
        <f t="shared" si="362"/>
        <v>2</v>
      </c>
      <c r="AT104" s="106">
        <f t="shared" si="362"/>
        <v>2</v>
      </c>
      <c r="AU104" s="106">
        <f t="shared" si="362"/>
        <v>2</v>
      </c>
      <c r="AV104" s="106">
        <f t="shared" si="362"/>
        <v>4</v>
      </c>
      <c r="AW104" s="106">
        <f t="shared" si="362"/>
        <v>4</v>
      </c>
      <c r="AX104" s="106">
        <f t="shared" si="362"/>
        <v>4</v>
      </c>
      <c r="AY104" s="106">
        <f t="shared" si="362"/>
        <v>6</v>
      </c>
      <c r="AZ104" s="108">
        <f t="shared" si="362"/>
        <v>6</v>
      </c>
      <c r="BA104" s="107">
        <f t="shared" si="362"/>
        <v>7</v>
      </c>
      <c r="BB104" s="106">
        <f t="shared" si="362"/>
        <v>8</v>
      </c>
      <c r="BC104" s="106">
        <f t="shared" si="362"/>
        <v>9</v>
      </c>
      <c r="BD104" s="106">
        <f t="shared" si="362"/>
        <v>10</v>
      </c>
      <c r="BE104" s="106">
        <f t="shared" si="362"/>
        <v>11</v>
      </c>
      <c r="BF104" s="106">
        <f t="shared" si="362"/>
        <v>13</v>
      </c>
      <c r="BG104" s="106">
        <f t="shared" si="362"/>
        <v>14</v>
      </c>
      <c r="BH104" s="106">
        <f t="shared" si="363"/>
        <v>15</v>
      </c>
      <c r="BI104" s="106">
        <f t="shared" si="363"/>
        <v>17</v>
      </c>
      <c r="BJ104" s="106">
        <f t="shared" si="363"/>
        <v>17</v>
      </c>
      <c r="BK104" s="106">
        <f t="shared" si="364"/>
        <v>15</v>
      </c>
      <c r="BL104" s="108">
        <f t="shared" si="364"/>
        <v>14</v>
      </c>
      <c r="BM104" s="107">
        <f t="shared" si="364"/>
        <v>14</v>
      </c>
      <c r="BN104" s="106">
        <f t="shared" si="364"/>
        <v>13</v>
      </c>
      <c r="BO104" s="106">
        <f t="shared" si="364"/>
        <v>11</v>
      </c>
      <c r="BP104" s="106">
        <f t="shared" si="364"/>
        <v>10</v>
      </c>
      <c r="BQ104" s="106">
        <f t="shared" si="364"/>
        <v>9</v>
      </c>
      <c r="BR104" s="106">
        <f t="shared" si="364"/>
        <v>6</v>
      </c>
      <c r="BS104" s="106">
        <f t="shared" si="364"/>
        <v>5</v>
      </c>
      <c r="BT104" s="106">
        <f>BH103</f>
        <v>3</v>
      </c>
      <c r="BU104" s="106">
        <f t="shared" ref="BU104:CJ108" si="365">BI103</f>
        <v>0</v>
      </c>
      <c r="BV104" s="106">
        <f t="shared" si="365"/>
        <v>0</v>
      </c>
      <c r="BW104" s="106">
        <f t="shared" si="365"/>
        <v>0</v>
      </c>
      <c r="BX104" s="108">
        <f t="shared" si="365"/>
        <v>0</v>
      </c>
      <c r="BY104" s="107">
        <f t="shared" si="365"/>
        <v>0</v>
      </c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8"/>
      <c r="CK104" s="107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8"/>
      <c r="CW104" s="107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8"/>
      <c r="DI104" s="107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8"/>
    </row>
    <row r="105" spans="2:124" ht="15" customHeight="1" x14ac:dyDescent="0.25">
      <c r="B105" s="405" t="s">
        <v>386</v>
      </c>
      <c r="C105" s="886"/>
      <c r="D105" s="886"/>
      <c r="E105" s="538"/>
      <c r="F105" s="538"/>
      <c r="G105" s="538"/>
      <c r="H105" s="538"/>
      <c r="I105" s="538"/>
      <c r="J105" s="538"/>
      <c r="K105" s="471"/>
      <c r="L105" s="471"/>
      <c r="M105" s="471"/>
      <c r="N105" s="471"/>
      <c r="O105" s="471"/>
      <c r="P105" s="498"/>
      <c r="Q105" s="28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3"/>
      <c r="AC105" s="28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3"/>
      <c r="AO105" s="28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>
        <f>AM104</f>
        <v>0</v>
      </c>
      <c r="AZ105" s="313">
        <f t="shared" si="362"/>
        <v>0</v>
      </c>
      <c r="BA105" s="282">
        <f t="shared" si="362"/>
        <v>0</v>
      </c>
      <c r="BB105" s="312">
        <f t="shared" si="362"/>
        <v>1</v>
      </c>
      <c r="BC105" s="312">
        <f t="shared" si="362"/>
        <v>1</v>
      </c>
      <c r="BD105" s="312">
        <f t="shared" si="362"/>
        <v>1</v>
      </c>
      <c r="BE105" s="312">
        <f t="shared" si="362"/>
        <v>2</v>
      </c>
      <c r="BF105" s="312">
        <f t="shared" si="362"/>
        <v>2</v>
      </c>
      <c r="BG105" s="312">
        <f t="shared" si="362"/>
        <v>2</v>
      </c>
      <c r="BH105" s="312">
        <f t="shared" si="363"/>
        <v>4</v>
      </c>
      <c r="BI105" s="312">
        <f t="shared" si="363"/>
        <v>4</v>
      </c>
      <c r="BJ105" s="312">
        <f t="shared" si="363"/>
        <v>4</v>
      </c>
      <c r="BK105" s="312">
        <f t="shared" si="364"/>
        <v>6</v>
      </c>
      <c r="BL105" s="313">
        <f t="shared" si="364"/>
        <v>6</v>
      </c>
      <c r="BM105" s="282">
        <f t="shared" si="364"/>
        <v>7</v>
      </c>
      <c r="BN105" s="312">
        <f t="shared" si="364"/>
        <v>8</v>
      </c>
      <c r="BO105" s="312">
        <f t="shared" si="364"/>
        <v>9</v>
      </c>
      <c r="BP105" s="312">
        <f t="shared" si="364"/>
        <v>10</v>
      </c>
      <c r="BQ105" s="312">
        <f t="shared" si="364"/>
        <v>11</v>
      </c>
      <c r="BR105" s="312">
        <f t="shared" si="364"/>
        <v>13</v>
      </c>
      <c r="BS105" s="312">
        <f t="shared" si="364"/>
        <v>14</v>
      </c>
      <c r="BT105" s="312">
        <f t="shared" si="364"/>
        <v>15</v>
      </c>
      <c r="BU105" s="312">
        <f t="shared" si="365"/>
        <v>17</v>
      </c>
      <c r="BV105" s="312">
        <f t="shared" si="365"/>
        <v>17</v>
      </c>
      <c r="BW105" s="312">
        <f t="shared" si="365"/>
        <v>15</v>
      </c>
      <c r="BX105" s="313">
        <f t="shared" si="365"/>
        <v>14</v>
      </c>
      <c r="BY105" s="282">
        <f t="shared" si="365"/>
        <v>14</v>
      </c>
      <c r="BZ105" s="312">
        <f t="shared" si="365"/>
        <v>13</v>
      </c>
      <c r="CA105" s="312">
        <f t="shared" si="365"/>
        <v>11</v>
      </c>
      <c r="CB105" s="312">
        <f t="shared" si="365"/>
        <v>10</v>
      </c>
      <c r="CC105" s="312">
        <f t="shared" si="365"/>
        <v>9</v>
      </c>
      <c r="CD105" s="312">
        <f t="shared" si="365"/>
        <v>6</v>
      </c>
      <c r="CE105" s="312">
        <f t="shared" si="365"/>
        <v>5</v>
      </c>
      <c r="CF105" s="312">
        <f t="shared" si="365"/>
        <v>3</v>
      </c>
      <c r="CG105" s="312">
        <f t="shared" si="365"/>
        <v>0</v>
      </c>
      <c r="CH105" s="312">
        <f t="shared" si="365"/>
        <v>0</v>
      </c>
      <c r="CI105" s="312">
        <f t="shared" si="365"/>
        <v>0</v>
      </c>
      <c r="CJ105" s="313">
        <f t="shared" si="365"/>
        <v>0</v>
      </c>
      <c r="CK105" s="282">
        <f t="shared" ref="CK105:CZ109" si="366">BY104</f>
        <v>0</v>
      </c>
      <c r="CL105" s="312">
        <f t="shared" si="366"/>
        <v>0</v>
      </c>
      <c r="CM105" s="312">
        <f t="shared" si="366"/>
        <v>0</v>
      </c>
      <c r="CN105" s="312">
        <f t="shared" si="366"/>
        <v>0</v>
      </c>
      <c r="CO105" s="312">
        <f t="shared" si="366"/>
        <v>0</v>
      </c>
      <c r="CP105" s="312">
        <f t="shared" si="366"/>
        <v>0</v>
      </c>
      <c r="CQ105" s="312">
        <f t="shared" si="366"/>
        <v>0</v>
      </c>
      <c r="CR105" s="312">
        <f t="shared" si="366"/>
        <v>0</v>
      </c>
      <c r="CS105" s="312">
        <f t="shared" si="366"/>
        <v>0</v>
      </c>
      <c r="CT105" s="312">
        <f t="shared" si="366"/>
        <v>0</v>
      </c>
      <c r="CU105" s="312">
        <f t="shared" si="366"/>
        <v>0</v>
      </c>
      <c r="CV105" s="313">
        <f t="shared" si="366"/>
        <v>0</v>
      </c>
      <c r="CW105" s="282">
        <f t="shared" si="366"/>
        <v>0</v>
      </c>
      <c r="CX105" s="312">
        <f t="shared" si="366"/>
        <v>0</v>
      </c>
      <c r="CY105" s="312">
        <f t="shared" si="366"/>
        <v>0</v>
      </c>
      <c r="CZ105" s="312">
        <f t="shared" si="366"/>
        <v>0</v>
      </c>
      <c r="DA105" s="312">
        <f t="shared" ref="DA105:DP110" si="367">CO104</f>
        <v>0</v>
      </c>
      <c r="DB105" s="312">
        <f t="shared" si="367"/>
        <v>0</v>
      </c>
      <c r="DC105" s="312">
        <f t="shared" si="367"/>
        <v>0</v>
      </c>
      <c r="DD105" s="312">
        <f t="shared" si="367"/>
        <v>0</v>
      </c>
      <c r="DE105" s="312">
        <f t="shared" si="367"/>
        <v>0</v>
      </c>
      <c r="DF105" s="312">
        <f t="shared" si="367"/>
        <v>0</v>
      </c>
      <c r="DG105" s="312">
        <f t="shared" si="367"/>
        <v>0</v>
      </c>
      <c r="DH105" s="313">
        <f t="shared" si="367"/>
        <v>0</v>
      </c>
      <c r="DI105" s="282">
        <f t="shared" si="367"/>
        <v>0</v>
      </c>
      <c r="DJ105" s="312">
        <f t="shared" si="367"/>
        <v>0</v>
      </c>
      <c r="DK105" s="312">
        <f t="shared" si="367"/>
        <v>0</v>
      </c>
      <c r="DL105" s="312">
        <f t="shared" si="367"/>
        <v>0</v>
      </c>
      <c r="DM105" s="312"/>
      <c r="DN105" s="312"/>
      <c r="DO105" s="312"/>
      <c r="DP105" s="312"/>
      <c r="DQ105" s="312"/>
      <c r="DR105" s="312"/>
      <c r="DS105" s="312"/>
      <c r="DT105" s="313"/>
    </row>
    <row r="106" spans="2:124" ht="15" customHeight="1" x14ac:dyDescent="0.25">
      <c r="B106" s="405" t="s">
        <v>387</v>
      </c>
      <c r="C106" s="886"/>
      <c r="D106" s="886"/>
      <c r="E106" s="538"/>
      <c r="F106" s="538"/>
      <c r="G106" s="538"/>
      <c r="H106" s="538"/>
      <c r="I106" s="538"/>
      <c r="J106" s="538"/>
      <c r="K106" s="404"/>
      <c r="L106" s="404"/>
      <c r="M106" s="404"/>
      <c r="N106" s="404"/>
      <c r="O106" s="404"/>
      <c r="P106" s="497"/>
      <c r="Q106" s="107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8"/>
      <c r="AC106" s="107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8"/>
      <c r="AO106" s="107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8"/>
      <c r="BA106" s="107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>
        <f>AY105</f>
        <v>0</v>
      </c>
      <c r="BL106" s="108">
        <f t="shared" si="364"/>
        <v>0</v>
      </c>
      <c r="BM106" s="107">
        <f t="shared" si="364"/>
        <v>0</v>
      </c>
      <c r="BN106" s="106">
        <f t="shared" si="364"/>
        <v>1</v>
      </c>
      <c r="BO106" s="106">
        <f t="shared" si="364"/>
        <v>1</v>
      </c>
      <c r="BP106" s="106">
        <f t="shared" si="364"/>
        <v>1</v>
      </c>
      <c r="BQ106" s="106">
        <f t="shared" si="364"/>
        <v>2</v>
      </c>
      <c r="BR106" s="106">
        <f t="shared" si="364"/>
        <v>2</v>
      </c>
      <c r="BS106" s="106">
        <f t="shared" si="364"/>
        <v>2</v>
      </c>
      <c r="BT106" s="106">
        <f t="shared" si="364"/>
        <v>4</v>
      </c>
      <c r="BU106" s="106">
        <f t="shared" si="365"/>
        <v>4</v>
      </c>
      <c r="BV106" s="106">
        <f t="shared" si="365"/>
        <v>4</v>
      </c>
      <c r="BW106" s="106">
        <f t="shared" si="365"/>
        <v>6</v>
      </c>
      <c r="BX106" s="108">
        <f t="shared" si="365"/>
        <v>6</v>
      </c>
      <c r="BY106" s="107">
        <f t="shared" si="365"/>
        <v>7</v>
      </c>
      <c r="BZ106" s="106">
        <f t="shared" si="365"/>
        <v>8</v>
      </c>
      <c r="CA106" s="106">
        <f t="shared" si="365"/>
        <v>9</v>
      </c>
      <c r="CB106" s="106">
        <f t="shared" si="365"/>
        <v>10</v>
      </c>
      <c r="CC106" s="106">
        <f t="shared" si="365"/>
        <v>11</v>
      </c>
      <c r="CD106" s="106">
        <f t="shared" si="365"/>
        <v>13</v>
      </c>
      <c r="CE106" s="106">
        <f t="shared" si="365"/>
        <v>14</v>
      </c>
      <c r="CF106" s="106">
        <f t="shared" si="365"/>
        <v>15</v>
      </c>
      <c r="CG106" s="106">
        <f t="shared" si="365"/>
        <v>17</v>
      </c>
      <c r="CH106" s="106">
        <f t="shared" si="365"/>
        <v>17</v>
      </c>
      <c r="CI106" s="106">
        <f t="shared" si="365"/>
        <v>15</v>
      </c>
      <c r="CJ106" s="108">
        <f t="shared" si="365"/>
        <v>14</v>
      </c>
      <c r="CK106" s="107">
        <f t="shared" si="366"/>
        <v>14</v>
      </c>
      <c r="CL106" s="106">
        <f t="shared" si="366"/>
        <v>13</v>
      </c>
      <c r="CM106" s="106">
        <f t="shared" si="366"/>
        <v>11</v>
      </c>
      <c r="CN106" s="106">
        <f t="shared" si="366"/>
        <v>10</v>
      </c>
      <c r="CO106" s="106">
        <f t="shared" si="366"/>
        <v>9</v>
      </c>
      <c r="CP106" s="106">
        <f t="shared" si="366"/>
        <v>6</v>
      </c>
      <c r="CQ106" s="106">
        <f t="shared" si="366"/>
        <v>5</v>
      </c>
      <c r="CR106" s="106">
        <f t="shared" si="366"/>
        <v>3</v>
      </c>
      <c r="CS106" s="106">
        <f t="shared" si="366"/>
        <v>0</v>
      </c>
      <c r="CT106" s="106">
        <f t="shared" si="366"/>
        <v>0</v>
      </c>
      <c r="CU106" s="106">
        <f t="shared" si="366"/>
        <v>0</v>
      </c>
      <c r="CV106" s="108">
        <f t="shared" si="366"/>
        <v>0</v>
      </c>
      <c r="CW106" s="107">
        <f t="shared" si="366"/>
        <v>0</v>
      </c>
      <c r="CX106" s="106">
        <f t="shared" si="366"/>
        <v>0</v>
      </c>
      <c r="CY106" s="106">
        <f t="shared" si="366"/>
        <v>0</v>
      </c>
      <c r="CZ106" s="106">
        <f t="shared" si="366"/>
        <v>0</v>
      </c>
      <c r="DA106" s="106">
        <f t="shared" si="367"/>
        <v>0</v>
      </c>
      <c r="DB106" s="106">
        <f t="shared" si="367"/>
        <v>0</v>
      </c>
      <c r="DC106" s="106">
        <f t="shared" si="367"/>
        <v>0</v>
      </c>
      <c r="DD106" s="106">
        <f t="shared" si="367"/>
        <v>0</v>
      </c>
      <c r="DE106" s="106">
        <f t="shared" si="367"/>
        <v>0</v>
      </c>
      <c r="DF106" s="106">
        <f t="shared" si="367"/>
        <v>0</v>
      </c>
      <c r="DG106" s="106">
        <f t="shared" si="367"/>
        <v>0</v>
      </c>
      <c r="DH106" s="108">
        <f t="shared" si="367"/>
        <v>0</v>
      </c>
      <c r="DI106" s="107">
        <f t="shared" si="367"/>
        <v>0</v>
      </c>
      <c r="DJ106" s="106">
        <f t="shared" si="367"/>
        <v>0</v>
      </c>
      <c r="DK106" s="106">
        <f t="shared" si="367"/>
        <v>0</v>
      </c>
      <c r="DL106" s="106">
        <f t="shared" si="367"/>
        <v>0</v>
      </c>
      <c r="DM106" s="106">
        <f t="shared" si="367"/>
        <v>0</v>
      </c>
      <c r="DN106" s="106">
        <f t="shared" si="367"/>
        <v>0</v>
      </c>
      <c r="DO106" s="106">
        <f t="shared" si="367"/>
        <v>0</v>
      </c>
      <c r="DP106" s="106">
        <f t="shared" si="367"/>
        <v>0</v>
      </c>
      <c r="DQ106" s="106">
        <f t="shared" ref="DQ106:DT110" si="368">DE105</f>
        <v>0</v>
      </c>
      <c r="DR106" s="106">
        <f t="shared" si="368"/>
        <v>0</v>
      </c>
      <c r="DS106" s="106">
        <f t="shared" si="368"/>
        <v>0</v>
      </c>
      <c r="DT106" s="108">
        <f t="shared" si="368"/>
        <v>0</v>
      </c>
    </row>
    <row r="107" spans="2:124" ht="15" customHeight="1" x14ac:dyDescent="0.25">
      <c r="B107" s="405" t="s">
        <v>388</v>
      </c>
      <c r="C107" s="886"/>
      <c r="D107" s="886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99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5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5"/>
      <c r="AO107" s="314"/>
      <c r="AP107" s="314"/>
      <c r="AQ107" s="314"/>
      <c r="AR107" s="314"/>
      <c r="AS107" s="314"/>
      <c r="AT107" s="314"/>
      <c r="AU107" s="314"/>
      <c r="AV107" s="314"/>
      <c r="AW107" s="314"/>
      <c r="AX107" s="314"/>
      <c r="AY107" s="314"/>
      <c r="AZ107" s="315"/>
      <c r="BA107" s="314"/>
      <c r="BB107" s="314"/>
      <c r="BC107" s="314"/>
      <c r="BD107" s="314"/>
      <c r="BE107" s="314"/>
      <c r="BF107" s="314"/>
      <c r="BG107" s="314"/>
      <c r="BH107" s="314"/>
      <c r="BI107" s="314"/>
      <c r="BJ107" s="314"/>
      <c r="BK107" s="314"/>
      <c r="BL107" s="315"/>
      <c r="BM107" s="314"/>
      <c r="BN107" s="314"/>
      <c r="BO107" s="314"/>
      <c r="BP107" s="314"/>
      <c r="BQ107" s="314"/>
      <c r="BR107" s="314"/>
      <c r="BS107" s="314"/>
      <c r="BT107" s="314"/>
      <c r="BU107" s="314"/>
      <c r="BV107" s="314"/>
      <c r="BW107" s="314">
        <f>BK106</f>
        <v>0</v>
      </c>
      <c r="BX107" s="315">
        <f t="shared" si="365"/>
        <v>0</v>
      </c>
      <c r="BY107" s="314">
        <f t="shared" si="365"/>
        <v>0</v>
      </c>
      <c r="BZ107" s="314">
        <f t="shared" si="365"/>
        <v>1</v>
      </c>
      <c r="CA107" s="314">
        <f t="shared" si="365"/>
        <v>1</v>
      </c>
      <c r="CB107" s="314">
        <f t="shared" si="365"/>
        <v>1</v>
      </c>
      <c r="CC107" s="314">
        <f t="shared" si="365"/>
        <v>2</v>
      </c>
      <c r="CD107" s="314">
        <f t="shared" si="365"/>
        <v>2</v>
      </c>
      <c r="CE107" s="314">
        <f t="shared" si="365"/>
        <v>2</v>
      </c>
      <c r="CF107" s="314">
        <f t="shared" si="365"/>
        <v>4</v>
      </c>
      <c r="CG107" s="314">
        <f t="shared" si="365"/>
        <v>4</v>
      </c>
      <c r="CH107" s="314">
        <f t="shared" si="365"/>
        <v>4</v>
      </c>
      <c r="CI107" s="314">
        <f t="shared" si="365"/>
        <v>6</v>
      </c>
      <c r="CJ107" s="315">
        <f t="shared" si="365"/>
        <v>6</v>
      </c>
      <c r="CK107" s="314">
        <f t="shared" si="366"/>
        <v>7</v>
      </c>
      <c r="CL107" s="314">
        <f t="shared" si="366"/>
        <v>8</v>
      </c>
      <c r="CM107" s="314">
        <f t="shared" si="366"/>
        <v>9</v>
      </c>
      <c r="CN107" s="314">
        <f t="shared" si="366"/>
        <v>10</v>
      </c>
      <c r="CO107" s="314">
        <f t="shared" si="366"/>
        <v>11</v>
      </c>
      <c r="CP107" s="314">
        <f t="shared" si="366"/>
        <v>13</v>
      </c>
      <c r="CQ107" s="314">
        <f t="shared" si="366"/>
        <v>14</v>
      </c>
      <c r="CR107" s="314">
        <f t="shared" si="366"/>
        <v>15</v>
      </c>
      <c r="CS107" s="314">
        <f t="shared" si="366"/>
        <v>17</v>
      </c>
      <c r="CT107" s="314">
        <f t="shared" si="366"/>
        <v>17</v>
      </c>
      <c r="CU107" s="314">
        <f t="shared" si="366"/>
        <v>15</v>
      </c>
      <c r="CV107" s="315">
        <f t="shared" si="366"/>
        <v>14</v>
      </c>
      <c r="CW107" s="314">
        <f t="shared" si="366"/>
        <v>14</v>
      </c>
      <c r="CX107" s="314">
        <f t="shared" si="366"/>
        <v>13</v>
      </c>
      <c r="CY107" s="314">
        <f t="shared" si="366"/>
        <v>11</v>
      </c>
      <c r="CZ107" s="314">
        <f t="shared" si="366"/>
        <v>10</v>
      </c>
      <c r="DA107" s="314">
        <f t="shared" si="367"/>
        <v>9</v>
      </c>
      <c r="DB107" s="314">
        <f t="shared" si="367"/>
        <v>6</v>
      </c>
      <c r="DC107" s="314">
        <f t="shared" si="367"/>
        <v>5</v>
      </c>
      <c r="DD107" s="314">
        <f t="shared" si="367"/>
        <v>3</v>
      </c>
      <c r="DE107" s="314">
        <f t="shared" si="367"/>
        <v>0</v>
      </c>
      <c r="DF107" s="314">
        <f t="shared" si="367"/>
        <v>0</v>
      </c>
      <c r="DG107" s="314">
        <f t="shared" si="367"/>
        <v>0</v>
      </c>
      <c r="DH107" s="315">
        <f t="shared" si="367"/>
        <v>0</v>
      </c>
      <c r="DI107" s="314">
        <f t="shared" si="367"/>
        <v>0</v>
      </c>
      <c r="DJ107" s="314">
        <f t="shared" si="367"/>
        <v>0</v>
      </c>
      <c r="DK107" s="314">
        <f t="shared" si="367"/>
        <v>0</v>
      </c>
      <c r="DL107" s="314">
        <f t="shared" si="367"/>
        <v>0</v>
      </c>
      <c r="DM107" s="314">
        <f t="shared" si="367"/>
        <v>0</v>
      </c>
      <c r="DN107" s="314">
        <f t="shared" si="367"/>
        <v>0</v>
      </c>
      <c r="DO107" s="314">
        <f t="shared" si="367"/>
        <v>0</v>
      </c>
      <c r="DP107" s="314">
        <f t="shared" si="367"/>
        <v>0</v>
      </c>
      <c r="DQ107" s="314">
        <f t="shared" si="368"/>
        <v>0</v>
      </c>
      <c r="DR107" s="314">
        <f t="shared" si="368"/>
        <v>0</v>
      </c>
      <c r="DS107" s="314">
        <f t="shared" si="368"/>
        <v>0</v>
      </c>
      <c r="DT107" s="315">
        <f t="shared" si="368"/>
        <v>0</v>
      </c>
    </row>
    <row r="108" spans="2:124" ht="15" customHeight="1" x14ac:dyDescent="0.25">
      <c r="B108" s="405" t="s">
        <v>389</v>
      </c>
      <c r="C108" s="886"/>
      <c r="D108" s="886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99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5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5"/>
      <c r="AO108" s="314"/>
      <c r="AP108" s="314"/>
      <c r="AQ108" s="314"/>
      <c r="AR108" s="314"/>
      <c r="AS108" s="314"/>
      <c r="AT108" s="314"/>
      <c r="AU108" s="314"/>
      <c r="AV108" s="314"/>
      <c r="AW108" s="314"/>
      <c r="AX108" s="314"/>
      <c r="AY108" s="314"/>
      <c r="AZ108" s="315"/>
      <c r="BA108" s="314"/>
      <c r="BB108" s="314"/>
      <c r="BC108" s="314"/>
      <c r="BD108" s="314"/>
      <c r="BE108" s="314"/>
      <c r="BF108" s="314"/>
      <c r="BG108" s="314"/>
      <c r="BH108" s="314"/>
      <c r="BI108" s="314"/>
      <c r="BJ108" s="314"/>
      <c r="BK108" s="314"/>
      <c r="BL108" s="315"/>
      <c r="BM108" s="314"/>
      <c r="BN108" s="314"/>
      <c r="BO108" s="314"/>
      <c r="BP108" s="314"/>
      <c r="BQ108" s="314"/>
      <c r="BR108" s="314"/>
      <c r="BS108" s="314"/>
      <c r="BT108" s="314"/>
      <c r="BU108" s="314"/>
      <c r="BV108" s="314"/>
      <c r="BW108" s="314"/>
      <c r="BX108" s="315"/>
      <c r="BY108" s="314"/>
      <c r="BZ108" s="314"/>
      <c r="CA108" s="314"/>
      <c r="CB108" s="314"/>
      <c r="CC108" s="314"/>
      <c r="CD108" s="314"/>
      <c r="CE108" s="314"/>
      <c r="CF108" s="314"/>
      <c r="CG108" s="314"/>
      <c r="CH108" s="314"/>
      <c r="CI108" s="314">
        <f>BW107</f>
        <v>0</v>
      </c>
      <c r="CJ108" s="315">
        <f t="shared" si="365"/>
        <v>0</v>
      </c>
      <c r="CK108" s="314">
        <f t="shared" si="366"/>
        <v>0</v>
      </c>
      <c r="CL108" s="314">
        <f t="shared" si="366"/>
        <v>1</v>
      </c>
      <c r="CM108" s="314">
        <f t="shared" si="366"/>
        <v>1</v>
      </c>
      <c r="CN108" s="314">
        <f t="shared" si="366"/>
        <v>1</v>
      </c>
      <c r="CO108" s="314">
        <f t="shared" si="366"/>
        <v>2</v>
      </c>
      <c r="CP108" s="314">
        <f t="shared" si="366"/>
        <v>2</v>
      </c>
      <c r="CQ108" s="314">
        <f t="shared" si="366"/>
        <v>2</v>
      </c>
      <c r="CR108" s="314">
        <f t="shared" si="366"/>
        <v>4</v>
      </c>
      <c r="CS108" s="314">
        <f t="shared" si="366"/>
        <v>4</v>
      </c>
      <c r="CT108" s="314">
        <f t="shared" si="366"/>
        <v>4</v>
      </c>
      <c r="CU108" s="314">
        <f t="shared" si="366"/>
        <v>6</v>
      </c>
      <c r="CV108" s="315">
        <f t="shared" si="366"/>
        <v>6</v>
      </c>
      <c r="CW108" s="314">
        <f t="shared" si="366"/>
        <v>7</v>
      </c>
      <c r="CX108" s="314">
        <f t="shared" si="366"/>
        <v>8</v>
      </c>
      <c r="CY108" s="314">
        <f t="shared" si="366"/>
        <v>9</v>
      </c>
      <c r="CZ108" s="314">
        <f t="shared" si="366"/>
        <v>10</v>
      </c>
      <c r="DA108" s="314">
        <f t="shared" si="367"/>
        <v>11</v>
      </c>
      <c r="DB108" s="314">
        <f t="shared" si="367"/>
        <v>13</v>
      </c>
      <c r="DC108" s="314">
        <f t="shared" si="367"/>
        <v>14</v>
      </c>
      <c r="DD108" s="314">
        <f t="shared" si="367"/>
        <v>15</v>
      </c>
      <c r="DE108" s="314">
        <f t="shared" si="367"/>
        <v>17</v>
      </c>
      <c r="DF108" s="314">
        <f t="shared" si="367"/>
        <v>17</v>
      </c>
      <c r="DG108" s="314">
        <f t="shared" si="367"/>
        <v>15</v>
      </c>
      <c r="DH108" s="315">
        <f t="shared" si="367"/>
        <v>14</v>
      </c>
      <c r="DI108" s="314">
        <f t="shared" si="367"/>
        <v>14</v>
      </c>
      <c r="DJ108" s="314">
        <f t="shared" si="367"/>
        <v>13</v>
      </c>
      <c r="DK108" s="314">
        <f t="shared" si="367"/>
        <v>11</v>
      </c>
      <c r="DL108" s="314">
        <f t="shared" si="367"/>
        <v>10</v>
      </c>
      <c r="DM108" s="314">
        <f t="shared" si="367"/>
        <v>9</v>
      </c>
      <c r="DN108" s="314">
        <f t="shared" si="367"/>
        <v>6</v>
      </c>
      <c r="DO108" s="314">
        <f t="shared" si="367"/>
        <v>5</v>
      </c>
      <c r="DP108" s="314">
        <f t="shared" si="367"/>
        <v>3</v>
      </c>
      <c r="DQ108" s="314">
        <f t="shared" si="368"/>
        <v>0</v>
      </c>
      <c r="DR108" s="314">
        <f t="shared" si="368"/>
        <v>0</v>
      </c>
      <c r="DS108" s="314">
        <f t="shared" si="368"/>
        <v>0</v>
      </c>
      <c r="DT108" s="315">
        <f t="shared" si="368"/>
        <v>0</v>
      </c>
    </row>
    <row r="109" spans="2:124" ht="15" customHeight="1" x14ac:dyDescent="0.25">
      <c r="B109" s="405" t="s">
        <v>390</v>
      </c>
      <c r="C109" s="886"/>
      <c r="D109" s="886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99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5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5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315"/>
      <c r="BA109" s="314"/>
      <c r="BB109" s="314"/>
      <c r="BC109" s="314"/>
      <c r="BD109" s="314"/>
      <c r="BE109" s="314"/>
      <c r="BF109" s="314"/>
      <c r="BG109" s="314"/>
      <c r="BH109" s="314"/>
      <c r="BI109" s="314"/>
      <c r="BJ109" s="314"/>
      <c r="BK109" s="314"/>
      <c r="BL109" s="315"/>
      <c r="BM109" s="314"/>
      <c r="BN109" s="314"/>
      <c r="BO109" s="314"/>
      <c r="BP109" s="314"/>
      <c r="BQ109" s="314"/>
      <c r="BR109" s="314"/>
      <c r="BS109" s="314"/>
      <c r="BT109" s="314"/>
      <c r="BU109" s="314"/>
      <c r="BV109" s="314"/>
      <c r="BW109" s="314"/>
      <c r="BX109" s="315"/>
      <c r="BY109" s="314"/>
      <c r="BZ109" s="314"/>
      <c r="CA109" s="314"/>
      <c r="CB109" s="314"/>
      <c r="CC109" s="314"/>
      <c r="CD109" s="314"/>
      <c r="CE109" s="314"/>
      <c r="CF109" s="314"/>
      <c r="CG109" s="314"/>
      <c r="CH109" s="314"/>
      <c r="CI109" s="314"/>
      <c r="CJ109" s="315"/>
      <c r="CK109" s="314"/>
      <c r="CL109" s="314"/>
      <c r="CM109" s="314"/>
      <c r="CN109" s="314"/>
      <c r="CO109" s="314"/>
      <c r="CP109" s="314"/>
      <c r="CQ109" s="314"/>
      <c r="CR109" s="314"/>
      <c r="CS109" s="314"/>
      <c r="CT109" s="314"/>
      <c r="CU109" s="314">
        <f>CI108</f>
        <v>0</v>
      </c>
      <c r="CV109" s="315">
        <f t="shared" si="366"/>
        <v>0</v>
      </c>
      <c r="CW109" s="314">
        <f t="shared" si="366"/>
        <v>0</v>
      </c>
      <c r="CX109" s="314">
        <f t="shared" si="366"/>
        <v>1</v>
      </c>
      <c r="CY109" s="314">
        <f t="shared" si="366"/>
        <v>1</v>
      </c>
      <c r="CZ109" s="314">
        <f t="shared" si="366"/>
        <v>1</v>
      </c>
      <c r="DA109" s="314">
        <f t="shared" si="367"/>
        <v>2</v>
      </c>
      <c r="DB109" s="314">
        <f t="shared" si="367"/>
        <v>2</v>
      </c>
      <c r="DC109" s="314">
        <f t="shared" si="367"/>
        <v>2</v>
      </c>
      <c r="DD109" s="314">
        <f t="shared" si="367"/>
        <v>4</v>
      </c>
      <c r="DE109" s="314">
        <f t="shared" si="367"/>
        <v>4</v>
      </c>
      <c r="DF109" s="314">
        <f t="shared" si="367"/>
        <v>4</v>
      </c>
      <c r="DG109" s="314">
        <f t="shared" si="367"/>
        <v>6</v>
      </c>
      <c r="DH109" s="315">
        <f t="shared" si="367"/>
        <v>6</v>
      </c>
      <c r="DI109" s="314">
        <f t="shared" si="367"/>
        <v>7</v>
      </c>
      <c r="DJ109" s="314">
        <f t="shared" si="367"/>
        <v>8</v>
      </c>
      <c r="DK109" s="314">
        <f t="shared" si="367"/>
        <v>9</v>
      </c>
      <c r="DL109" s="314">
        <f t="shared" si="367"/>
        <v>10</v>
      </c>
      <c r="DM109" s="314">
        <f t="shared" si="367"/>
        <v>11</v>
      </c>
      <c r="DN109" s="314">
        <f t="shared" si="367"/>
        <v>13</v>
      </c>
      <c r="DO109" s="314">
        <f t="shared" si="367"/>
        <v>14</v>
      </c>
      <c r="DP109" s="314">
        <f t="shared" si="367"/>
        <v>15</v>
      </c>
      <c r="DQ109" s="314">
        <f t="shared" si="368"/>
        <v>17</v>
      </c>
      <c r="DR109" s="314">
        <f t="shared" si="368"/>
        <v>17</v>
      </c>
      <c r="DS109" s="314">
        <f t="shared" si="368"/>
        <v>15</v>
      </c>
      <c r="DT109" s="315">
        <f t="shared" si="368"/>
        <v>14</v>
      </c>
    </row>
    <row r="110" spans="2:124" ht="15" customHeight="1" x14ac:dyDescent="0.25">
      <c r="B110" s="405" t="s">
        <v>391</v>
      </c>
      <c r="C110" s="886"/>
      <c r="D110" s="886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99"/>
      <c r="Q110" s="107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8"/>
      <c r="AC110" s="107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8"/>
      <c r="AO110" s="107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8"/>
      <c r="BA110" s="107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8"/>
      <c r="BM110" s="107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8"/>
      <c r="BY110" s="107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8"/>
      <c r="CK110" s="107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8"/>
      <c r="CW110" s="107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>
        <f>CU109</f>
        <v>0</v>
      </c>
      <c r="DH110" s="108">
        <f t="shared" si="367"/>
        <v>0</v>
      </c>
      <c r="DI110" s="107">
        <f t="shared" si="367"/>
        <v>0</v>
      </c>
      <c r="DJ110" s="106">
        <f t="shared" si="367"/>
        <v>1</v>
      </c>
      <c r="DK110" s="106">
        <f t="shared" si="367"/>
        <v>1</v>
      </c>
      <c r="DL110" s="106">
        <f t="shared" si="367"/>
        <v>1</v>
      </c>
      <c r="DM110" s="106">
        <f t="shared" si="367"/>
        <v>2</v>
      </c>
      <c r="DN110" s="106">
        <f t="shared" si="367"/>
        <v>2</v>
      </c>
      <c r="DO110" s="106">
        <f t="shared" si="367"/>
        <v>2</v>
      </c>
      <c r="DP110" s="106">
        <f t="shared" si="367"/>
        <v>4</v>
      </c>
      <c r="DQ110" s="106">
        <f t="shared" si="368"/>
        <v>4</v>
      </c>
      <c r="DR110" s="106">
        <f t="shared" si="368"/>
        <v>4</v>
      </c>
      <c r="DS110" s="106">
        <f t="shared" si="368"/>
        <v>6</v>
      </c>
      <c r="DT110" s="108">
        <f t="shared" si="368"/>
        <v>6</v>
      </c>
    </row>
    <row r="111" spans="2:124" ht="15" customHeight="1" x14ac:dyDescent="0.25">
      <c r="B111" s="405" t="s">
        <v>392</v>
      </c>
      <c r="C111" s="886"/>
      <c r="D111" s="886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99"/>
      <c r="Q111" s="1145"/>
      <c r="R111" s="1146"/>
      <c r="S111" s="1146"/>
      <c r="T111" s="1146"/>
      <c r="U111" s="1146"/>
      <c r="V111" s="1146"/>
      <c r="W111" s="1146"/>
      <c r="X111" s="1146"/>
      <c r="Y111" s="1146"/>
      <c r="Z111" s="1146"/>
      <c r="AA111" s="1146"/>
      <c r="AB111" s="1147"/>
      <c r="AC111" s="1148"/>
      <c r="AD111" s="1146"/>
      <c r="AE111" s="1146"/>
      <c r="AF111" s="1146"/>
      <c r="AG111" s="1146"/>
      <c r="AH111" s="1146"/>
      <c r="AI111" s="1146"/>
      <c r="AJ111" s="1146"/>
      <c r="AK111" s="1146"/>
      <c r="AL111" s="1146"/>
      <c r="AM111" s="1146"/>
      <c r="AN111" s="1147"/>
      <c r="AO111" s="1148"/>
      <c r="AP111" s="1146"/>
      <c r="AQ111" s="1146"/>
      <c r="AR111" s="1146"/>
      <c r="AS111" s="1146"/>
      <c r="AT111" s="1146"/>
      <c r="AU111" s="1146"/>
      <c r="AV111" s="1146"/>
      <c r="AW111" s="1146"/>
      <c r="AX111" s="1146"/>
      <c r="AY111" s="1146"/>
      <c r="AZ111" s="1147"/>
      <c r="BA111" s="1148"/>
      <c r="BB111" s="1146"/>
      <c r="BC111" s="1146"/>
      <c r="BD111" s="1146"/>
      <c r="BE111" s="1146"/>
      <c r="BF111" s="1146"/>
      <c r="BG111" s="1146"/>
      <c r="BH111" s="1146"/>
      <c r="BI111" s="1146"/>
      <c r="BJ111" s="1146"/>
      <c r="BK111" s="1146"/>
      <c r="BL111" s="1147"/>
      <c r="BM111" s="1148"/>
      <c r="BN111" s="1146"/>
      <c r="BO111" s="1146"/>
      <c r="BP111" s="1146"/>
      <c r="BQ111" s="1146"/>
      <c r="BR111" s="1146"/>
      <c r="BS111" s="1146"/>
      <c r="BT111" s="1146"/>
      <c r="BU111" s="1146"/>
      <c r="BV111" s="1146"/>
      <c r="BW111" s="1146"/>
      <c r="BX111" s="1147"/>
      <c r="BY111" s="1148"/>
      <c r="BZ111" s="1146"/>
      <c r="CA111" s="1146"/>
      <c r="CB111" s="1146"/>
      <c r="CC111" s="1146"/>
      <c r="CD111" s="1146"/>
      <c r="CE111" s="1146"/>
      <c r="CF111" s="1146"/>
      <c r="CG111" s="1146"/>
      <c r="CH111" s="1146"/>
      <c r="CI111" s="1146"/>
      <c r="CJ111" s="1147"/>
      <c r="CK111" s="1148"/>
      <c r="CL111" s="1146"/>
      <c r="CM111" s="1146"/>
      <c r="CN111" s="1146"/>
      <c r="CO111" s="1146"/>
      <c r="CP111" s="1146"/>
      <c r="CQ111" s="1146"/>
      <c r="CR111" s="1146"/>
      <c r="CS111" s="1146"/>
      <c r="CT111" s="1146"/>
      <c r="CU111" s="1146"/>
      <c r="CV111" s="1147"/>
      <c r="CW111" s="1148"/>
      <c r="CX111" s="1146"/>
      <c r="CY111" s="1146"/>
      <c r="CZ111" s="1146"/>
      <c r="DA111" s="1146"/>
      <c r="DB111" s="1146"/>
      <c r="DC111" s="1146"/>
      <c r="DD111" s="1146"/>
      <c r="DE111" s="1146"/>
      <c r="DF111" s="1146"/>
      <c r="DG111" s="1146"/>
      <c r="DH111" s="1147"/>
      <c r="DI111" s="1148"/>
      <c r="DJ111" s="1146"/>
      <c r="DK111" s="1146"/>
      <c r="DL111" s="1146"/>
      <c r="DM111" s="1146"/>
      <c r="DN111" s="1146"/>
      <c r="DO111" s="1146"/>
      <c r="DP111" s="1146"/>
      <c r="DQ111" s="1146"/>
      <c r="DR111" s="1146"/>
      <c r="DS111" s="1146"/>
      <c r="DT111" s="1147"/>
    </row>
    <row r="112" spans="2:124" ht="15" customHeight="1" thickBot="1" x14ac:dyDescent="0.35">
      <c r="B112" s="159" t="s">
        <v>1371</v>
      </c>
      <c r="C112" s="886"/>
      <c r="D112" s="886"/>
      <c r="E112" s="532"/>
      <c r="F112" s="532"/>
      <c r="G112" s="532"/>
      <c r="H112" s="532"/>
      <c r="I112" s="532"/>
      <c r="J112" s="532"/>
      <c r="K112" s="532"/>
      <c r="L112" s="532"/>
      <c r="M112" s="532"/>
      <c r="N112" s="532"/>
      <c r="O112" s="532">
        <f>SUM(O102:O111)</f>
        <v>0</v>
      </c>
      <c r="P112" s="758">
        <f t="shared" ref="P112:CA112" si="369">SUM(P102:P111)</f>
        <v>0</v>
      </c>
      <c r="Q112" s="1143">
        <f t="shared" si="369"/>
        <v>0</v>
      </c>
      <c r="R112" s="1144">
        <f t="shared" si="369"/>
        <v>1</v>
      </c>
      <c r="S112" s="1144">
        <f t="shared" si="369"/>
        <v>1</v>
      </c>
      <c r="T112" s="1144">
        <f t="shared" si="369"/>
        <v>1</v>
      </c>
      <c r="U112" s="1144">
        <f t="shared" si="369"/>
        <v>2</v>
      </c>
      <c r="V112" s="1144">
        <f t="shared" si="369"/>
        <v>2</v>
      </c>
      <c r="W112" s="1144">
        <f t="shared" si="369"/>
        <v>2</v>
      </c>
      <c r="X112" s="1144">
        <f t="shared" si="369"/>
        <v>4</v>
      </c>
      <c r="Y112" s="1144">
        <f t="shared" si="369"/>
        <v>4</v>
      </c>
      <c r="Z112" s="1144">
        <f t="shared" si="369"/>
        <v>4</v>
      </c>
      <c r="AA112" s="1144">
        <f t="shared" si="369"/>
        <v>6</v>
      </c>
      <c r="AB112" s="1149">
        <f t="shared" si="369"/>
        <v>6</v>
      </c>
      <c r="AC112" s="1144">
        <f t="shared" si="369"/>
        <v>7</v>
      </c>
      <c r="AD112" s="1144">
        <f t="shared" si="369"/>
        <v>9</v>
      </c>
      <c r="AE112" s="1144">
        <f t="shared" si="369"/>
        <v>10</v>
      </c>
      <c r="AF112" s="1144">
        <f t="shared" si="369"/>
        <v>11</v>
      </c>
      <c r="AG112" s="1144">
        <f t="shared" si="369"/>
        <v>13</v>
      </c>
      <c r="AH112" s="1144">
        <f t="shared" si="369"/>
        <v>15</v>
      </c>
      <c r="AI112" s="1144">
        <f t="shared" si="369"/>
        <v>16</v>
      </c>
      <c r="AJ112" s="1144">
        <f t="shared" si="369"/>
        <v>19</v>
      </c>
      <c r="AK112" s="1144">
        <f t="shared" si="369"/>
        <v>21</v>
      </c>
      <c r="AL112" s="1144">
        <f t="shared" si="369"/>
        <v>21</v>
      </c>
      <c r="AM112" s="1144">
        <f t="shared" si="369"/>
        <v>21</v>
      </c>
      <c r="AN112" s="1149">
        <f t="shared" si="369"/>
        <v>20</v>
      </c>
      <c r="AO112" s="1144">
        <f t="shared" si="369"/>
        <v>21</v>
      </c>
      <c r="AP112" s="1144">
        <f t="shared" si="369"/>
        <v>22</v>
      </c>
      <c r="AQ112" s="1144">
        <f t="shared" si="369"/>
        <v>21</v>
      </c>
      <c r="AR112" s="1144">
        <f t="shared" si="369"/>
        <v>21</v>
      </c>
      <c r="AS112" s="1144">
        <f t="shared" si="369"/>
        <v>22</v>
      </c>
      <c r="AT112" s="1144">
        <f t="shared" si="369"/>
        <v>21</v>
      </c>
      <c r="AU112" s="1144">
        <f t="shared" si="369"/>
        <v>21</v>
      </c>
      <c r="AV112" s="1144">
        <f t="shared" si="369"/>
        <v>22</v>
      </c>
      <c r="AW112" s="1144">
        <f t="shared" si="369"/>
        <v>21</v>
      </c>
      <c r="AX112" s="1144">
        <f t="shared" si="369"/>
        <v>21</v>
      </c>
      <c r="AY112" s="1144">
        <f t="shared" si="369"/>
        <v>21</v>
      </c>
      <c r="AZ112" s="1149">
        <f t="shared" si="369"/>
        <v>20</v>
      </c>
      <c r="BA112" s="1144">
        <f t="shared" si="369"/>
        <v>21</v>
      </c>
      <c r="BB112" s="1144">
        <f t="shared" si="369"/>
        <v>22</v>
      </c>
      <c r="BC112" s="1144">
        <f t="shared" si="369"/>
        <v>21</v>
      </c>
      <c r="BD112" s="1144">
        <f t="shared" si="369"/>
        <v>21</v>
      </c>
      <c r="BE112" s="1144">
        <f t="shared" si="369"/>
        <v>22</v>
      </c>
      <c r="BF112" s="1144">
        <f t="shared" si="369"/>
        <v>21</v>
      </c>
      <c r="BG112" s="1144">
        <f t="shared" si="369"/>
        <v>21</v>
      </c>
      <c r="BH112" s="1144">
        <f t="shared" si="369"/>
        <v>22</v>
      </c>
      <c r="BI112" s="1144">
        <f t="shared" si="369"/>
        <v>21</v>
      </c>
      <c r="BJ112" s="1144">
        <f t="shared" si="369"/>
        <v>21</v>
      </c>
      <c r="BK112" s="1144">
        <f t="shared" si="369"/>
        <v>21</v>
      </c>
      <c r="BL112" s="1149">
        <f t="shared" si="369"/>
        <v>20</v>
      </c>
      <c r="BM112" s="1144">
        <f t="shared" si="369"/>
        <v>21</v>
      </c>
      <c r="BN112" s="1144">
        <f t="shared" si="369"/>
        <v>22</v>
      </c>
      <c r="BO112" s="1144">
        <f t="shared" si="369"/>
        <v>21</v>
      </c>
      <c r="BP112" s="1144">
        <f t="shared" si="369"/>
        <v>21</v>
      </c>
      <c r="BQ112" s="1144">
        <f t="shared" si="369"/>
        <v>22</v>
      </c>
      <c r="BR112" s="1144">
        <f t="shared" si="369"/>
        <v>21</v>
      </c>
      <c r="BS112" s="1144">
        <f t="shared" si="369"/>
        <v>21</v>
      </c>
      <c r="BT112" s="1144">
        <f t="shared" si="369"/>
        <v>22</v>
      </c>
      <c r="BU112" s="1144">
        <f t="shared" si="369"/>
        <v>21</v>
      </c>
      <c r="BV112" s="1144">
        <f t="shared" si="369"/>
        <v>21</v>
      </c>
      <c r="BW112" s="1144">
        <f t="shared" si="369"/>
        <v>21</v>
      </c>
      <c r="BX112" s="1149">
        <f t="shared" si="369"/>
        <v>20</v>
      </c>
      <c r="BY112" s="1144">
        <f t="shared" si="369"/>
        <v>21</v>
      </c>
      <c r="BZ112" s="1144">
        <f t="shared" si="369"/>
        <v>22</v>
      </c>
      <c r="CA112" s="1144">
        <f t="shared" si="369"/>
        <v>21</v>
      </c>
      <c r="CB112" s="1144">
        <f t="shared" ref="CB112:DT112" si="370">SUM(CB102:CB111)</f>
        <v>21</v>
      </c>
      <c r="CC112" s="1144">
        <f t="shared" si="370"/>
        <v>22</v>
      </c>
      <c r="CD112" s="1144">
        <f t="shared" si="370"/>
        <v>21</v>
      </c>
      <c r="CE112" s="1144">
        <f t="shared" si="370"/>
        <v>21</v>
      </c>
      <c r="CF112" s="1144">
        <f t="shared" si="370"/>
        <v>22</v>
      </c>
      <c r="CG112" s="1144">
        <f t="shared" si="370"/>
        <v>21</v>
      </c>
      <c r="CH112" s="1144">
        <f t="shared" si="370"/>
        <v>21</v>
      </c>
      <c r="CI112" s="1144">
        <f t="shared" si="370"/>
        <v>21</v>
      </c>
      <c r="CJ112" s="1149">
        <f t="shared" si="370"/>
        <v>20</v>
      </c>
      <c r="CK112" s="1144">
        <f t="shared" si="370"/>
        <v>21</v>
      </c>
      <c r="CL112" s="1144">
        <f t="shared" si="370"/>
        <v>22</v>
      </c>
      <c r="CM112" s="1144">
        <f t="shared" si="370"/>
        <v>21</v>
      </c>
      <c r="CN112" s="1144">
        <f t="shared" si="370"/>
        <v>21</v>
      </c>
      <c r="CO112" s="1144">
        <f t="shared" si="370"/>
        <v>22</v>
      </c>
      <c r="CP112" s="1144">
        <f t="shared" si="370"/>
        <v>21</v>
      </c>
      <c r="CQ112" s="1144">
        <f t="shared" si="370"/>
        <v>21</v>
      </c>
      <c r="CR112" s="1144">
        <f t="shared" si="370"/>
        <v>22</v>
      </c>
      <c r="CS112" s="1144">
        <f t="shared" si="370"/>
        <v>21</v>
      </c>
      <c r="CT112" s="1144">
        <f t="shared" si="370"/>
        <v>21</v>
      </c>
      <c r="CU112" s="1144">
        <f t="shared" si="370"/>
        <v>21</v>
      </c>
      <c r="CV112" s="1149">
        <f t="shared" si="370"/>
        <v>20</v>
      </c>
      <c r="CW112" s="1144">
        <f t="shared" si="370"/>
        <v>21</v>
      </c>
      <c r="CX112" s="1144">
        <f t="shared" si="370"/>
        <v>22</v>
      </c>
      <c r="CY112" s="1144">
        <f t="shared" si="370"/>
        <v>21</v>
      </c>
      <c r="CZ112" s="1144">
        <f t="shared" si="370"/>
        <v>21</v>
      </c>
      <c r="DA112" s="1144">
        <f t="shared" si="370"/>
        <v>22</v>
      </c>
      <c r="DB112" s="1144">
        <f t="shared" si="370"/>
        <v>21</v>
      </c>
      <c r="DC112" s="1144">
        <f t="shared" si="370"/>
        <v>21</v>
      </c>
      <c r="DD112" s="1144">
        <f t="shared" si="370"/>
        <v>22</v>
      </c>
      <c r="DE112" s="1144">
        <f t="shared" si="370"/>
        <v>21</v>
      </c>
      <c r="DF112" s="1144">
        <f t="shared" si="370"/>
        <v>21</v>
      </c>
      <c r="DG112" s="1144">
        <f t="shared" si="370"/>
        <v>21</v>
      </c>
      <c r="DH112" s="1149">
        <f t="shared" si="370"/>
        <v>20</v>
      </c>
      <c r="DI112" s="1144">
        <f t="shared" si="370"/>
        <v>21</v>
      </c>
      <c r="DJ112" s="1144">
        <f t="shared" si="370"/>
        <v>22</v>
      </c>
      <c r="DK112" s="1144">
        <f t="shared" si="370"/>
        <v>21</v>
      </c>
      <c r="DL112" s="1144">
        <f t="shared" si="370"/>
        <v>21</v>
      </c>
      <c r="DM112" s="1144">
        <f t="shared" si="370"/>
        <v>22</v>
      </c>
      <c r="DN112" s="1144">
        <f t="shared" si="370"/>
        <v>21</v>
      </c>
      <c r="DO112" s="1144">
        <f t="shared" si="370"/>
        <v>21</v>
      </c>
      <c r="DP112" s="1144">
        <f t="shared" si="370"/>
        <v>22</v>
      </c>
      <c r="DQ112" s="1144">
        <f t="shared" si="370"/>
        <v>21</v>
      </c>
      <c r="DR112" s="1144">
        <f t="shared" si="370"/>
        <v>21</v>
      </c>
      <c r="DS112" s="1144">
        <f t="shared" si="370"/>
        <v>21</v>
      </c>
      <c r="DT112" s="1149">
        <f t="shared" si="370"/>
        <v>20</v>
      </c>
    </row>
  </sheetData>
  <mergeCells count="11">
    <mergeCell ref="A1:C3"/>
    <mergeCell ref="E2:P2"/>
    <mergeCell ref="Q2:AB2"/>
    <mergeCell ref="AC2:AN2"/>
    <mergeCell ref="AO2:AZ2"/>
    <mergeCell ref="DI2:DT2"/>
    <mergeCell ref="BA2:BL2"/>
    <mergeCell ref="BM2:BX2"/>
    <mergeCell ref="BY2:CJ2"/>
    <mergeCell ref="CK2:CV2"/>
    <mergeCell ref="CW2:DH2"/>
  </mergeCells>
  <pageMargins left="0.7" right="0.7" top="0.75" bottom="0.75" header="0.3" footer="0.3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A37"/>
  </sheetPr>
  <dimension ref="B1:AC71"/>
  <sheetViews>
    <sheetView topLeftCell="A20" zoomScale="66" zoomScaleNormal="66" workbookViewId="0">
      <selection activeCell="Q4" sqref="Q4:S4"/>
    </sheetView>
  </sheetViews>
  <sheetFormatPr defaultColWidth="9.140625" defaultRowHeight="12.75" x14ac:dyDescent="0.2"/>
  <cols>
    <col min="1" max="1" width="1.85546875" style="2" customWidth="1"/>
    <col min="2" max="2" width="9.140625" style="2"/>
    <col min="3" max="3" width="16.140625" style="2" customWidth="1"/>
    <col min="4" max="4" width="9.7109375" style="2" bestFit="1" customWidth="1"/>
    <col min="5" max="15" width="9.140625" style="2"/>
    <col min="16" max="16" width="7" style="2" customWidth="1"/>
    <col min="17" max="17" width="9.7109375" style="2" bestFit="1" customWidth="1"/>
    <col min="18" max="16384" width="9.140625" style="2"/>
  </cols>
  <sheetData>
    <row r="1" spans="2:24" ht="22.5" customHeight="1" x14ac:dyDescent="0.35">
      <c r="B1" s="548"/>
      <c r="O1" s="1407" t="s">
        <v>399</v>
      </c>
      <c r="P1" s="1407"/>
      <c r="Q1" s="1408" t="s">
        <v>381</v>
      </c>
      <c r="R1" s="1409"/>
      <c r="S1" s="1410"/>
    </row>
    <row r="2" spans="2:24" ht="22.5" customHeight="1" x14ac:dyDescent="0.35">
      <c r="B2" s="548"/>
      <c r="O2" s="1407" t="s">
        <v>714</v>
      </c>
      <c r="P2" s="1407"/>
      <c r="Q2" s="1408" t="s">
        <v>472</v>
      </c>
      <c r="R2" s="1409"/>
      <c r="S2" s="1410"/>
    </row>
    <row r="3" spans="2:24" ht="22.5" customHeight="1" x14ac:dyDescent="0.35">
      <c r="B3" s="548"/>
      <c r="O3" s="1411" t="s">
        <v>400</v>
      </c>
      <c r="P3" s="1412"/>
      <c r="Q3" s="1413" t="s">
        <v>715</v>
      </c>
      <c r="R3" s="1414"/>
      <c r="S3" s="1415"/>
    </row>
    <row r="4" spans="2:24" ht="22.5" customHeight="1" x14ac:dyDescent="0.35">
      <c r="B4" s="548"/>
      <c r="O4" s="1411" t="s">
        <v>651</v>
      </c>
      <c r="P4" s="1412"/>
      <c r="Q4" s="1416">
        <f>'Input data'!Q4</f>
        <v>82000</v>
      </c>
      <c r="R4" s="1417"/>
      <c r="S4" s="1418"/>
    </row>
    <row r="5" spans="2:24" ht="22.5" customHeight="1" x14ac:dyDescent="0.35">
      <c r="B5" s="548"/>
      <c r="O5" s="1411" t="s">
        <v>401</v>
      </c>
      <c r="P5" s="1412"/>
      <c r="Q5" s="1408">
        <f>'Input data'!R4</f>
        <v>2</v>
      </c>
      <c r="R5" s="1409"/>
      <c r="S5" s="1410"/>
    </row>
    <row r="6" spans="2:24" ht="22.5" customHeight="1" x14ac:dyDescent="0.35">
      <c r="B6" s="548"/>
      <c r="O6" s="1411" t="s">
        <v>716</v>
      </c>
      <c r="P6" s="1412"/>
      <c r="Q6" s="1408">
        <f>'Input data'!S4</f>
        <v>20000</v>
      </c>
      <c r="R6" s="1409"/>
      <c r="S6" s="1410"/>
    </row>
    <row r="7" spans="2:24" ht="22.5" customHeight="1" x14ac:dyDescent="0.35">
      <c r="B7" s="548"/>
      <c r="O7" s="1411" t="s">
        <v>717</v>
      </c>
      <c r="P7" s="1412"/>
      <c r="Q7" s="1408">
        <f>'Input data'!T4</f>
        <v>2000</v>
      </c>
      <c r="R7" s="1409"/>
      <c r="S7" s="1410"/>
    </row>
    <row r="8" spans="2:24" ht="22.5" customHeight="1" x14ac:dyDescent="0.35">
      <c r="B8" s="548"/>
      <c r="O8" s="1407" t="s">
        <v>403</v>
      </c>
      <c r="P8" s="1407"/>
      <c r="Q8" s="1420">
        <f>SUM(D64:AC64)/1000</f>
        <v>124.42228977831523</v>
      </c>
      <c r="R8" s="1421"/>
      <c r="S8" s="1422"/>
    </row>
    <row r="9" spans="2:24" ht="22.5" customHeight="1" x14ac:dyDescent="0.35">
      <c r="B9" s="548"/>
      <c r="O9" s="1423"/>
      <c r="P9" s="1423"/>
      <c r="Q9" s="1423"/>
      <c r="R9" s="1423"/>
      <c r="S9" s="1423"/>
    </row>
    <row r="10" spans="2:24" ht="22.5" customHeight="1" x14ac:dyDescent="0.35">
      <c r="B10" s="548"/>
      <c r="O10" s="1424"/>
      <c r="P10" s="1424"/>
      <c r="Q10" s="1424"/>
      <c r="R10" s="1424"/>
      <c r="S10" s="1424"/>
    </row>
    <row r="11" spans="2:24" ht="22.5" customHeight="1" x14ac:dyDescent="0.35">
      <c r="B11" s="548"/>
      <c r="O11" s="1424"/>
      <c r="P11" s="1424"/>
      <c r="Q11" s="1424"/>
      <c r="R11" s="1424"/>
      <c r="S11" s="1424"/>
    </row>
    <row r="12" spans="2:24" ht="22.5" customHeight="1" x14ac:dyDescent="0.35">
      <c r="B12" s="548"/>
      <c r="O12" s="1424"/>
      <c r="P12" s="1424"/>
      <c r="Q12" s="1424"/>
      <c r="R12" s="1424"/>
      <c r="S12" s="1424"/>
    </row>
    <row r="13" spans="2:24" ht="22.5" customHeight="1" x14ac:dyDescent="0.35">
      <c r="B13" s="548"/>
      <c r="O13" s="1424"/>
      <c r="P13" s="1424"/>
      <c r="Q13" s="1424"/>
      <c r="R13" s="1424"/>
      <c r="S13" s="1424"/>
    </row>
    <row r="14" spans="2:24" ht="22.5" customHeight="1" x14ac:dyDescent="0.35">
      <c r="B14" s="548"/>
      <c r="O14" s="1424"/>
      <c r="P14" s="1424"/>
      <c r="Q14" s="1424"/>
      <c r="R14" s="1424"/>
      <c r="S14" s="1424"/>
    </row>
    <row r="15" spans="2:24" ht="22.5" customHeight="1" x14ac:dyDescent="0.35">
      <c r="B15" s="548"/>
      <c r="O15" s="1424"/>
      <c r="P15" s="1424"/>
      <c r="Q15" s="1424"/>
      <c r="R15" s="1424"/>
      <c r="S15" s="1424"/>
    </row>
    <row r="16" spans="2:24" hidden="1" x14ac:dyDescent="0.2">
      <c r="B16" s="1425" t="s">
        <v>404</v>
      </c>
      <c r="C16" s="1425"/>
      <c r="D16" s="549" t="e">
        <f>MONTH(Q3)</f>
        <v>#VALUE!</v>
      </c>
      <c r="E16" s="549" t="e">
        <f>D16+1</f>
        <v>#VALUE!</v>
      </c>
      <c r="F16" s="549" t="e">
        <f t="shared" ref="F16:T16" si="0">E16+1</f>
        <v>#VALUE!</v>
      </c>
      <c r="G16" s="549" t="e">
        <f t="shared" si="0"/>
        <v>#VALUE!</v>
      </c>
      <c r="H16" s="549" t="e">
        <f t="shared" si="0"/>
        <v>#VALUE!</v>
      </c>
      <c r="I16" s="549" t="e">
        <f t="shared" si="0"/>
        <v>#VALUE!</v>
      </c>
      <c r="J16" s="549" t="e">
        <f t="shared" si="0"/>
        <v>#VALUE!</v>
      </c>
      <c r="K16" s="549" t="e">
        <f t="shared" si="0"/>
        <v>#VALUE!</v>
      </c>
      <c r="L16" s="549" t="e">
        <f t="shared" si="0"/>
        <v>#VALUE!</v>
      </c>
      <c r="M16" s="549" t="e">
        <f t="shared" si="0"/>
        <v>#VALUE!</v>
      </c>
      <c r="N16" s="549" t="e">
        <f t="shared" si="0"/>
        <v>#VALUE!</v>
      </c>
      <c r="O16" s="549" t="e">
        <f t="shared" si="0"/>
        <v>#VALUE!</v>
      </c>
      <c r="P16" s="549" t="e">
        <f t="shared" si="0"/>
        <v>#VALUE!</v>
      </c>
      <c r="Q16" s="549" t="e">
        <f t="shared" si="0"/>
        <v>#VALUE!</v>
      </c>
      <c r="R16" s="549" t="e">
        <f t="shared" si="0"/>
        <v>#VALUE!</v>
      </c>
      <c r="S16" s="549" t="e">
        <f t="shared" si="0"/>
        <v>#VALUE!</v>
      </c>
      <c r="T16" s="549" t="e">
        <f t="shared" si="0"/>
        <v>#VALUE!</v>
      </c>
      <c r="U16" s="549" t="e">
        <f>T16+1</f>
        <v>#VALUE!</v>
      </c>
      <c r="V16" s="549" t="e">
        <f>U16+1</f>
        <v>#VALUE!</v>
      </c>
      <c r="W16" s="549" t="e">
        <f>V16+1</f>
        <v>#VALUE!</v>
      </c>
      <c r="X16" s="549" t="e">
        <f>W16+1</f>
        <v>#VALUE!</v>
      </c>
    </row>
    <row r="17" spans="2:29" s="8" customFormat="1" ht="15" customHeight="1" x14ac:dyDescent="0.2">
      <c r="B17" s="550" t="s">
        <v>405</v>
      </c>
      <c r="C17" s="550"/>
      <c r="D17" s="550" t="s">
        <v>172</v>
      </c>
      <c r="E17" s="550" t="s">
        <v>173</v>
      </c>
      <c r="F17" s="550" t="s">
        <v>174</v>
      </c>
      <c r="G17" s="550" t="s">
        <v>175</v>
      </c>
      <c r="H17" s="550" t="s">
        <v>176</v>
      </c>
      <c r="I17" s="550" t="s">
        <v>177</v>
      </c>
      <c r="J17" s="550" t="s">
        <v>166</v>
      </c>
      <c r="K17" s="550" t="s">
        <v>167</v>
      </c>
      <c r="L17" s="550" t="s">
        <v>168</v>
      </c>
      <c r="M17" s="550" t="s">
        <v>169</v>
      </c>
      <c r="N17" s="550" t="s">
        <v>170</v>
      </c>
      <c r="O17" s="550" t="s">
        <v>171</v>
      </c>
      <c r="P17" s="550" t="s">
        <v>172</v>
      </c>
      <c r="Q17" s="550" t="s">
        <v>173</v>
      </c>
      <c r="R17" s="550" t="s">
        <v>174</v>
      </c>
      <c r="S17" s="550" t="s">
        <v>175</v>
      </c>
      <c r="T17" s="550" t="s">
        <v>176</v>
      </c>
      <c r="U17" s="550" t="s">
        <v>177</v>
      </c>
      <c r="V17" s="550" t="s">
        <v>166</v>
      </c>
      <c r="W17" s="550" t="s">
        <v>167</v>
      </c>
      <c r="X17" s="550" t="s">
        <v>168</v>
      </c>
      <c r="Y17" s="550" t="s">
        <v>169</v>
      </c>
      <c r="Z17" s="550" t="s">
        <v>170</v>
      </c>
      <c r="AA17" s="550" t="s">
        <v>171</v>
      </c>
      <c r="AB17" s="550" t="s">
        <v>172</v>
      </c>
      <c r="AC17" s="550" t="s">
        <v>173</v>
      </c>
    </row>
    <row r="18" spans="2:29" ht="12.75" customHeight="1" x14ac:dyDescent="0.2">
      <c r="B18" s="285" t="s">
        <v>406</v>
      </c>
      <c r="C18" s="285"/>
      <c r="D18" s="285">
        <f>VLOOKUP(D17,'Input data'!$N$5:$P$16,3,FALSE)</f>
        <v>31</v>
      </c>
      <c r="E18" s="285">
        <f>VLOOKUP(E17,'Input data'!$N$5:$P$16,3,FALSE)</f>
        <v>28</v>
      </c>
      <c r="F18" s="285">
        <f>VLOOKUP(F17,'Input data'!$N$5:$P$16,3,FALSE)</f>
        <v>31</v>
      </c>
      <c r="G18" s="285">
        <f>VLOOKUP(G17,'Input data'!$N$5:$P$16,3,FALSE)</f>
        <v>30</v>
      </c>
      <c r="H18" s="285">
        <f>VLOOKUP(H17,'Input data'!$N$5:$P$16,3,FALSE)</f>
        <v>31</v>
      </c>
      <c r="I18" s="285">
        <f>VLOOKUP(I17,'Input data'!$N$5:$P$16,3,FALSE)</f>
        <v>30</v>
      </c>
      <c r="J18" s="285">
        <f>VLOOKUP(J17,'Input data'!$N$5:$P$16,3,FALSE)</f>
        <v>31</v>
      </c>
      <c r="K18" s="285">
        <f>VLOOKUP(K17,'Input data'!$N$5:$P$16,3,FALSE)</f>
        <v>31</v>
      </c>
      <c r="L18" s="285">
        <f>VLOOKUP(L17,'Input data'!$N$5:$P$16,3,FALSE)</f>
        <v>30</v>
      </c>
      <c r="M18" s="285">
        <f>VLOOKUP(M17,'Input data'!$N$5:$P$16,3,FALSE)</f>
        <v>31</v>
      </c>
      <c r="N18" s="285">
        <f>VLOOKUP(N17,'Input data'!$N$5:$P$16,3,FALSE)</f>
        <v>30</v>
      </c>
      <c r="O18" s="285">
        <f>VLOOKUP(O17,'Input data'!$N$5:$P$16,3,FALSE)</f>
        <v>31</v>
      </c>
      <c r="P18" s="285">
        <f>VLOOKUP(P17,'Input data'!$N$5:$P$16,3,FALSE)</f>
        <v>31</v>
      </c>
      <c r="Q18" s="285">
        <f>VLOOKUP(Q17,'Input data'!$N$5:$P$16,3,FALSE)</f>
        <v>28</v>
      </c>
      <c r="R18" s="285">
        <f>VLOOKUP(R17,'Input data'!$N$5:$P$16,3,FALSE)</f>
        <v>31</v>
      </c>
      <c r="S18" s="285">
        <f>VLOOKUP(S17,'Input data'!$N$5:$P$16,3,FALSE)</f>
        <v>30</v>
      </c>
      <c r="T18" s="285">
        <f>VLOOKUP(T17,'Input data'!$N$5:$P$16,3,FALSE)</f>
        <v>31</v>
      </c>
      <c r="U18" s="285">
        <f>VLOOKUP(U17,'Input data'!$N$5:$P$16,3,FALSE)</f>
        <v>30</v>
      </c>
      <c r="V18" s="285">
        <f>VLOOKUP(V17,'Input data'!$N$5:$P$16,3,FALSE)</f>
        <v>31</v>
      </c>
      <c r="W18" s="285">
        <f>VLOOKUP(W17,'Input data'!$N$5:$P$16,3,FALSE)</f>
        <v>31</v>
      </c>
      <c r="X18" s="285">
        <f>VLOOKUP(X17,'Input data'!$N$5:$P$16,3,FALSE)</f>
        <v>30</v>
      </c>
      <c r="Y18" s="285">
        <f>VLOOKUP(Y17,'Input data'!$N$5:$P$16,3,FALSE)</f>
        <v>31</v>
      </c>
      <c r="Z18" s="285">
        <f>VLOOKUP(Z17,'Input data'!$N$5:$P$16,3,FALSE)</f>
        <v>30</v>
      </c>
      <c r="AA18" s="285">
        <f>VLOOKUP(AA17,'Input data'!$N$5:$P$16,3,FALSE)</f>
        <v>31</v>
      </c>
      <c r="AB18" s="285">
        <f>VLOOKUP(AB17,'Input data'!$N$5:$P$16,3,FALSE)</f>
        <v>31</v>
      </c>
      <c r="AC18" s="285">
        <f>VLOOKUP(AC17,'Input data'!$N$5:$P$16,3,FALSE)</f>
        <v>28</v>
      </c>
    </row>
    <row r="19" spans="2:29" ht="12.75" customHeight="1" x14ac:dyDescent="0.2">
      <c r="B19" s="285" t="s">
        <v>407</v>
      </c>
      <c r="C19" s="285"/>
      <c r="D19" s="285">
        <f>VLOOKUP(D17,'Input data'!$N$5:$P$16,2,FALSE)</f>
        <v>24</v>
      </c>
      <c r="E19" s="285">
        <f>VLOOKUP(E17,'Input data'!$N$5:$P$16,2,FALSE)</f>
        <v>24</v>
      </c>
      <c r="F19" s="285">
        <f>VLOOKUP(F17,'Input data'!$N$5:$P$16,2,FALSE)</f>
        <v>22</v>
      </c>
      <c r="G19" s="285">
        <f>VLOOKUP(G17,'Input data'!$N$5:$P$16,2,FALSE)</f>
        <v>20</v>
      </c>
      <c r="H19" s="285">
        <f>VLOOKUP(H17,'Input data'!$N$5:$P$16,2,FALSE)</f>
        <v>19</v>
      </c>
      <c r="I19" s="285">
        <f>VLOOKUP(I17,'Input data'!$N$5:$P$16,2,FALSE)</f>
        <v>18</v>
      </c>
      <c r="J19" s="285">
        <f>VLOOKUP(J17,'Input data'!$N$5:$P$16,2,FALSE)</f>
        <v>18</v>
      </c>
      <c r="K19" s="285">
        <f>VLOOKUP(K17,'Input data'!$N$5:$P$16,2,FALSE)</f>
        <v>18</v>
      </c>
      <c r="L19" s="285">
        <f>VLOOKUP(L17,'Input data'!$N$5:$P$16,2,FALSE)</f>
        <v>20</v>
      </c>
      <c r="M19" s="285">
        <f>VLOOKUP(M17,'Input data'!$N$5:$P$16,2,FALSE)</f>
        <v>21</v>
      </c>
      <c r="N19" s="285">
        <f>VLOOKUP(N17,'Input data'!$N$5:$P$16,2,FALSE)</f>
        <v>23</v>
      </c>
      <c r="O19" s="285">
        <f>VLOOKUP(O17,'Input data'!$N$5:$P$16,2,FALSE)</f>
        <v>24</v>
      </c>
      <c r="P19" s="285">
        <f>VLOOKUP(P17,'Input data'!$N$5:$P$16,2,FALSE)</f>
        <v>24</v>
      </c>
      <c r="Q19" s="285">
        <f>VLOOKUP(Q17,'Input data'!$N$5:$P$16,2,FALSE)</f>
        <v>24</v>
      </c>
      <c r="R19" s="285">
        <f>VLOOKUP(R17,'Input data'!$N$5:$P$16,2,FALSE)</f>
        <v>22</v>
      </c>
      <c r="S19" s="285">
        <f>VLOOKUP(S17,'Input data'!$N$5:$P$16,2,FALSE)</f>
        <v>20</v>
      </c>
      <c r="T19" s="285">
        <f>VLOOKUP(T17,'Input data'!$N$5:$P$16,2,FALSE)</f>
        <v>19</v>
      </c>
      <c r="U19" s="285">
        <f>VLOOKUP(U17,'Input data'!$N$5:$P$16,2,FALSE)</f>
        <v>18</v>
      </c>
      <c r="V19" s="285">
        <f>VLOOKUP(V17,'Input data'!$N$5:$P$16,2,FALSE)</f>
        <v>18</v>
      </c>
      <c r="W19" s="285">
        <f>VLOOKUP(W17,'Input data'!$N$5:$P$16,2,FALSE)</f>
        <v>18</v>
      </c>
      <c r="X19" s="285">
        <f>VLOOKUP(X17,'Input data'!$N$5:$P$16,2,FALSE)</f>
        <v>20</v>
      </c>
      <c r="Y19" s="285">
        <f>VLOOKUP(Y17,'Input data'!$N$5:$P$16,2,FALSE)</f>
        <v>21</v>
      </c>
      <c r="Z19" s="285">
        <f>VLOOKUP(Z17,'Input data'!$N$5:$P$16,2,FALSE)</f>
        <v>23</v>
      </c>
      <c r="AA19" s="285">
        <f>VLOOKUP(AA17,'Input data'!$N$5:$P$16,2,FALSE)</f>
        <v>24</v>
      </c>
      <c r="AB19" s="285">
        <f>VLOOKUP(AB17,'Input data'!$N$5:$P$16,2,FALSE)</f>
        <v>24</v>
      </c>
      <c r="AC19" s="285">
        <f>VLOOKUP(AC17,'Input data'!$N$5:$P$16,2,FALSE)</f>
        <v>24</v>
      </c>
    </row>
    <row r="20" spans="2:29" ht="12.75" customHeight="1" x14ac:dyDescent="0.2">
      <c r="B20" s="285" t="s">
        <v>408</v>
      </c>
      <c r="C20" s="285"/>
      <c r="D20" s="285">
        <v>1</v>
      </c>
      <c r="E20" s="285">
        <f>D20+1</f>
        <v>2</v>
      </c>
      <c r="F20" s="285">
        <f>E20+1</f>
        <v>3</v>
      </c>
      <c r="G20" s="285">
        <f t="shared" ref="G20:W20" si="1">F20+1</f>
        <v>4</v>
      </c>
      <c r="H20" s="285">
        <f t="shared" si="1"/>
        <v>5</v>
      </c>
      <c r="I20" s="285">
        <f t="shared" si="1"/>
        <v>6</v>
      </c>
      <c r="J20" s="285">
        <f t="shared" si="1"/>
        <v>7</v>
      </c>
      <c r="K20" s="285">
        <f t="shared" si="1"/>
        <v>8</v>
      </c>
      <c r="L20" s="285">
        <f t="shared" si="1"/>
        <v>9</v>
      </c>
      <c r="M20" s="285">
        <f t="shared" si="1"/>
        <v>10</v>
      </c>
      <c r="N20" s="285">
        <f t="shared" si="1"/>
        <v>11</v>
      </c>
      <c r="O20" s="285">
        <f t="shared" si="1"/>
        <v>12</v>
      </c>
      <c r="P20" s="285">
        <f t="shared" si="1"/>
        <v>13</v>
      </c>
      <c r="Q20" s="285">
        <f t="shared" si="1"/>
        <v>14</v>
      </c>
      <c r="R20" s="285">
        <f t="shared" si="1"/>
        <v>15</v>
      </c>
      <c r="S20" s="285">
        <f t="shared" si="1"/>
        <v>16</v>
      </c>
      <c r="T20" s="285">
        <f t="shared" si="1"/>
        <v>17</v>
      </c>
      <c r="U20" s="285">
        <f t="shared" si="1"/>
        <v>18</v>
      </c>
      <c r="V20" s="285">
        <f t="shared" si="1"/>
        <v>19</v>
      </c>
      <c r="W20" s="285">
        <f t="shared" si="1"/>
        <v>20</v>
      </c>
      <c r="X20" s="285">
        <f t="shared" ref="X20" si="2">W20+1</f>
        <v>21</v>
      </c>
      <c r="Y20" s="210">
        <f t="shared" ref="Y20" si="3">X20+1</f>
        <v>22</v>
      </c>
      <c r="Z20" s="210">
        <f t="shared" ref="Z20" si="4">Y20+1</f>
        <v>23</v>
      </c>
      <c r="AA20" s="210">
        <f t="shared" ref="AA20:AC20" si="5">Z20+1</f>
        <v>24</v>
      </c>
      <c r="AB20" s="210">
        <f t="shared" si="5"/>
        <v>25</v>
      </c>
      <c r="AC20" s="210">
        <f t="shared" si="5"/>
        <v>26</v>
      </c>
    </row>
    <row r="21" spans="2:29" ht="3" customHeight="1" x14ac:dyDescent="0.2"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</row>
    <row r="22" spans="2:29" ht="15" hidden="1" customHeight="1" x14ac:dyDescent="0.25">
      <c r="B22" s="551" t="s">
        <v>409</v>
      </c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</row>
    <row r="23" spans="2:29" ht="15" hidden="1" customHeight="1" x14ac:dyDescent="0.2">
      <c r="B23" s="550" t="s">
        <v>410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</row>
    <row r="24" spans="2:29" ht="12.75" hidden="1" customHeight="1" x14ac:dyDescent="0.2">
      <c r="B24" s="552" t="s">
        <v>411</v>
      </c>
      <c r="C24" s="552"/>
      <c r="D24" s="553">
        <f>Q4</f>
        <v>82000</v>
      </c>
      <c r="E24" s="552">
        <f t="shared" ref="E24:X24" si="6">D31</f>
        <v>82000</v>
      </c>
      <c r="F24" s="552">
        <f t="shared" si="6"/>
        <v>82000</v>
      </c>
      <c r="G24" s="552">
        <f t="shared" si="6"/>
        <v>82000</v>
      </c>
      <c r="H24" s="552">
        <f t="shared" si="6"/>
        <v>82000</v>
      </c>
      <c r="I24" s="552">
        <f t="shared" si="6"/>
        <v>82000</v>
      </c>
      <c r="J24" s="552">
        <f t="shared" si="6"/>
        <v>82000</v>
      </c>
      <c r="K24" s="552">
        <f t="shared" si="6"/>
        <v>82000</v>
      </c>
      <c r="L24" s="552">
        <f t="shared" si="6"/>
        <v>82000</v>
      </c>
      <c r="M24" s="552">
        <f t="shared" si="6"/>
        <v>82000</v>
      </c>
      <c r="N24" s="552">
        <f t="shared" si="6"/>
        <v>82000</v>
      </c>
      <c r="O24" s="552">
        <f t="shared" si="6"/>
        <v>82000</v>
      </c>
      <c r="P24" s="552">
        <f t="shared" si="6"/>
        <v>82000</v>
      </c>
      <c r="Q24" s="552">
        <f t="shared" si="6"/>
        <v>82000</v>
      </c>
      <c r="R24" s="552">
        <f t="shared" si="6"/>
        <v>82000</v>
      </c>
      <c r="S24" s="552">
        <f t="shared" si="6"/>
        <v>82000</v>
      </c>
      <c r="T24" s="552">
        <f t="shared" si="6"/>
        <v>82000</v>
      </c>
      <c r="U24" s="552">
        <f t="shared" si="6"/>
        <v>82000</v>
      </c>
      <c r="V24" s="552">
        <f t="shared" si="6"/>
        <v>82000</v>
      </c>
      <c r="W24" s="552">
        <f t="shared" si="6"/>
        <v>82000</v>
      </c>
      <c r="X24" s="552">
        <f t="shared" si="6"/>
        <v>82000</v>
      </c>
    </row>
    <row r="25" spans="2:29" ht="12.75" hidden="1" customHeight="1" x14ac:dyDescent="0.2">
      <c r="B25" s="553" t="s">
        <v>412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</row>
    <row r="26" spans="2:29" s="265" customFormat="1" ht="12.75" hidden="1" customHeight="1" x14ac:dyDescent="0.2">
      <c r="B26" s="553" t="s">
        <v>413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</row>
    <row r="27" spans="2:29" s="265" customFormat="1" ht="15" hidden="1" customHeight="1" x14ac:dyDescent="0.2">
      <c r="B27" s="552" t="s">
        <v>414</v>
      </c>
      <c r="C27" s="552"/>
      <c r="D27" s="552">
        <f>D26</f>
        <v>0</v>
      </c>
      <c r="E27" s="552">
        <f t="shared" ref="E27:X27" si="7">D27+E26</f>
        <v>0</v>
      </c>
      <c r="F27" s="552">
        <f t="shared" si="7"/>
        <v>0</v>
      </c>
      <c r="G27" s="552">
        <f t="shared" si="7"/>
        <v>0</v>
      </c>
      <c r="H27" s="552">
        <f t="shared" si="7"/>
        <v>0</v>
      </c>
      <c r="I27" s="552">
        <f t="shared" si="7"/>
        <v>0</v>
      </c>
      <c r="J27" s="552">
        <f t="shared" si="7"/>
        <v>0</v>
      </c>
      <c r="K27" s="552">
        <f t="shared" si="7"/>
        <v>0</v>
      </c>
      <c r="L27" s="552">
        <f t="shared" si="7"/>
        <v>0</v>
      </c>
      <c r="M27" s="552">
        <f t="shared" si="7"/>
        <v>0</v>
      </c>
      <c r="N27" s="552">
        <f t="shared" si="7"/>
        <v>0</v>
      </c>
      <c r="O27" s="552">
        <f t="shared" si="7"/>
        <v>0</v>
      </c>
      <c r="P27" s="552">
        <f t="shared" si="7"/>
        <v>0</v>
      </c>
      <c r="Q27" s="552">
        <f t="shared" si="7"/>
        <v>0</v>
      </c>
      <c r="R27" s="552">
        <f t="shared" si="7"/>
        <v>0</v>
      </c>
      <c r="S27" s="552">
        <f t="shared" si="7"/>
        <v>0</v>
      </c>
      <c r="T27" s="552">
        <f t="shared" si="7"/>
        <v>0</v>
      </c>
      <c r="U27" s="552">
        <f t="shared" si="7"/>
        <v>0</v>
      </c>
      <c r="V27" s="552">
        <f t="shared" si="7"/>
        <v>0</v>
      </c>
      <c r="W27" s="552">
        <f t="shared" si="7"/>
        <v>0</v>
      </c>
      <c r="X27" s="552">
        <f t="shared" si="7"/>
        <v>0</v>
      </c>
    </row>
    <row r="28" spans="2:29" s="265" customFormat="1" ht="15" hidden="1" customHeight="1" x14ac:dyDescent="0.2">
      <c r="B28" s="552" t="s">
        <v>415</v>
      </c>
      <c r="C28" s="552"/>
      <c r="D28" s="552">
        <f t="shared" ref="D28:X28" si="8">IF(D26&gt;0,(D26/D24),(0))</f>
        <v>0</v>
      </c>
      <c r="E28" s="552">
        <f t="shared" si="8"/>
        <v>0</v>
      </c>
      <c r="F28" s="552">
        <f t="shared" si="8"/>
        <v>0</v>
      </c>
      <c r="G28" s="552">
        <f t="shared" si="8"/>
        <v>0</v>
      </c>
      <c r="H28" s="552">
        <f t="shared" si="8"/>
        <v>0</v>
      </c>
      <c r="I28" s="552">
        <f t="shared" si="8"/>
        <v>0</v>
      </c>
      <c r="J28" s="552">
        <f t="shared" si="8"/>
        <v>0</v>
      </c>
      <c r="K28" s="552">
        <f t="shared" si="8"/>
        <v>0</v>
      </c>
      <c r="L28" s="552">
        <f t="shared" si="8"/>
        <v>0</v>
      </c>
      <c r="M28" s="552">
        <f t="shared" si="8"/>
        <v>0</v>
      </c>
      <c r="N28" s="552">
        <f t="shared" si="8"/>
        <v>0</v>
      </c>
      <c r="O28" s="552">
        <f t="shared" si="8"/>
        <v>0</v>
      </c>
      <c r="P28" s="552">
        <f t="shared" si="8"/>
        <v>0</v>
      </c>
      <c r="Q28" s="552">
        <f t="shared" si="8"/>
        <v>0</v>
      </c>
      <c r="R28" s="552">
        <f t="shared" si="8"/>
        <v>0</v>
      </c>
      <c r="S28" s="552">
        <f t="shared" si="8"/>
        <v>0</v>
      </c>
      <c r="T28" s="552">
        <f t="shared" si="8"/>
        <v>0</v>
      </c>
      <c r="U28" s="552">
        <f t="shared" si="8"/>
        <v>0</v>
      </c>
      <c r="V28" s="552">
        <f t="shared" si="8"/>
        <v>0</v>
      </c>
      <c r="W28" s="552">
        <f t="shared" si="8"/>
        <v>0</v>
      </c>
      <c r="X28" s="552">
        <f t="shared" si="8"/>
        <v>0</v>
      </c>
    </row>
    <row r="29" spans="2:29" s="265" customFormat="1" ht="15" hidden="1" customHeight="1" x14ac:dyDescent="0.2">
      <c r="B29" s="552" t="s">
        <v>416</v>
      </c>
      <c r="C29" s="552"/>
      <c r="D29" s="552">
        <f t="shared" ref="D29:X29" si="9">D27/$D24</f>
        <v>0</v>
      </c>
      <c r="E29" s="552">
        <f t="shared" si="9"/>
        <v>0</v>
      </c>
      <c r="F29" s="552">
        <f t="shared" si="9"/>
        <v>0</v>
      </c>
      <c r="G29" s="552">
        <f t="shared" si="9"/>
        <v>0</v>
      </c>
      <c r="H29" s="552">
        <f t="shared" si="9"/>
        <v>0</v>
      </c>
      <c r="I29" s="552">
        <f t="shared" si="9"/>
        <v>0</v>
      </c>
      <c r="J29" s="552">
        <f t="shared" si="9"/>
        <v>0</v>
      </c>
      <c r="K29" s="552">
        <f t="shared" si="9"/>
        <v>0</v>
      </c>
      <c r="L29" s="552">
        <f t="shared" si="9"/>
        <v>0</v>
      </c>
      <c r="M29" s="552">
        <f t="shared" si="9"/>
        <v>0</v>
      </c>
      <c r="N29" s="552">
        <f t="shared" si="9"/>
        <v>0</v>
      </c>
      <c r="O29" s="552">
        <f t="shared" si="9"/>
        <v>0</v>
      </c>
      <c r="P29" s="552">
        <f t="shared" si="9"/>
        <v>0</v>
      </c>
      <c r="Q29" s="552">
        <f t="shared" si="9"/>
        <v>0</v>
      </c>
      <c r="R29" s="552">
        <f t="shared" si="9"/>
        <v>0</v>
      </c>
      <c r="S29" s="552">
        <f t="shared" si="9"/>
        <v>0</v>
      </c>
      <c r="T29" s="552">
        <f t="shared" si="9"/>
        <v>0</v>
      </c>
      <c r="U29" s="552">
        <f t="shared" si="9"/>
        <v>0</v>
      </c>
      <c r="V29" s="552">
        <f t="shared" si="9"/>
        <v>0</v>
      </c>
      <c r="W29" s="552">
        <f t="shared" si="9"/>
        <v>0</v>
      </c>
      <c r="X29" s="552">
        <f t="shared" si="9"/>
        <v>0</v>
      </c>
    </row>
    <row r="30" spans="2:29" hidden="1" x14ac:dyDescent="0.2">
      <c r="B30" s="553" t="s">
        <v>417</v>
      </c>
      <c r="C30" s="553"/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  <c r="M30" s="553">
        <v>0</v>
      </c>
      <c r="N30" s="553">
        <v>0</v>
      </c>
      <c r="O30" s="553">
        <v>0</v>
      </c>
      <c r="P30" s="553">
        <v>0</v>
      </c>
      <c r="Q30" s="553">
        <v>0</v>
      </c>
      <c r="R30" s="553">
        <v>0</v>
      </c>
      <c r="S30" s="553">
        <v>0</v>
      </c>
      <c r="T30" s="553">
        <v>0</v>
      </c>
      <c r="U30" s="553">
        <v>0</v>
      </c>
      <c r="V30" s="553">
        <v>0</v>
      </c>
      <c r="W30" s="553">
        <v>0</v>
      </c>
      <c r="X30" s="553">
        <v>0</v>
      </c>
    </row>
    <row r="31" spans="2:29" ht="15" hidden="1" customHeight="1" x14ac:dyDescent="0.2">
      <c r="B31" s="552" t="s">
        <v>418</v>
      </c>
      <c r="C31" s="552"/>
      <c r="D31" s="552">
        <f t="shared" ref="D31:X31" si="10">D24-D25-D26-D30</f>
        <v>82000</v>
      </c>
      <c r="E31" s="552">
        <f t="shared" si="10"/>
        <v>82000</v>
      </c>
      <c r="F31" s="552">
        <f t="shared" si="10"/>
        <v>82000</v>
      </c>
      <c r="G31" s="552">
        <f t="shared" si="10"/>
        <v>82000</v>
      </c>
      <c r="H31" s="552">
        <f t="shared" si="10"/>
        <v>82000</v>
      </c>
      <c r="I31" s="552">
        <f t="shared" si="10"/>
        <v>82000</v>
      </c>
      <c r="J31" s="552">
        <f t="shared" si="10"/>
        <v>82000</v>
      </c>
      <c r="K31" s="552">
        <f t="shared" si="10"/>
        <v>82000</v>
      </c>
      <c r="L31" s="552">
        <f t="shared" si="10"/>
        <v>82000</v>
      </c>
      <c r="M31" s="552">
        <f t="shared" si="10"/>
        <v>82000</v>
      </c>
      <c r="N31" s="552">
        <f t="shared" si="10"/>
        <v>82000</v>
      </c>
      <c r="O31" s="552">
        <f t="shared" si="10"/>
        <v>82000</v>
      </c>
      <c r="P31" s="552">
        <f t="shared" si="10"/>
        <v>82000</v>
      </c>
      <c r="Q31" s="552">
        <f t="shared" si="10"/>
        <v>82000</v>
      </c>
      <c r="R31" s="552">
        <f t="shared" si="10"/>
        <v>82000</v>
      </c>
      <c r="S31" s="552">
        <f t="shared" si="10"/>
        <v>82000</v>
      </c>
      <c r="T31" s="552">
        <f t="shared" si="10"/>
        <v>82000</v>
      </c>
      <c r="U31" s="552">
        <f t="shared" si="10"/>
        <v>82000</v>
      </c>
      <c r="V31" s="552">
        <f t="shared" si="10"/>
        <v>82000</v>
      </c>
      <c r="W31" s="552">
        <f t="shared" si="10"/>
        <v>82000</v>
      </c>
      <c r="X31" s="552">
        <f t="shared" si="10"/>
        <v>82000</v>
      </c>
    </row>
    <row r="32" spans="2:29" ht="15" hidden="1" customHeight="1" x14ac:dyDescent="0.2">
      <c r="B32" s="550" t="s">
        <v>419</v>
      </c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</row>
    <row r="33" spans="2:29" ht="12.75" hidden="1" customHeight="1" x14ac:dyDescent="0.2">
      <c r="B33" s="552" t="s">
        <v>420</v>
      </c>
      <c r="C33" s="552"/>
      <c r="D33" s="553">
        <f>Q5</f>
        <v>2</v>
      </c>
      <c r="E33" s="552">
        <f>D36</f>
        <v>0</v>
      </c>
      <c r="F33" s="552">
        <f>E36</f>
        <v>0</v>
      </c>
      <c r="G33" s="552">
        <f t="shared" ref="G33:S33" si="11">F36</f>
        <v>0</v>
      </c>
      <c r="H33" s="552">
        <f t="shared" si="11"/>
        <v>0</v>
      </c>
      <c r="I33" s="552">
        <f t="shared" si="11"/>
        <v>0</v>
      </c>
      <c r="J33" s="552">
        <f t="shared" si="11"/>
        <v>0</v>
      </c>
      <c r="K33" s="552">
        <f t="shared" si="11"/>
        <v>0</v>
      </c>
      <c r="L33" s="552">
        <f t="shared" si="11"/>
        <v>0</v>
      </c>
      <c r="M33" s="552">
        <f t="shared" si="11"/>
        <v>0</v>
      </c>
      <c r="N33" s="552">
        <f t="shared" si="11"/>
        <v>0</v>
      </c>
      <c r="O33" s="552">
        <f t="shared" si="11"/>
        <v>0</v>
      </c>
      <c r="P33" s="552">
        <f t="shared" si="11"/>
        <v>0</v>
      </c>
      <c r="Q33" s="552">
        <f t="shared" si="11"/>
        <v>0</v>
      </c>
      <c r="R33" s="552">
        <f t="shared" si="11"/>
        <v>0</v>
      </c>
      <c r="S33" s="552">
        <f t="shared" si="11"/>
        <v>0</v>
      </c>
      <c r="T33" s="552">
        <f>S36</f>
        <v>0</v>
      </c>
      <c r="U33" s="552">
        <f>T36</f>
        <v>0</v>
      </c>
      <c r="V33" s="552">
        <f>U36</f>
        <v>0</v>
      </c>
      <c r="W33" s="552">
        <f>V36</f>
        <v>0</v>
      </c>
      <c r="X33" s="552">
        <f>W36</f>
        <v>0</v>
      </c>
    </row>
    <row r="34" spans="2:29" ht="12.75" hidden="1" customHeight="1" x14ac:dyDescent="0.2">
      <c r="B34" s="552" t="s">
        <v>421</v>
      </c>
      <c r="C34" s="552"/>
      <c r="D34" s="552">
        <f t="shared" ref="D34:X34" si="12">(D24*D33)/1000</f>
        <v>164</v>
      </c>
      <c r="E34" s="552">
        <f t="shared" si="12"/>
        <v>0</v>
      </c>
      <c r="F34" s="552">
        <f t="shared" si="12"/>
        <v>0</v>
      </c>
      <c r="G34" s="552">
        <f t="shared" si="12"/>
        <v>0</v>
      </c>
      <c r="H34" s="552">
        <f t="shared" si="12"/>
        <v>0</v>
      </c>
      <c r="I34" s="552">
        <f t="shared" si="12"/>
        <v>0</v>
      </c>
      <c r="J34" s="552">
        <f t="shared" si="12"/>
        <v>0</v>
      </c>
      <c r="K34" s="552">
        <f t="shared" si="12"/>
        <v>0</v>
      </c>
      <c r="L34" s="552">
        <f t="shared" si="12"/>
        <v>0</v>
      </c>
      <c r="M34" s="552">
        <f t="shared" si="12"/>
        <v>0</v>
      </c>
      <c r="N34" s="552">
        <f t="shared" si="12"/>
        <v>0</v>
      </c>
      <c r="O34" s="552">
        <f t="shared" si="12"/>
        <v>0</v>
      </c>
      <c r="P34" s="552">
        <f t="shared" si="12"/>
        <v>0</v>
      </c>
      <c r="Q34" s="552">
        <f t="shared" si="12"/>
        <v>0</v>
      </c>
      <c r="R34" s="552">
        <f t="shared" si="12"/>
        <v>0</v>
      </c>
      <c r="S34" s="552">
        <f t="shared" si="12"/>
        <v>0</v>
      </c>
      <c r="T34" s="552">
        <f t="shared" si="12"/>
        <v>0</v>
      </c>
      <c r="U34" s="552">
        <f t="shared" si="12"/>
        <v>0</v>
      </c>
      <c r="V34" s="552">
        <f t="shared" si="12"/>
        <v>0</v>
      </c>
      <c r="W34" s="552">
        <f t="shared" si="12"/>
        <v>0</v>
      </c>
      <c r="X34" s="552">
        <f t="shared" si="12"/>
        <v>0</v>
      </c>
    </row>
    <row r="35" spans="2:29" ht="12.75" hidden="1" customHeight="1" x14ac:dyDescent="0.2">
      <c r="B35" s="552" t="s">
        <v>422</v>
      </c>
      <c r="C35" s="552"/>
      <c r="D35" s="552">
        <f t="shared" ref="D35:X35" si="13">((D36/D33)^(1/D18)-1)*100</f>
        <v>-100</v>
      </c>
      <c r="E35" s="552" t="e">
        <f t="shared" si="13"/>
        <v>#DIV/0!</v>
      </c>
      <c r="F35" s="552" t="e">
        <f t="shared" si="13"/>
        <v>#DIV/0!</v>
      </c>
      <c r="G35" s="552" t="e">
        <f t="shared" si="13"/>
        <v>#DIV/0!</v>
      </c>
      <c r="H35" s="552" t="e">
        <f t="shared" si="13"/>
        <v>#DIV/0!</v>
      </c>
      <c r="I35" s="552" t="e">
        <f t="shared" si="13"/>
        <v>#DIV/0!</v>
      </c>
      <c r="J35" s="552" t="e">
        <f t="shared" si="13"/>
        <v>#DIV/0!</v>
      </c>
      <c r="K35" s="552" t="e">
        <f t="shared" si="13"/>
        <v>#DIV/0!</v>
      </c>
      <c r="L35" s="552" t="e">
        <f t="shared" si="13"/>
        <v>#DIV/0!</v>
      </c>
      <c r="M35" s="552" t="e">
        <f t="shared" si="13"/>
        <v>#DIV/0!</v>
      </c>
      <c r="N35" s="552" t="e">
        <f t="shared" si="13"/>
        <v>#DIV/0!</v>
      </c>
      <c r="O35" s="552" t="e">
        <f t="shared" si="13"/>
        <v>#DIV/0!</v>
      </c>
      <c r="P35" s="552" t="e">
        <f t="shared" si="13"/>
        <v>#DIV/0!</v>
      </c>
      <c r="Q35" s="552" t="e">
        <f t="shared" si="13"/>
        <v>#DIV/0!</v>
      </c>
      <c r="R35" s="552" t="e">
        <f t="shared" si="13"/>
        <v>#DIV/0!</v>
      </c>
      <c r="S35" s="552" t="e">
        <f t="shared" si="13"/>
        <v>#DIV/0!</v>
      </c>
      <c r="T35" s="552" t="e">
        <f t="shared" si="13"/>
        <v>#DIV/0!</v>
      </c>
      <c r="U35" s="552" t="e">
        <f t="shared" si="13"/>
        <v>#DIV/0!</v>
      </c>
      <c r="V35" s="552" t="e">
        <f t="shared" si="13"/>
        <v>#DIV/0!</v>
      </c>
      <c r="W35" s="552" t="e">
        <f t="shared" si="13"/>
        <v>#DIV/0!</v>
      </c>
      <c r="X35" s="552" t="e">
        <f t="shared" si="13"/>
        <v>#DIV/0!</v>
      </c>
    </row>
    <row r="36" spans="2:29" ht="15" hidden="1" customHeight="1" x14ac:dyDescent="0.2">
      <c r="B36" s="553" t="s">
        <v>423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</row>
    <row r="37" spans="2:29" ht="15" hidden="1" customHeight="1" x14ac:dyDescent="0.2">
      <c r="B37" s="553" t="s">
        <v>424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</row>
    <row r="38" spans="2:29" ht="15" hidden="1" customHeight="1" x14ac:dyDescent="0.2">
      <c r="B38" s="553" t="s">
        <v>425</v>
      </c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</row>
    <row r="39" spans="2:29" ht="15" hidden="1" customHeight="1" x14ac:dyDescent="0.2">
      <c r="B39" s="552" t="s">
        <v>426</v>
      </c>
      <c r="C39" s="552"/>
      <c r="D39" s="552">
        <f t="shared" ref="D39:O39" si="14">(D31*D36)/1000</f>
        <v>0</v>
      </c>
      <c r="E39" s="552">
        <f t="shared" si="14"/>
        <v>0</v>
      </c>
      <c r="F39" s="552">
        <f t="shared" si="14"/>
        <v>0</v>
      </c>
      <c r="G39" s="552">
        <f t="shared" si="14"/>
        <v>0</v>
      </c>
      <c r="H39" s="552">
        <f t="shared" si="14"/>
        <v>0</v>
      </c>
      <c r="I39" s="552">
        <f t="shared" si="14"/>
        <v>0</v>
      </c>
      <c r="J39" s="552">
        <f t="shared" si="14"/>
        <v>0</v>
      </c>
      <c r="K39" s="552">
        <f t="shared" si="14"/>
        <v>0</v>
      </c>
      <c r="L39" s="552">
        <f t="shared" si="14"/>
        <v>0</v>
      </c>
      <c r="M39" s="552">
        <f t="shared" si="14"/>
        <v>0</v>
      </c>
      <c r="N39" s="552">
        <f t="shared" si="14"/>
        <v>0</v>
      </c>
      <c r="O39" s="552">
        <f t="shared" si="14"/>
        <v>0</v>
      </c>
      <c r="P39" s="552"/>
      <c r="Q39" s="552"/>
      <c r="R39" s="552"/>
      <c r="S39" s="552"/>
      <c r="T39" s="552"/>
      <c r="U39" s="552"/>
      <c r="V39" s="552"/>
      <c r="W39" s="552"/>
      <c r="X39" s="552"/>
    </row>
    <row r="40" spans="2:29" ht="15" hidden="1" customHeight="1" x14ac:dyDescent="0.2">
      <c r="B40" s="550" t="s">
        <v>427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0"/>
      <c r="X40" s="550"/>
    </row>
    <row r="41" spans="2:29" ht="12.75" hidden="1" customHeight="1" x14ac:dyDescent="0.2">
      <c r="B41" s="553" t="s">
        <v>428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</row>
    <row r="42" spans="2:29" ht="12.75" hidden="1" customHeight="1" x14ac:dyDescent="0.2">
      <c r="B42" s="552" t="s">
        <v>429</v>
      </c>
      <c r="C42" s="552"/>
      <c r="D42" s="552">
        <f t="shared" ref="D42:X42" si="15">IF(D41&gt;0,(D41/(D39-D34)),(0))</f>
        <v>0</v>
      </c>
      <c r="E42" s="552">
        <f t="shared" si="15"/>
        <v>0</v>
      </c>
      <c r="F42" s="552">
        <f t="shared" si="15"/>
        <v>0</v>
      </c>
      <c r="G42" s="552">
        <f t="shared" si="15"/>
        <v>0</v>
      </c>
      <c r="H42" s="552">
        <f t="shared" si="15"/>
        <v>0</v>
      </c>
      <c r="I42" s="552">
        <f t="shared" si="15"/>
        <v>0</v>
      </c>
      <c r="J42" s="552">
        <f t="shared" si="15"/>
        <v>0</v>
      </c>
      <c r="K42" s="552">
        <f t="shared" si="15"/>
        <v>0</v>
      </c>
      <c r="L42" s="552">
        <f t="shared" si="15"/>
        <v>0</v>
      </c>
      <c r="M42" s="552">
        <f t="shared" si="15"/>
        <v>0</v>
      </c>
      <c r="N42" s="552">
        <f t="shared" si="15"/>
        <v>0</v>
      </c>
      <c r="O42" s="552">
        <f t="shared" si="15"/>
        <v>0</v>
      </c>
      <c r="P42" s="552">
        <f t="shared" si="15"/>
        <v>0</v>
      </c>
      <c r="Q42" s="552">
        <f t="shared" si="15"/>
        <v>0</v>
      </c>
      <c r="R42" s="552">
        <f t="shared" si="15"/>
        <v>0</v>
      </c>
      <c r="S42" s="552">
        <f t="shared" si="15"/>
        <v>0</v>
      </c>
      <c r="T42" s="552">
        <f t="shared" si="15"/>
        <v>0</v>
      </c>
      <c r="U42" s="552">
        <f t="shared" si="15"/>
        <v>0</v>
      </c>
      <c r="V42" s="552">
        <f t="shared" si="15"/>
        <v>0</v>
      </c>
      <c r="W42" s="552">
        <f t="shared" si="15"/>
        <v>0</v>
      </c>
      <c r="X42" s="552">
        <f t="shared" si="15"/>
        <v>0</v>
      </c>
    </row>
    <row r="43" spans="2:29" s="265" customFormat="1" ht="12.75" hidden="1" customHeight="1" x14ac:dyDescent="0.2">
      <c r="B43" s="552" t="s">
        <v>430</v>
      </c>
      <c r="C43" s="552"/>
      <c r="D43" s="552">
        <f>D41</f>
        <v>0</v>
      </c>
      <c r="E43" s="552">
        <f>(D43+E41)</f>
        <v>0</v>
      </c>
      <c r="F43" s="552">
        <f>(E43+F41)</f>
        <v>0</v>
      </c>
      <c r="G43" s="552">
        <f t="shared" ref="G43:T43" si="16">(F43+G41)</f>
        <v>0</v>
      </c>
      <c r="H43" s="552">
        <f t="shared" si="16"/>
        <v>0</v>
      </c>
      <c r="I43" s="552">
        <f t="shared" si="16"/>
        <v>0</v>
      </c>
      <c r="J43" s="552">
        <f t="shared" si="16"/>
        <v>0</v>
      </c>
      <c r="K43" s="552">
        <f t="shared" si="16"/>
        <v>0</v>
      </c>
      <c r="L43" s="552">
        <f t="shared" si="16"/>
        <v>0</v>
      </c>
      <c r="M43" s="552">
        <f t="shared" si="16"/>
        <v>0</v>
      </c>
      <c r="N43" s="552">
        <f t="shared" si="16"/>
        <v>0</v>
      </c>
      <c r="O43" s="552">
        <f t="shared" si="16"/>
        <v>0</v>
      </c>
      <c r="P43" s="552">
        <f t="shared" si="16"/>
        <v>0</v>
      </c>
      <c r="Q43" s="552">
        <f t="shared" si="16"/>
        <v>0</v>
      </c>
      <c r="R43" s="552">
        <f t="shared" si="16"/>
        <v>0</v>
      </c>
      <c r="S43" s="552">
        <f t="shared" si="16"/>
        <v>0</v>
      </c>
      <c r="T43" s="552">
        <f t="shared" si="16"/>
        <v>0</v>
      </c>
      <c r="U43" s="552">
        <f>(T43+U41)</f>
        <v>0</v>
      </c>
      <c r="V43" s="552">
        <f>(U43+V41)</f>
        <v>0</v>
      </c>
      <c r="W43" s="552">
        <f>(V43+W41)</f>
        <v>0</v>
      </c>
      <c r="X43" s="552">
        <f>(W43+X41)</f>
        <v>0</v>
      </c>
    </row>
    <row r="44" spans="2:29" s="265" customFormat="1" ht="15" hidden="1" customHeight="1" x14ac:dyDescent="0.2">
      <c r="B44" s="552" t="s">
        <v>431</v>
      </c>
      <c r="C44" s="552"/>
      <c r="D44" s="552">
        <f>D42</f>
        <v>0</v>
      </c>
      <c r="E44" s="552">
        <f t="shared" ref="E44:X44" si="17">IF(E41&gt;0,(E43/(E39-$D34)),(0))</f>
        <v>0</v>
      </c>
      <c r="F44" s="552">
        <f t="shared" si="17"/>
        <v>0</v>
      </c>
      <c r="G44" s="552">
        <f t="shared" si="17"/>
        <v>0</v>
      </c>
      <c r="H44" s="552">
        <f t="shared" si="17"/>
        <v>0</v>
      </c>
      <c r="I44" s="552">
        <f t="shared" si="17"/>
        <v>0</v>
      </c>
      <c r="J44" s="552">
        <f t="shared" si="17"/>
        <v>0</v>
      </c>
      <c r="K44" s="552">
        <f t="shared" si="17"/>
        <v>0</v>
      </c>
      <c r="L44" s="552">
        <f t="shared" si="17"/>
        <v>0</v>
      </c>
      <c r="M44" s="552">
        <f t="shared" si="17"/>
        <v>0</v>
      </c>
      <c r="N44" s="552">
        <f t="shared" si="17"/>
        <v>0</v>
      </c>
      <c r="O44" s="552">
        <f t="shared" si="17"/>
        <v>0</v>
      </c>
      <c r="P44" s="552">
        <f t="shared" si="17"/>
        <v>0</v>
      </c>
      <c r="Q44" s="552">
        <f t="shared" si="17"/>
        <v>0</v>
      </c>
      <c r="R44" s="552">
        <f t="shared" si="17"/>
        <v>0</v>
      </c>
      <c r="S44" s="552">
        <f t="shared" si="17"/>
        <v>0</v>
      </c>
      <c r="T44" s="552">
        <f t="shared" si="17"/>
        <v>0</v>
      </c>
      <c r="U44" s="552">
        <f t="shared" si="17"/>
        <v>0</v>
      </c>
      <c r="V44" s="552">
        <f t="shared" si="17"/>
        <v>0</v>
      </c>
      <c r="W44" s="552">
        <f t="shared" si="17"/>
        <v>0</v>
      </c>
      <c r="X44" s="552">
        <f t="shared" si="17"/>
        <v>0</v>
      </c>
    </row>
    <row r="45" spans="2:29" ht="15" hidden="1" customHeight="1" x14ac:dyDescent="0.2"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</row>
    <row r="46" spans="2:29" s="198" customFormat="1" ht="13.5" hidden="1" thickBot="1" x14ac:dyDescent="0.25">
      <c r="B46" s="1419"/>
      <c r="C46" s="1419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5"/>
      <c r="U46" s="555"/>
      <c r="V46" s="555"/>
      <c r="W46" s="555"/>
      <c r="X46" s="555"/>
    </row>
    <row r="47" spans="2:29" ht="16.5" thickBot="1" x14ac:dyDescent="0.3">
      <c r="B47" s="5" t="s">
        <v>432</v>
      </c>
    </row>
    <row r="48" spans="2:29" ht="15" customHeight="1" thickBot="1" x14ac:dyDescent="0.3">
      <c r="B48" s="550" t="s">
        <v>466</v>
      </c>
      <c r="C48" s="550"/>
      <c r="D48" s="1400" t="s">
        <v>473</v>
      </c>
      <c r="E48" s="1401"/>
      <c r="F48" s="1402"/>
      <c r="G48" s="1403" t="s">
        <v>578</v>
      </c>
      <c r="H48" s="1404"/>
      <c r="I48" s="1404"/>
      <c r="J48" s="1404"/>
      <c r="K48" s="1404"/>
      <c r="L48" s="1404"/>
      <c r="M48" s="1404"/>
      <c r="N48" s="1404"/>
      <c r="O48" s="1404"/>
      <c r="P48" s="1404"/>
      <c r="Q48" s="1404"/>
      <c r="R48" s="1404"/>
      <c r="S48" s="1404"/>
      <c r="T48" s="1404"/>
      <c r="U48" s="1404"/>
      <c r="V48" s="1404"/>
      <c r="W48" s="1404"/>
      <c r="X48" s="1404"/>
      <c r="Y48" s="1404"/>
      <c r="Z48" s="1404"/>
      <c r="AA48" s="1404"/>
      <c r="AB48" s="1405"/>
      <c r="AC48" s="1406"/>
    </row>
    <row r="49" spans="2:29" ht="12.75" customHeight="1" x14ac:dyDescent="0.2">
      <c r="B49" s="552" t="s">
        <v>411</v>
      </c>
      <c r="C49" s="552"/>
      <c r="D49" s="784">
        <f>Q4</f>
        <v>82000</v>
      </c>
      <c r="E49" s="861">
        <f>D55</f>
        <v>77080</v>
      </c>
      <c r="F49" s="1067">
        <f>E55</f>
        <v>70219.88</v>
      </c>
      <c r="G49" s="1107">
        <f t="shared" ref="G49:S49" si="18">F55</f>
        <v>66006.6872</v>
      </c>
      <c r="H49" s="1108">
        <f t="shared" si="18"/>
        <v>63366.419712000003</v>
      </c>
      <c r="I49" s="1105">
        <f t="shared" si="18"/>
        <v>60831.76292352</v>
      </c>
      <c r="J49" s="1105">
        <f t="shared" si="18"/>
        <v>59554.295902126083</v>
      </c>
      <c r="K49" s="1105">
        <f t="shared" si="18"/>
        <v>58303.655688181432</v>
      </c>
      <c r="L49" s="1105">
        <f t="shared" si="18"/>
        <v>57604.011819923253</v>
      </c>
      <c r="M49" s="1105">
        <f t="shared" si="18"/>
        <v>57488.803796283406</v>
      </c>
      <c r="N49" s="1105">
        <f t="shared" si="18"/>
        <v>57373.826188690837</v>
      </c>
      <c r="O49" s="1105">
        <f t="shared" si="18"/>
        <v>57259.078536313456</v>
      </c>
      <c r="P49" s="1105">
        <f t="shared" si="18"/>
        <v>57144.560379240829</v>
      </c>
      <c r="Q49" s="1105">
        <f t="shared" si="18"/>
        <v>57030.271258482346</v>
      </c>
      <c r="R49" s="1105">
        <f t="shared" si="18"/>
        <v>56916.210715965382</v>
      </c>
      <c r="S49" s="1105">
        <f t="shared" si="18"/>
        <v>56802.378294533453</v>
      </c>
      <c r="T49" s="1105">
        <f>S55</f>
        <v>56688.773537944384</v>
      </c>
      <c r="U49" s="1105">
        <f>T55</f>
        <v>56575.395990868492</v>
      </c>
      <c r="V49" s="1105">
        <f t="shared" ref="V49:W49" si="19">U55</f>
        <v>56462.245198886754</v>
      </c>
      <c r="W49" s="1105">
        <f t="shared" si="19"/>
        <v>56349.32070848898</v>
      </c>
      <c r="X49" s="1105">
        <f t="shared" ref="X49:Y49" si="20">W55</f>
        <v>56236.622067071999</v>
      </c>
      <c r="Y49" s="1105">
        <f t="shared" si="20"/>
        <v>56124.148822937852</v>
      </c>
      <c r="Z49" s="1105">
        <f t="shared" ref="Z49" si="21">Y55</f>
        <v>56011.900525291974</v>
      </c>
      <c r="AA49" s="1105">
        <f t="shared" ref="AA49:AC49" si="22">Z55</f>
        <v>55899.876724241389</v>
      </c>
      <c r="AB49" s="1105">
        <f t="shared" si="22"/>
        <v>35788.076970792907</v>
      </c>
      <c r="AC49" s="1109">
        <f t="shared" si="22"/>
        <v>15716.500816851323</v>
      </c>
    </row>
    <row r="50" spans="2:29" s="265" customFormat="1" ht="12.75" customHeight="1" x14ac:dyDescent="0.2">
      <c r="B50" s="552" t="s">
        <v>413</v>
      </c>
      <c r="C50" s="552"/>
      <c r="D50" s="785">
        <f t="shared" ref="D50:Y50" si="23">D49*D52</f>
        <v>4920</v>
      </c>
      <c r="E50" s="772">
        <f t="shared" si="23"/>
        <v>6860.12</v>
      </c>
      <c r="F50" s="1068">
        <f t="shared" si="23"/>
        <v>4213.1927999999998</v>
      </c>
      <c r="G50" s="785">
        <f t="shared" si="23"/>
        <v>2640.267488</v>
      </c>
      <c r="H50" s="772">
        <f t="shared" si="23"/>
        <v>2534.6567884800002</v>
      </c>
      <c r="I50" s="552">
        <f t="shared" si="23"/>
        <v>1277.46702139392</v>
      </c>
      <c r="J50" s="552">
        <f t="shared" si="23"/>
        <v>1250.6402139446477</v>
      </c>
      <c r="K50" s="552">
        <f t="shared" si="23"/>
        <v>699.64386825817724</v>
      </c>
      <c r="L50" s="552">
        <f t="shared" si="23"/>
        <v>115.2080236398465</v>
      </c>
      <c r="M50" s="552">
        <f t="shared" si="23"/>
        <v>114.97760759256681</v>
      </c>
      <c r="N50" s="552">
        <f t="shared" si="23"/>
        <v>114.74765237738167</v>
      </c>
      <c r="O50" s="552">
        <f t="shared" si="23"/>
        <v>114.51815707262692</v>
      </c>
      <c r="P50" s="552">
        <f t="shared" si="23"/>
        <v>114.28912075848166</v>
      </c>
      <c r="Q50" s="552">
        <f t="shared" si="23"/>
        <v>114.06054251696469</v>
      </c>
      <c r="R50" s="552">
        <f t="shared" si="23"/>
        <v>113.83242143193077</v>
      </c>
      <c r="S50" s="552">
        <f t="shared" si="23"/>
        <v>113.60475658906691</v>
      </c>
      <c r="T50" s="552">
        <f t="shared" si="23"/>
        <v>113.37754707588877</v>
      </c>
      <c r="U50" s="552">
        <f t="shared" si="23"/>
        <v>113.15079198173699</v>
      </c>
      <c r="V50" s="552">
        <f t="shared" si="23"/>
        <v>112.92449039777351</v>
      </c>
      <c r="W50" s="552">
        <f t="shared" si="23"/>
        <v>112.69864141697796</v>
      </c>
      <c r="X50" s="552">
        <f t="shared" si="23"/>
        <v>112.473244134144</v>
      </c>
      <c r="Y50" s="552">
        <f t="shared" si="23"/>
        <v>112.24829764587571</v>
      </c>
      <c r="Z50" s="552">
        <f t="shared" ref="Z50:AA50" si="24">Z49*Z52</f>
        <v>112.02380105058396</v>
      </c>
      <c r="AA50" s="552">
        <f t="shared" si="24"/>
        <v>111.79975344848278</v>
      </c>
      <c r="AB50" s="552">
        <f t="shared" ref="AB50:AC50" si="25">AB49*AB52</f>
        <v>71.576153941585815</v>
      </c>
      <c r="AC50" s="1068">
        <f t="shared" si="25"/>
        <v>31.433001633702649</v>
      </c>
    </row>
    <row r="51" spans="2:29" s="265" customFormat="1" ht="15" customHeight="1" x14ac:dyDescent="0.2">
      <c r="B51" s="552" t="s">
        <v>532</v>
      </c>
      <c r="C51" s="552"/>
      <c r="D51" s="785">
        <f>D50</f>
        <v>4920</v>
      </c>
      <c r="E51" s="772">
        <f>D51+E50</f>
        <v>11780.119999999999</v>
      </c>
      <c r="F51" s="1068">
        <f t="shared" ref="F51:S51" si="26">E51+F50</f>
        <v>15993.3128</v>
      </c>
      <c r="G51" s="785">
        <f t="shared" si="26"/>
        <v>18633.580288000001</v>
      </c>
      <c r="H51" s="772">
        <f t="shared" si="26"/>
        <v>21168.23707648</v>
      </c>
      <c r="I51" s="552">
        <f t="shared" si="26"/>
        <v>22445.704097873921</v>
      </c>
      <c r="J51" s="552">
        <f t="shared" si="26"/>
        <v>23696.344311818568</v>
      </c>
      <c r="K51" s="552">
        <f t="shared" si="26"/>
        <v>24395.988180076743</v>
      </c>
      <c r="L51" s="552">
        <f t="shared" si="26"/>
        <v>24511.19620371659</v>
      </c>
      <c r="M51" s="552">
        <f t="shared" si="26"/>
        <v>24626.173811309156</v>
      </c>
      <c r="N51" s="552">
        <f t="shared" si="26"/>
        <v>24740.921463686536</v>
      </c>
      <c r="O51" s="552">
        <f t="shared" si="26"/>
        <v>24855.439620759164</v>
      </c>
      <c r="P51" s="552">
        <f t="shared" si="26"/>
        <v>24969.728741517647</v>
      </c>
      <c r="Q51" s="552">
        <f t="shared" si="26"/>
        <v>25083.78928403461</v>
      </c>
      <c r="R51" s="552">
        <f t="shared" si="26"/>
        <v>25197.621705466539</v>
      </c>
      <c r="S51" s="552">
        <f t="shared" si="26"/>
        <v>25311.226462055605</v>
      </c>
      <c r="T51" s="552">
        <f>S51+T50</f>
        <v>25424.604009131494</v>
      </c>
      <c r="U51" s="552">
        <f>T51+U50</f>
        <v>25537.754801113231</v>
      </c>
      <c r="V51" s="552">
        <f t="shared" ref="V51:W51" si="27">U51+V50</f>
        <v>25650.679291511005</v>
      </c>
      <c r="W51" s="552">
        <f t="shared" si="27"/>
        <v>25763.377932927982</v>
      </c>
      <c r="X51" s="552">
        <f t="shared" ref="X51" si="28">W51+X50</f>
        <v>25875.851177062126</v>
      </c>
      <c r="Y51" s="552">
        <f t="shared" ref="Y51" si="29">X51+Y50</f>
        <v>25988.099474708</v>
      </c>
      <c r="Z51" s="552">
        <f t="shared" ref="Z51" si="30">Y51+Z50</f>
        <v>26100.123275758586</v>
      </c>
      <c r="AA51" s="552">
        <f t="shared" ref="AA51:AC51" si="31">Z51+AA50</f>
        <v>26211.923029207068</v>
      </c>
      <c r="AB51" s="552">
        <f t="shared" si="31"/>
        <v>26283.499183148655</v>
      </c>
      <c r="AC51" s="1068">
        <f t="shared" si="31"/>
        <v>26314.932184782359</v>
      </c>
    </row>
    <row r="52" spans="2:29" s="265" customFormat="1" ht="15" customHeight="1" x14ac:dyDescent="0.2">
      <c r="B52" s="552" t="s">
        <v>533</v>
      </c>
      <c r="C52" s="552"/>
      <c r="D52" s="897">
        <f>VLOOKUP(D58,'Input data'!$F$6:$H$54,3,FALSE)</f>
        <v>0.06</v>
      </c>
      <c r="E52" s="898">
        <f>VLOOKUP(E59,'Input data'!$F$6:$H$54,3,FALSE)</f>
        <v>8.8999999999999996E-2</v>
      </c>
      <c r="F52" s="1069">
        <f>VLOOKUP(F59,'Input data'!$F$6:$H$54,3,FALSE)</f>
        <v>0.06</v>
      </c>
      <c r="G52" s="897">
        <f>VLOOKUP(G59,'Input data'!$F$6:$H$54,3,FALSE)</f>
        <v>0.04</v>
      </c>
      <c r="H52" s="898">
        <f>VLOOKUP(H59,'Input data'!$F$6:$H$54,3,FALSE)</f>
        <v>0.04</v>
      </c>
      <c r="I52" s="899">
        <f>VLOOKUP(I59,'Input data'!$F$6:$H$54,3,FALSE)</f>
        <v>2.1000000000000001E-2</v>
      </c>
      <c r="J52" s="899">
        <f>VLOOKUP(J59,'Input data'!$F$6:$H$54,3,FALSE)</f>
        <v>2.1000000000000001E-2</v>
      </c>
      <c r="K52" s="899">
        <f>VLOOKUP(K59,'Input data'!$F$6:$H$54,3,FALSE)</f>
        <v>1.2E-2</v>
      </c>
      <c r="L52" s="899">
        <f>VLOOKUP(L59,'Input data'!$F$6:$H$54,3,FALSE)</f>
        <v>2E-3</v>
      </c>
      <c r="M52" s="899">
        <f>VLOOKUP(M59,'Input data'!$F$6:$H$54,3,FALSE)</f>
        <v>2E-3</v>
      </c>
      <c r="N52" s="899">
        <f>VLOOKUP(N59,'Input data'!$F$6:$H$54,3,FALSE)</f>
        <v>2E-3</v>
      </c>
      <c r="O52" s="899">
        <f>VLOOKUP(O59,'Input data'!$F$6:$H$54,3,FALSE)</f>
        <v>2E-3</v>
      </c>
      <c r="P52" s="899">
        <f>VLOOKUP(P59,'Input data'!$F$6:$H$54,3,FALSE)</f>
        <v>2E-3</v>
      </c>
      <c r="Q52" s="899">
        <f>VLOOKUP(Q59,'Input data'!$F$6:$H$54,3,FALSE)</f>
        <v>2E-3</v>
      </c>
      <c r="R52" s="899">
        <f>VLOOKUP(R59,'Input data'!$F$6:$H$54,3,FALSE)</f>
        <v>2E-3</v>
      </c>
      <c r="S52" s="899">
        <f>VLOOKUP(S59,'Input data'!$F$6:$H$54,3,FALSE)</f>
        <v>2E-3</v>
      </c>
      <c r="T52" s="899">
        <f>VLOOKUP(T59,'Input data'!$F$6:$H$54,3,FALSE)</f>
        <v>2E-3</v>
      </c>
      <c r="U52" s="899">
        <f>VLOOKUP(U59,'Input data'!$F$6:$H$54,3,FALSE)</f>
        <v>2E-3</v>
      </c>
      <c r="V52" s="899">
        <f>VLOOKUP(V59,'Input data'!$F$6:$H$54,3,FALSE)</f>
        <v>2E-3</v>
      </c>
      <c r="W52" s="899">
        <f>VLOOKUP(W59,'Input data'!$F$6:$H$54,3,FALSE)</f>
        <v>2E-3</v>
      </c>
      <c r="X52" s="899">
        <f>VLOOKUP(X59,'Input data'!$F$6:$H$54,3,FALSE)</f>
        <v>2E-3</v>
      </c>
      <c r="Y52" s="899">
        <f>VLOOKUP(Y59,'Input data'!$F$6:$H$54,3,FALSE)</f>
        <v>2E-3</v>
      </c>
      <c r="Z52" s="899">
        <f>VLOOKUP(Z59,'Input data'!$F$6:$H$54,3,FALSE)</f>
        <v>2E-3</v>
      </c>
      <c r="AA52" s="899">
        <f>VLOOKUP(AA59,'Input data'!$F$6:$H$54,3,FALSE)</f>
        <v>2E-3</v>
      </c>
      <c r="AB52" s="899">
        <f>VLOOKUP(AB59,'Input data'!$F$6:$H$54,3,FALSE)</f>
        <v>2E-3</v>
      </c>
      <c r="AC52" s="1069">
        <f>VLOOKUP(AC59,'Input data'!$F$6:$H$54,3,FALSE)</f>
        <v>2E-3</v>
      </c>
    </row>
    <row r="53" spans="2:29" s="265" customFormat="1" ht="15" customHeight="1" x14ac:dyDescent="0.2">
      <c r="B53" s="552" t="s">
        <v>733</v>
      </c>
      <c r="C53" s="552"/>
      <c r="D53" s="787">
        <f t="shared" ref="D53:Y53" si="32">D51/$D49</f>
        <v>0.06</v>
      </c>
      <c r="E53" s="774">
        <f t="shared" si="32"/>
        <v>0.14365999999999998</v>
      </c>
      <c r="F53" s="1070">
        <f t="shared" si="32"/>
        <v>0.1950404</v>
      </c>
      <c r="G53" s="787">
        <f t="shared" si="32"/>
        <v>0.227238784</v>
      </c>
      <c r="H53" s="774">
        <f t="shared" si="32"/>
        <v>0.25814923264</v>
      </c>
      <c r="I53" s="651">
        <f t="shared" si="32"/>
        <v>0.27372809875456</v>
      </c>
      <c r="J53" s="651">
        <f t="shared" si="32"/>
        <v>0.28897980868071427</v>
      </c>
      <c r="K53" s="651">
        <f t="shared" si="32"/>
        <v>0.29751205097654565</v>
      </c>
      <c r="L53" s="651">
        <f t="shared" si="32"/>
        <v>0.29891702687459254</v>
      </c>
      <c r="M53" s="651">
        <f t="shared" si="32"/>
        <v>0.30031919282084335</v>
      </c>
      <c r="N53" s="651">
        <f t="shared" si="32"/>
        <v>0.30171855443520168</v>
      </c>
      <c r="O53" s="651">
        <f t="shared" si="32"/>
        <v>0.30311511732633128</v>
      </c>
      <c r="P53" s="651">
        <f t="shared" si="32"/>
        <v>0.30450888709167862</v>
      </c>
      <c r="Q53" s="651">
        <f t="shared" si="32"/>
        <v>0.30589986931749524</v>
      </c>
      <c r="R53" s="651">
        <f t="shared" si="32"/>
        <v>0.30728806957886023</v>
      </c>
      <c r="S53" s="651">
        <f t="shared" si="32"/>
        <v>0.30867349343970252</v>
      </c>
      <c r="T53" s="651">
        <f t="shared" si="32"/>
        <v>0.31005614645282309</v>
      </c>
      <c r="U53" s="651">
        <f t="shared" si="32"/>
        <v>0.31143603415991744</v>
      </c>
      <c r="V53" s="651">
        <f t="shared" si="32"/>
        <v>0.31281316209159765</v>
      </c>
      <c r="W53" s="651">
        <f t="shared" si="32"/>
        <v>0.31418753576741443</v>
      </c>
      <c r="X53" s="651">
        <f t="shared" si="32"/>
        <v>0.31555916069587958</v>
      </c>
      <c r="Y53" s="651">
        <f t="shared" si="32"/>
        <v>0.3169280423744878</v>
      </c>
      <c r="Z53" s="651">
        <f t="shared" ref="Z53:AA53" si="33">Z51/$D49</f>
        <v>0.31829418628973888</v>
      </c>
      <c r="AA53" s="651">
        <f t="shared" si="33"/>
        <v>0.31965759791715936</v>
      </c>
      <c r="AB53" s="651">
        <f t="shared" ref="AB53:AC53" si="34">AB51/$D49</f>
        <v>0.32053047784327626</v>
      </c>
      <c r="AC53" s="1070">
        <f t="shared" si="34"/>
        <v>0.3209138071314922</v>
      </c>
    </row>
    <row r="54" spans="2:29" x14ac:dyDescent="0.2">
      <c r="B54" s="552" t="s">
        <v>417</v>
      </c>
      <c r="C54" s="552"/>
      <c r="D54" s="785">
        <f t="shared" ref="D54:Y54" si="35">IF(D57&gt;$Q$7,IF(D49&gt;$Q$6,$Q$6,D49-D50),0)</f>
        <v>0</v>
      </c>
      <c r="E54" s="772">
        <f t="shared" si="35"/>
        <v>0</v>
      </c>
      <c r="F54" s="1068">
        <f t="shared" si="35"/>
        <v>0</v>
      </c>
      <c r="G54" s="785">
        <f t="shared" si="35"/>
        <v>0</v>
      </c>
      <c r="H54" s="772">
        <f t="shared" si="35"/>
        <v>0</v>
      </c>
      <c r="I54" s="552">
        <f t="shared" si="35"/>
        <v>0</v>
      </c>
      <c r="J54" s="552">
        <f t="shared" si="35"/>
        <v>0</v>
      </c>
      <c r="K54" s="552">
        <f t="shared" si="35"/>
        <v>0</v>
      </c>
      <c r="L54" s="552">
        <f t="shared" si="35"/>
        <v>0</v>
      </c>
      <c r="M54" s="552">
        <f t="shared" si="35"/>
        <v>0</v>
      </c>
      <c r="N54" s="552">
        <f t="shared" si="35"/>
        <v>0</v>
      </c>
      <c r="O54" s="552">
        <f t="shared" si="35"/>
        <v>0</v>
      </c>
      <c r="P54" s="552">
        <f t="shared" si="35"/>
        <v>0</v>
      </c>
      <c r="Q54" s="552">
        <f t="shared" si="35"/>
        <v>0</v>
      </c>
      <c r="R54" s="552">
        <f t="shared" si="35"/>
        <v>0</v>
      </c>
      <c r="S54" s="552">
        <f t="shared" si="35"/>
        <v>0</v>
      </c>
      <c r="T54" s="552">
        <f t="shared" si="35"/>
        <v>0</v>
      </c>
      <c r="U54" s="552">
        <f t="shared" si="35"/>
        <v>0</v>
      </c>
      <c r="V54" s="552">
        <f t="shared" si="35"/>
        <v>0</v>
      </c>
      <c r="W54" s="552">
        <f t="shared" si="35"/>
        <v>0</v>
      </c>
      <c r="X54" s="552">
        <f t="shared" si="35"/>
        <v>0</v>
      </c>
      <c r="Y54" s="552">
        <f t="shared" si="35"/>
        <v>0</v>
      </c>
      <c r="Z54" s="552">
        <f t="shared" ref="Z54:AA54" si="36">IF(Z57&gt;$Q$7,IF(Z49&gt;$Q$6,$Q$6,Z49-Z50),0)</f>
        <v>0</v>
      </c>
      <c r="AA54" s="552">
        <f t="shared" si="36"/>
        <v>20000</v>
      </c>
      <c r="AB54" s="552">
        <f t="shared" ref="AB54:AC54" si="37">IF(AB57&gt;$Q$7,IF(AB49&gt;$Q$6,$Q$6,AB49-AB50),0)</f>
        <v>20000</v>
      </c>
      <c r="AC54" s="1068">
        <f t="shared" si="37"/>
        <v>15685.067815217621</v>
      </c>
    </row>
    <row r="55" spans="2:29" ht="15" customHeight="1" x14ac:dyDescent="0.2">
      <c r="B55" s="552" t="s">
        <v>418</v>
      </c>
      <c r="C55" s="552"/>
      <c r="D55" s="785">
        <f>D49-D50-D54</f>
        <v>77080</v>
      </c>
      <c r="E55" s="772">
        <f t="shared" ref="E55:Y55" si="38">E49-E50-E54</f>
        <v>70219.88</v>
      </c>
      <c r="F55" s="1068">
        <f t="shared" si="38"/>
        <v>66006.6872</v>
      </c>
      <c r="G55" s="785">
        <f t="shared" si="38"/>
        <v>63366.419712000003</v>
      </c>
      <c r="H55" s="772">
        <f t="shared" si="38"/>
        <v>60831.76292352</v>
      </c>
      <c r="I55" s="552">
        <f t="shared" si="38"/>
        <v>59554.295902126083</v>
      </c>
      <c r="J55" s="552">
        <f t="shared" si="38"/>
        <v>58303.655688181432</v>
      </c>
      <c r="K55" s="552">
        <f t="shared" si="38"/>
        <v>57604.011819923253</v>
      </c>
      <c r="L55" s="552">
        <f t="shared" si="38"/>
        <v>57488.803796283406</v>
      </c>
      <c r="M55" s="552">
        <f t="shared" si="38"/>
        <v>57373.826188690837</v>
      </c>
      <c r="N55" s="552">
        <f t="shared" si="38"/>
        <v>57259.078536313456</v>
      </c>
      <c r="O55" s="552">
        <f t="shared" si="38"/>
        <v>57144.560379240829</v>
      </c>
      <c r="P55" s="552">
        <f t="shared" si="38"/>
        <v>57030.271258482346</v>
      </c>
      <c r="Q55" s="552">
        <f t="shared" si="38"/>
        <v>56916.210715965382</v>
      </c>
      <c r="R55" s="552">
        <f t="shared" si="38"/>
        <v>56802.378294533453</v>
      </c>
      <c r="S55" s="552">
        <f t="shared" si="38"/>
        <v>56688.773537944384</v>
      </c>
      <c r="T55" s="552">
        <f t="shared" si="38"/>
        <v>56575.395990868492</v>
      </c>
      <c r="U55" s="552">
        <f t="shared" si="38"/>
        <v>56462.245198886754</v>
      </c>
      <c r="V55" s="552">
        <f t="shared" si="38"/>
        <v>56349.32070848898</v>
      </c>
      <c r="W55" s="552">
        <f t="shared" si="38"/>
        <v>56236.622067071999</v>
      </c>
      <c r="X55" s="552">
        <f t="shared" si="38"/>
        <v>56124.148822937852</v>
      </c>
      <c r="Y55" s="552">
        <f t="shared" si="38"/>
        <v>56011.900525291974</v>
      </c>
      <c r="Z55" s="552">
        <f t="shared" ref="Z55:AA55" si="39">Z49-Z50-Z54</f>
        <v>55899.876724241389</v>
      </c>
      <c r="AA55" s="552">
        <f t="shared" si="39"/>
        <v>35788.076970792907</v>
      </c>
      <c r="AB55" s="552">
        <f t="shared" ref="AB55:AC55" si="40">AB49-AB50-AB54</f>
        <v>15716.500816851323</v>
      </c>
      <c r="AC55" s="1068">
        <f t="shared" si="40"/>
        <v>0</v>
      </c>
    </row>
    <row r="56" spans="2:29" ht="15" customHeight="1" x14ac:dyDescent="0.2">
      <c r="B56" s="550" t="s">
        <v>433</v>
      </c>
      <c r="C56" s="550"/>
      <c r="D56" s="788"/>
      <c r="E56" s="771"/>
      <c r="F56" s="1071"/>
      <c r="G56" s="788"/>
      <c r="H56" s="771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887"/>
      <c r="Z56" s="887"/>
      <c r="AA56" s="887"/>
      <c r="AB56" s="887"/>
      <c r="AC56" s="1087"/>
    </row>
    <row r="57" spans="2:29" ht="12.75" customHeight="1" x14ac:dyDescent="0.2">
      <c r="B57" s="552" t="s">
        <v>434</v>
      </c>
      <c r="C57" s="552"/>
      <c r="D57" s="878">
        <f>Q5</f>
        <v>2</v>
      </c>
      <c r="E57" s="772">
        <f>D61</f>
        <v>5.0105549604983279</v>
      </c>
      <c r="F57" s="1068">
        <f>E61</f>
        <v>11.031052910719271</v>
      </c>
      <c r="G57" s="785">
        <f t="shared" ref="G57:L57" si="41">F61</f>
        <v>26.170267579102475</v>
      </c>
      <c r="H57" s="772">
        <f t="shared" si="41"/>
        <v>45.389872599582816</v>
      </c>
      <c r="I57" s="552">
        <f t="shared" si="41"/>
        <v>80.182844297150567</v>
      </c>
      <c r="J57" s="552">
        <f t="shared" si="41"/>
        <v>127.31989076246603</v>
      </c>
      <c r="K57" s="552">
        <f t="shared" si="41"/>
        <v>187.76794214817855</v>
      </c>
      <c r="L57" s="552">
        <f t="shared" si="41"/>
        <v>256.53710998352716</v>
      </c>
      <c r="M57" s="552">
        <f>L61</f>
        <v>318.01248261191046</v>
      </c>
      <c r="N57" s="552">
        <f t="shared" ref="N57:T57" si="42">M61</f>
        <v>379.28539621793004</v>
      </c>
      <c r="O57" s="552">
        <f t="shared" si="42"/>
        <v>449.80018016620897</v>
      </c>
      <c r="P57" s="552">
        <f t="shared" si="42"/>
        <v>527.1193101217483</v>
      </c>
      <c r="Q57" s="552">
        <f t="shared" si="42"/>
        <v>602.76142846372261</v>
      </c>
      <c r="R57" s="552">
        <f t="shared" si="42"/>
        <v>677.95731426260522</v>
      </c>
      <c r="S57" s="552">
        <f t="shared" si="42"/>
        <v>772.19970170353884</v>
      </c>
      <c r="T57" s="552">
        <f t="shared" si="42"/>
        <v>875.87528206205673</v>
      </c>
      <c r="U57" s="552">
        <f t="shared" ref="U57" si="43">T61</f>
        <v>995.66867476233176</v>
      </c>
      <c r="V57" s="552">
        <f t="shared" ref="V57" si="44">U61</f>
        <v>1127.1754669182537</v>
      </c>
      <c r="W57" s="552">
        <f t="shared" ref="W57" si="45">V61</f>
        <v>1278.8197691370328</v>
      </c>
      <c r="X57" s="552">
        <f t="shared" ref="X57" si="46">W61</f>
        <v>1440.1533829323976</v>
      </c>
      <c r="Y57" s="552">
        <f t="shared" ref="Y57" si="47">X61</f>
        <v>1615.6365125508103</v>
      </c>
      <c r="Z57" s="552">
        <f t="shared" ref="Z57" si="48">Y61</f>
        <v>1806.0255555599431</v>
      </c>
      <c r="AA57" s="552">
        <f t="shared" ref="AA57:AC57" si="49">Z61</f>
        <v>2008.2288744815762</v>
      </c>
      <c r="AB57" s="552">
        <f t="shared" si="49"/>
        <v>2240.9844003039639</v>
      </c>
      <c r="AC57" s="1068">
        <f t="shared" si="49"/>
        <v>2514.3674702089424</v>
      </c>
    </row>
    <row r="58" spans="2:29" ht="12.75" customHeight="1" x14ac:dyDescent="0.2">
      <c r="B58" s="552" t="s">
        <v>435</v>
      </c>
      <c r="C58" s="552"/>
      <c r="D58" s="785">
        <f>ROUNDUP(D57*1.1,0)</f>
        <v>3</v>
      </c>
      <c r="E58" s="772">
        <f t="shared" ref="E58:S58" si="50">ROUNDUP(E57*1.1,0)</f>
        <v>6</v>
      </c>
      <c r="F58" s="1068">
        <f t="shared" si="50"/>
        <v>13</v>
      </c>
      <c r="G58" s="785">
        <f t="shared" si="50"/>
        <v>29</v>
      </c>
      <c r="H58" s="772">
        <f t="shared" si="50"/>
        <v>50</v>
      </c>
      <c r="I58" s="552">
        <f t="shared" si="50"/>
        <v>89</v>
      </c>
      <c r="J58" s="552">
        <f t="shared" si="50"/>
        <v>141</v>
      </c>
      <c r="K58" s="552">
        <f t="shared" si="50"/>
        <v>207</v>
      </c>
      <c r="L58" s="552">
        <f t="shared" si="50"/>
        <v>283</v>
      </c>
      <c r="M58" s="552">
        <f t="shared" si="50"/>
        <v>350</v>
      </c>
      <c r="N58" s="552">
        <f t="shared" si="50"/>
        <v>418</v>
      </c>
      <c r="O58" s="552">
        <f t="shared" si="50"/>
        <v>495</v>
      </c>
      <c r="P58" s="552">
        <f t="shared" si="50"/>
        <v>580</v>
      </c>
      <c r="Q58" s="552">
        <f t="shared" si="50"/>
        <v>664</v>
      </c>
      <c r="R58" s="552">
        <f t="shared" si="50"/>
        <v>746</v>
      </c>
      <c r="S58" s="552">
        <f t="shared" si="50"/>
        <v>850</v>
      </c>
      <c r="T58" s="552">
        <f t="shared" ref="T58:U58" si="51">ROUNDUP(T57*1.1,0)</f>
        <v>964</v>
      </c>
      <c r="U58" s="552">
        <f t="shared" si="51"/>
        <v>1096</v>
      </c>
      <c r="V58" s="552">
        <f t="shared" ref="V58:W58" si="52">ROUNDUP(V57*1.1,0)</f>
        <v>1240</v>
      </c>
      <c r="W58" s="552">
        <f t="shared" si="52"/>
        <v>1407</v>
      </c>
      <c r="X58" s="552">
        <f t="shared" ref="X58:Y58" si="53">ROUNDUP(X57*1.1,0)</f>
        <v>1585</v>
      </c>
      <c r="Y58" s="552">
        <f t="shared" si="53"/>
        <v>1778</v>
      </c>
      <c r="Z58" s="552">
        <f t="shared" ref="Z58:AA58" si="54">ROUNDUP(Z57*1.1,0)</f>
        <v>1987</v>
      </c>
      <c r="AA58" s="552">
        <f t="shared" si="54"/>
        <v>2210</v>
      </c>
      <c r="AB58" s="552">
        <f t="shared" ref="AB58:AC58" si="55">ROUNDUP(AB57*1.1,0)</f>
        <v>2466</v>
      </c>
      <c r="AC58" s="1068">
        <f t="shared" si="55"/>
        <v>2766</v>
      </c>
    </row>
    <row r="59" spans="2:29" ht="12.75" customHeight="1" x14ac:dyDescent="0.2">
      <c r="B59" s="552" t="s">
        <v>436</v>
      </c>
      <c r="C59" s="552"/>
      <c r="D59" s="785">
        <f>IF(D58&gt;0,(VLOOKUP(D58,'Input data'!$J$5:$K$3154,2,FALSE)),(0))</f>
        <v>1</v>
      </c>
      <c r="E59" s="772">
        <f>IF(E58&gt;0,(VLOOKUP(E58,'Input data'!$J$5:$K$3154,2,FALSE)),(0))</f>
        <v>2</v>
      </c>
      <c r="F59" s="1068">
        <f>IF(F58&gt;0,(VLOOKUP(F58,'Input data'!$J$5:$K$3154,2,FALSE)),(0))</f>
        <v>3</v>
      </c>
      <c r="G59" s="1088">
        <f>IF(G58&gt;0,(VLOOKUP(G58,'Input data'!$J$5:$K$3154,2,FALSE)),(0))</f>
        <v>4</v>
      </c>
      <c r="H59" s="772">
        <f>IF(H58&gt;0,(VLOOKUP(H58,'Input data'!$J$5:$K$3154,2,FALSE)),(0))</f>
        <v>4</v>
      </c>
      <c r="I59" s="772">
        <f>IF(I58&gt;0,(VLOOKUP(I58,'Input data'!$J$5:$K$3154,2,FALSE)),(0))</f>
        <v>5</v>
      </c>
      <c r="J59" s="772">
        <f>IF(J58&gt;0,(VLOOKUP(J58,'Input data'!$J$5:$K$3154,2,FALSE)),(0))</f>
        <v>6</v>
      </c>
      <c r="K59" s="772">
        <f>IF(K58&gt;0,(VLOOKUP(K58,'Input data'!$J$5:$K$3154,2,FALSE)),(0))</f>
        <v>7</v>
      </c>
      <c r="L59" s="772">
        <f>IF(L58&gt;0,(VLOOKUP(L58,'Input data'!$J$5:$K$3154,2,FALSE)),(0))</f>
        <v>8</v>
      </c>
      <c r="M59" s="772">
        <f>IF(M58&gt;0,(VLOOKUP(M58,'Input data'!$J$5:$K$3154,2,FALSE)),(0))</f>
        <v>9</v>
      </c>
      <c r="N59" s="772">
        <f>IF(N58&gt;0,(VLOOKUP(N58,'Input data'!$J$5:$K$3154,2,FALSE)),(0))</f>
        <v>9</v>
      </c>
      <c r="O59" s="772">
        <f>IF(O58&gt;0,(VLOOKUP(O58,'Input data'!$J$5:$K$3154,2,FALSE)),(0))</f>
        <v>10</v>
      </c>
      <c r="P59" s="772">
        <f>IF(P58&gt;0,(VLOOKUP(P58,'Input data'!$J$5:$K$3154,2,FALSE)),(0))</f>
        <v>11</v>
      </c>
      <c r="Q59" s="772">
        <f>IF(Q58&gt;0,(VLOOKUP(Q58,'Input data'!$J$5:$K$3154,2,FALSE)),(0))</f>
        <v>12</v>
      </c>
      <c r="R59" s="772">
        <f>IF(R58&gt;0,(VLOOKUP(R58,'Input data'!$J$5:$K$3154,2,FALSE)),(0))</f>
        <v>12</v>
      </c>
      <c r="S59" s="772">
        <f>IF(S58&gt;0,(VLOOKUP(S58,'Input data'!$J$5:$K$3154,2,FALSE)),(0))</f>
        <v>13</v>
      </c>
      <c r="T59" s="772">
        <f>IF(T58&gt;0,(VLOOKUP(T58,'Input data'!$J$5:$K$3154,2,FALSE)),(0))</f>
        <v>14</v>
      </c>
      <c r="U59" s="772">
        <f>IF(U58&gt;0,(VLOOKUP(U58,'Input data'!$J$5:$K$3154,2,FALSE)),(0))</f>
        <v>14</v>
      </c>
      <c r="V59" s="772">
        <f>IF(V58&gt;0,(VLOOKUP(V58,'Input data'!$J$5:$K$3154,2,FALSE)),(0))</f>
        <v>15</v>
      </c>
      <c r="W59" s="772">
        <f>IF(W58&gt;0,(VLOOKUP(W58,'Input data'!$J$5:$K$3154,2,FALSE)),(0))</f>
        <v>16</v>
      </c>
      <c r="X59" s="772">
        <f>IF(X58&gt;0,(VLOOKUP(X58,'Input data'!$J$5:$K$3154,2,FALSE)),(0))</f>
        <v>16</v>
      </c>
      <c r="Y59" s="772">
        <f>IF(Y58&gt;0,(VLOOKUP(Y58,'Input data'!$J$5:$K$3154,2,FALSE)),(0))</f>
        <v>17</v>
      </c>
      <c r="Z59" s="772">
        <f>IF(Z58&gt;0,(VLOOKUP(Z58,'Input data'!$J$5:$K$3154,2,FALSE)),(0))</f>
        <v>18</v>
      </c>
      <c r="AA59" s="772">
        <f>IF(AA58&gt;0,(VLOOKUP(AA58,'Input data'!$J$5:$K$3154,2,FALSE)),(0))</f>
        <v>18</v>
      </c>
      <c r="AB59" s="772">
        <f>IF(AB58&gt;0,(VLOOKUP(AB58,'Input data'!$J$5:$K$3154,2,FALSE)),(0))</f>
        <v>19</v>
      </c>
      <c r="AC59" s="1068">
        <f>IF(AC58&gt;0,(VLOOKUP(AC58,'Input data'!$J$5:$K$3154,2,FALSE)),(0))</f>
        <v>20</v>
      </c>
    </row>
    <row r="60" spans="2:29" ht="12.75" customHeight="1" x14ac:dyDescent="0.2">
      <c r="B60" s="552" t="s">
        <v>422</v>
      </c>
      <c r="C60" s="552"/>
      <c r="D60" s="960">
        <f>VLOOKUP(D59,'Input data'!$C$6:$D$26,2,FALSE)</f>
        <v>3.0068999999999999</v>
      </c>
      <c r="E60" s="961">
        <f>VLOOKUP(E59,'Input data'!$C$6:$D$26,2,FALSE)</f>
        <v>2.8585499999999997</v>
      </c>
      <c r="F60" s="1072">
        <f>VLOOKUP(F59,'Input data'!$C$6:$D$26,2,FALSE)</f>
        <v>2.8260000000000001</v>
      </c>
      <c r="G60" s="960">
        <f>VLOOKUP(G59,'Input data'!$C$6:$D$26,2,FALSE)</f>
        <v>1.8524999999999998</v>
      </c>
      <c r="H60" s="961">
        <f>VLOOKUP(H59,'Input data'!$C$6:$D$26,2,FALSE)</f>
        <v>1.8524999999999998</v>
      </c>
      <c r="I60" s="961">
        <f>VLOOKUP(I59,'Input data'!$C$6:$D$26,2,FALSE)</f>
        <v>1.55325</v>
      </c>
      <c r="J60" s="961">
        <f>VLOOKUP(J59,'Input data'!$C$6:$D$26,2,FALSE)</f>
        <v>1.2611249999999998</v>
      </c>
      <c r="K60" s="963">
        <f>VLOOKUP(K59,'Input data'!$C$6:$D$26,2,FALSE)</f>
        <v>1.0117499999999999</v>
      </c>
      <c r="L60" s="961">
        <f>VLOOKUP(L59,'Input data'!$C$6:$D$26,2,FALSE)</f>
        <v>0.71862749999999997</v>
      </c>
      <c r="M60" s="961">
        <f>VLOOKUP(M59,'Input data'!$C$6:$D$26,2,FALSE)</f>
        <v>0.56999999999999995</v>
      </c>
      <c r="N60" s="961">
        <f>VLOOKUP(N59,'Input data'!$C$6:$D$26,2,FALSE)</f>
        <v>0.56999999999999995</v>
      </c>
      <c r="O60" s="963">
        <f>VLOOKUP(O59,'Input data'!$C$6:$D$26,2,FALSE)</f>
        <v>0.51300000000000001</v>
      </c>
      <c r="P60" s="961">
        <f>VLOOKUP(P59,'Input data'!$C$6:$D$26,2,FALSE)</f>
        <v>0.4335</v>
      </c>
      <c r="Q60" s="961">
        <f>VLOOKUP(Q59,'Input data'!$C$6:$D$26,2,FALSE)</f>
        <v>0.42075000000000001</v>
      </c>
      <c r="R60" s="961">
        <f>VLOOKUP(R59,'Input data'!$C$6:$D$26,2,FALSE)</f>
        <v>0.42075000000000001</v>
      </c>
      <c r="S60" s="963">
        <f>VLOOKUP(S59,'Input data'!$C$6:$D$26,2,FALSE)</f>
        <v>0.42081800000000003</v>
      </c>
      <c r="T60" s="961">
        <f>VLOOKUP(T59,'Input data'!$C$6:$D$26,2,FALSE)</f>
        <v>0.41437499999999999</v>
      </c>
      <c r="U60" s="961">
        <f>VLOOKUP(U59,'Input data'!$C$6:$D$26,2,FALSE)</f>
        <v>0.41437499999999999</v>
      </c>
      <c r="V60" s="961">
        <f>VLOOKUP(V59,'Input data'!$C$6:$D$26,2,FALSE)</f>
        <v>0.40799999999999997</v>
      </c>
      <c r="W60" s="963">
        <f>VLOOKUP(W59,'Input data'!$C$6:$D$26,2,FALSE)</f>
        <v>0.38400000000000001</v>
      </c>
      <c r="X60" s="961">
        <f>VLOOKUP(X59,'Input data'!$C$6:$D$26,2,FALSE)</f>
        <v>0.38400000000000001</v>
      </c>
      <c r="Y60" s="961">
        <f>VLOOKUP(Y59,'Input data'!$C$6:$D$26,2,FALSE)</f>
        <v>0.36</v>
      </c>
      <c r="Z60" s="961">
        <f>VLOOKUP(Z59,'Input data'!$C$6:$D$26,2,FALSE)</f>
        <v>0.354375</v>
      </c>
      <c r="AA60" s="963">
        <f>VLOOKUP(AA59,'Input data'!$C$6:$D$26,2,FALSE)</f>
        <v>0.354375</v>
      </c>
      <c r="AB60" s="1106">
        <f>VLOOKUP(AB59,'Input data'!$C$6:$D$26,2,FALSE)</f>
        <v>0.37200000000000005</v>
      </c>
      <c r="AC60" s="1104">
        <f>VLOOKUP(AC59,'Input data'!$C$6:$D$26,2,FALSE)</f>
        <v>0.37200000000000005</v>
      </c>
    </row>
    <row r="61" spans="2:29" ht="15" customHeight="1" x14ac:dyDescent="0.2">
      <c r="B61" s="552" t="s">
        <v>437</v>
      </c>
      <c r="C61" s="552"/>
      <c r="D61" s="785">
        <f t="shared" ref="D61:Y61" si="56">IF(D49&gt;0,D57*(1+(D60/100))^D18,D57)</f>
        <v>5.0105549604983279</v>
      </c>
      <c r="E61" s="772">
        <f t="shared" si="56"/>
        <v>11.031052910719271</v>
      </c>
      <c r="F61" s="1068">
        <f t="shared" si="56"/>
        <v>26.170267579102475</v>
      </c>
      <c r="G61" s="785">
        <f t="shared" si="56"/>
        <v>45.389872599582816</v>
      </c>
      <c r="H61" s="772">
        <f t="shared" si="56"/>
        <v>80.182844297150567</v>
      </c>
      <c r="I61" s="552">
        <f t="shared" si="56"/>
        <v>127.31989076246603</v>
      </c>
      <c r="J61" s="552">
        <f t="shared" si="56"/>
        <v>187.76794214817855</v>
      </c>
      <c r="K61" s="552">
        <f t="shared" si="56"/>
        <v>256.53710998352716</v>
      </c>
      <c r="L61" s="552">
        <f t="shared" si="56"/>
        <v>318.01248261191046</v>
      </c>
      <c r="M61" s="552">
        <f t="shared" si="56"/>
        <v>379.28539621793004</v>
      </c>
      <c r="N61" s="552">
        <f t="shared" si="56"/>
        <v>449.80018016620897</v>
      </c>
      <c r="O61" s="552">
        <f t="shared" si="56"/>
        <v>527.1193101217483</v>
      </c>
      <c r="P61" s="552">
        <f t="shared" si="56"/>
        <v>602.76142846372261</v>
      </c>
      <c r="Q61" s="552">
        <f t="shared" si="56"/>
        <v>677.95731426260522</v>
      </c>
      <c r="R61" s="552">
        <f t="shared" si="56"/>
        <v>772.19970170353884</v>
      </c>
      <c r="S61" s="552">
        <f t="shared" si="56"/>
        <v>875.87528206205673</v>
      </c>
      <c r="T61" s="552">
        <f t="shared" si="56"/>
        <v>995.66867476233176</v>
      </c>
      <c r="U61" s="552">
        <f t="shared" si="56"/>
        <v>1127.1754669182537</v>
      </c>
      <c r="V61" s="552">
        <f t="shared" si="56"/>
        <v>1278.8197691370328</v>
      </c>
      <c r="W61" s="552">
        <f t="shared" si="56"/>
        <v>1440.1533829323976</v>
      </c>
      <c r="X61" s="552">
        <f t="shared" si="56"/>
        <v>1615.6365125508103</v>
      </c>
      <c r="Y61" s="552">
        <f t="shared" si="56"/>
        <v>1806.0255555599431</v>
      </c>
      <c r="Z61" s="552">
        <f t="shared" ref="Z61:AA61" si="57">IF(Z49&gt;0,Z57*(1+(Z60/100))^Z18,Z57)</f>
        <v>2008.2288744815762</v>
      </c>
      <c r="AA61" s="552">
        <f t="shared" si="57"/>
        <v>2240.9844003039639</v>
      </c>
      <c r="AB61" s="552">
        <f t="shared" ref="AB61:AC61" si="58">IF(AB49&gt;0,AB57*(1+(AB60/100))^AB18,AB57)</f>
        <v>2514.3674702089424</v>
      </c>
      <c r="AC61" s="1068">
        <f t="shared" si="58"/>
        <v>2789.8505010741828</v>
      </c>
    </row>
    <row r="62" spans="2:29" ht="12.75" customHeight="1" x14ac:dyDescent="0.2">
      <c r="B62" s="552" t="s">
        <v>438</v>
      </c>
      <c r="C62" s="552"/>
      <c r="D62" s="785">
        <f t="shared" ref="D62:Y62" si="59">(D49*D57)/1000</f>
        <v>164</v>
      </c>
      <c r="E62" s="772">
        <f t="shared" si="59"/>
        <v>386.21357635521116</v>
      </c>
      <c r="F62" s="1068">
        <f t="shared" si="59"/>
        <v>774.59921166435799</v>
      </c>
      <c r="G62" s="785">
        <f t="shared" si="59"/>
        <v>1727.4126660341183</v>
      </c>
      <c r="H62" s="772">
        <f t="shared" si="59"/>
        <v>2876.193717819373</v>
      </c>
      <c r="I62" s="552">
        <f t="shared" si="59"/>
        <v>4877.6637748177809</v>
      </c>
      <c r="J62" s="552">
        <f t="shared" si="59"/>
        <v>7582.4464486942707</v>
      </c>
      <c r="K62" s="552">
        <f t="shared" si="59"/>
        <v>10947.557448285772</v>
      </c>
      <c r="L62" s="552">
        <f t="shared" si="59"/>
        <v>14777.566715740049</v>
      </c>
      <c r="M62" s="552">
        <f t="shared" si="59"/>
        <v>18282.157217645108</v>
      </c>
      <c r="N62" s="552">
        <f t="shared" si="59"/>
        <v>21761.054398516255</v>
      </c>
      <c r="O62" s="552">
        <f t="shared" si="59"/>
        <v>25755.143841784902</v>
      </c>
      <c r="P62" s="552">
        <f t="shared" si="59"/>
        <v>30122.001244316016</v>
      </c>
      <c r="Q62" s="552">
        <f t="shared" si="59"/>
        <v>34375.647769436408</v>
      </c>
      <c r="R62" s="552">
        <f t="shared" si="59"/>
        <v>38586.761355000403</v>
      </c>
      <c r="S62" s="552">
        <f t="shared" si="59"/>
        <v>43862.779575090302</v>
      </c>
      <c r="T62" s="552">
        <f t="shared" si="59"/>
        <v>49652.295512299097</v>
      </c>
      <c r="U62" s="552">
        <f t="shared" si="59"/>
        <v>56330.349550382169</v>
      </c>
      <c r="V62" s="552">
        <f t="shared" si="59"/>
        <v>63642.857595308109</v>
      </c>
      <c r="W62" s="552">
        <f t="shared" si="59"/>
        <v>72060.625299458508</v>
      </c>
      <c r="X62" s="552">
        <f t="shared" si="59"/>
        <v>80989.361514584467</v>
      </c>
      <c r="Y62" s="552">
        <f t="shared" si="59"/>
        <v>90676.224074173966</v>
      </c>
      <c r="Z62" s="552">
        <f t="shared" ref="Z62:AA62" si="60">(Z49*Z57)/1000</f>
        <v>101158.92376415871</v>
      </c>
      <c r="AA62" s="552">
        <f t="shared" si="60"/>
        <v>112259.74651758214</v>
      </c>
      <c r="AB62" s="552">
        <f t="shared" ref="AB62:AC62" si="61">(AB49*AB57)/1000</f>
        <v>80200.522208424445</v>
      </c>
      <c r="AC62" s="1068">
        <f t="shared" si="61"/>
        <v>39517.058399403235</v>
      </c>
    </row>
    <row r="63" spans="2:29" ht="15" customHeight="1" x14ac:dyDescent="0.2">
      <c r="B63" s="552" t="s">
        <v>439</v>
      </c>
      <c r="C63" s="552"/>
      <c r="D63" s="785">
        <f t="shared" ref="D63:S63" si="62">(D50*D58)/1000</f>
        <v>14.76</v>
      </c>
      <c r="E63" s="772">
        <f t="shared" si="62"/>
        <v>41.160719999999998</v>
      </c>
      <c r="F63" s="1068">
        <f t="shared" si="62"/>
        <v>54.7715064</v>
      </c>
      <c r="G63" s="785">
        <f t="shared" si="62"/>
        <v>76.567757151999999</v>
      </c>
      <c r="H63" s="772">
        <f t="shared" si="62"/>
        <v>126.73283942400001</v>
      </c>
      <c r="I63" s="552">
        <f t="shared" si="62"/>
        <v>113.69456490405889</v>
      </c>
      <c r="J63" s="552">
        <f t="shared" si="62"/>
        <v>176.34027016619532</v>
      </c>
      <c r="K63" s="552">
        <f t="shared" si="62"/>
        <v>144.82628072944269</v>
      </c>
      <c r="L63" s="552">
        <f t="shared" si="62"/>
        <v>32.603870690076562</v>
      </c>
      <c r="M63" s="552">
        <f t="shared" si="62"/>
        <v>40.242162657398381</v>
      </c>
      <c r="N63" s="552">
        <f t="shared" si="62"/>
        <v>47.964518693745539</v>
      </c>
      <c r="O63" s="552">
        <f t="shared" si="62"/>
        <v>56.686487750950327</v>
      </c>
      <c r="P63" s="552">
        <f t="shared" si="62"/>
        <v>66.287690039919369</v>
      </c>
      <c r="Q63" s="552">
        <f t="shared" si="62"/>
        <v>75.736200231264547</v>
      </c>
      <c r="R63" s="552">
        <f t="shared" si="62"/>
        <v>84.918986388220347</v>
      </c>
      <c r="S63" s="552">
        <f t="shared" si="62"/>
        <v>96.564043100706868</v>
      </c>
      <c r="T63" s="552">
        <f>(T50*T58)/1000</f>
        <v>109.29595538115677</v>
      </c>
      <c r="U63" s="552">
        <f t="shared" ref="U63" si="63">(U50*U58)/1000</f>
        <v>124.01326801198373</v>
      </c>
      <c r="V63" s="552">
        <f t="shared" ref="V63:W63" si="64">(V50*V58)/1000</f>
        <v>140.02636809323914</v>
      </c>
      <c r="W63" s="552">
        <f t="shared" si="64"/>
        <v>158.56698847368799</v>
      </c>
      <c r="X63" s="552">
        <f t="shared" ref="X63:Y63" si="65">(X50*X58)/1000</f>
        <v>178.27009195261823</v>
      </c>
      <c r="Y63" s="552">
        <f t="shared" si="65"/>
        <v>199.57747321436699</v>
      </c>
      <c r="Z63" s="552">
        <f t="shared" ref="Z63:AA63" si="66">(Z50*Z58)/1000</f>
        <v>222.5912926875103</v>
      </c>
      <c r="AA63" s="552">
        <f t="shared" si="66"/>
        <v>247.07745512114693</v>
      </c>
      <c r="AB63" s="552">
        <f t="shared" ref="AB63:AC63" si="67">(AB50*AB58)/1000</f>
        <v>176.50679561995062</v>
      </c>
      <c r="AC63" s="1068">
        <f t="shared" si="67"/>
        <v>86.943682518821532</v>
      </c>
    </row>
    <row r="64" spans="2:29" ht="15" customHeight="1" x14ac:dyDescent="0.2">
      <c r="B64" s="552" t="s">
        <v>440</v>
      </c>
      <c r="C64" s="552"/>
      <c r="D64" s="785">
        <f t="shared" ref="D64:S64" si="68">(D54*D57)/1000</f>
        <v>0</v>
      </c>
      <c r="E64" s="772">
        <f t="shared" si="68"/>
        <v>0</v>
      </c>
      <c r="F64" s="1068">
        <f t="shared" si="68"/>
        <v>0</v>
      </c>
      <c r="G64" s="785">
        <f t="shared" si="68"/>
        <v>0</v>
      </c>
      <c r="H64" s="772">
        <f t="shared" si="68"/>
        <v>0</v>
      </c>
      <c r="I64" s="552">
        <f t="shared" si="68"/>
        <v>0</v>
      </c>
      <c r="J64" s="552">
        <f t="shared" si="68"/>
        <v>0</v>
      </c>
      <c r="K64" s="552">
        <f t="shared" si="68"/>
        <v>0</v>
      </c>
      <c r="L64" s="552">
        <f t="shared" si="68"/>
        <v>0</v>
      </c>
      <c r="M64" s="552">
        <f t="shared" si="68"/>
        <v>0</v>
      </c>
      <c r="N64" s="552">
        <f t="shared" si="68"/>
        <v>0</v>
      </c>
      <c r="O64" s="552">
        <f t="shared" si="68"/>
        <v>0</v>
      </c>
      <c r="P64" s="552">
        <f t="shared" si="68"/>
        <v>0</v>
      </c>
      <c r="Q64" s="552">
        <f t="shared" si="68"/>
        <v>0</v>
      </c>
      <c r="R64" s="552">
        <f t="shared" si="68"/>
        <v>0</v>
      </c>
      <c r="S64" s="552">
        <f t="shared" si="68"/>
        <v>0</v>
      </c>
      <c r="T64" s="552">
        <f>(T54*T57)/1000</f>
        <v>0</v>
      </c>
      <c r="U64" s="552">
        <f>(U54*U57)/1000</f>
        <v>0</v>
      </c>
      <c r="V64" s="552">
        <f t="shared" ref="V64:W64" si="69">(V54*V57)/1000</f>
        <v>0</v>
      </c>
      <c r="W64" s="552">
        <f t="shared" si="69"/>
        <v>0</v>
      </c>
      <c r="X64" s="552">
        <f t="shared" ref="X64:Y64" si="70">(X54*X57)/1000</f>
        <v>0</v>
      </c>
      <c r="Y64" s="552">
        <f t="shared" si="70"/>
        <v>0</v>
      </c>
      <c r="Z64" s="552">
        <f t="shared" ref="Z64:AA64" si="71">(Z54*Z57)/1000</f>
        <v>0</v>
      </c>
      <c r="AA64" s="552">
        <f t="shared" si="71"/>
        <v>40164.577489631527</v>
      </c>
      <c r="AB64" s="552">
        <f t="shared" ref="AB64:AC64" si="72">(AB54*AB57)/1000</f>
        <v>44819.688006079276</v>
      </c>
      <c r="AC64" s="1068">
        <f t="shared" si="72"/>
        <v>39438.024282604434</v>
      </c>
    </row>
    <row r="65" spans="2:29" ht="15" customHeight="1" x14ac:dyDescent="0.2">
      <c r="B65" s="552" t="s">
        <v>441</v>
      </c>
      <c r="C65" s="552"/>
      <c r="D65" s="785">
        <f t="shared" ref="D65:S65" si="73">(D55*D61)/1000</f>
        <v>386.21357635521116</v>
      </c>
      <c r="E65" s="772">
        <f t="shared" si="73"/>
        <v>774.59921166435799</v>
      </c>
      <c r="F65" s="1068">
        <f t="shared" si="73"/>
        <v>1727.4126660341183</v>
      </c>
      <c r="G65" s="785">
        <f t="shared" si="73"/>
        <v>2876.193717819373</v>
      </c>
      <c r="H65" s="772">
        <f t="shared" si="73"/>
        <v>4877.6637748177809</v>
      </c>
      <c r="I65" s="552">
        <f t="shared" si="73"/>
        <v>7582.4464486942707</v>
      </c>
      <c r="J65" s="552">
        <f t="shared" si="73"/>
        <v>10947.557448285772</v>
      </c>
      <c r="K65" s="552">
        <f t="shared" si="73"/>
        <v>14777.566715740049</v>
      </c>
      <c r="L65" s="552">
        <f t="shared" si="73"/>
        <v>18282.157217645108</v>
      </c>
      <c r="M65" s="552">
        <f t="shared" si="73"/>
        <v>21761.054398516255</v>
      </c>
      <c r="N65" s="552">
        <f t="shared" si="73"/>
        <v>25755.143841784902</v>
      </c>
      <c r="O65" s="552">
        <f t="shared" si="73"/>
        <v>30122.001244316016</v>
      </c>
      <c r="P65" s="552">
        <f t="shared" si="73"/>
        <v>34375.647769436408</v>
      </c>
      <c r="Q65" s="552">
        <f t="shared" si="73"/>
        <v>38586.761355000403</v>
      </c>
      <c r="R65" s="552">
        <f t="shared" si="73"/>
        <v>43862.779575090302</v>
      </c>
      <c r="S65" s="552">
        <f t="shared" si="73"/>
        <v>49652.295512299097</v>
      </c>
      <c r="T65" s="552">
        <f>(T55*T61)/1000</f>
        <v>56330.349550382169</v>
      </c>
      <c r="U65" s="552">
        <f>(U55*U61)/1000</f>
        <v>63642.857595308109</v>
      </c>
      <c r="V65" s="552">
        <f t="shared" ref="V65:W65" si="74">(V55*V61)/1000</f>
        <v>72060.625299458508</v>
      </c>
      <c r="W65" s="552">
        <f t="shared" si="74"/>
        <v>80989.361514584467</v>
      </c>
      <c r="X65" s="552">
        <f t="shared" ref="X65:Y65" si="75">(X55*X61)/1000</f>
        <v>90676.224074173966</v>
      </c>
      <c r="Y65" s="171">
        <f t="shared" si="75"/>
        <v>101158.92376415871</v>
      </c>
      <c r="Z65" s="171">
        <f t="shared" ref="Z65:AA65" si="76">(Z55*Z61)/1000</f>
        <v>112259.74651758214</v>
      </c>
      <c r="AA65" s="171">
        <f t="shared" si="76"/>
        <v>80200.522208424445</v>
      </c>
      <c r="AB65" s="171">
        <f t="shared" ref="AB65:AC65" si="77">(AB55*AB61)/1000</f>
        <v>39517.058399403235</v>
      </c>
      <c r="AC65" s="964">
        <f t="shared" si="77"/>
        <v>0</v>
      </c>
    </row>
    <row r="66" spans="2:29" ht="15" customHeight="1" x14ac:dyDescent="0.2">
      <c r="B66" s="550" t="s">
        <v>467</v>
      </c>
      <c r="C66" s="550"/>
      <c r="D66" s="788"/>
      <c r="E66" s="771"/>
      <c r="F66" s="1071"/>
      <c r="G66" s="788"/>
      <c r="H66" s="771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887"/>
      <c r="Z66" s="887"/>
      <c r="AA66" s="887"/>
      <c r="AB66" s="887"/>
      <c r="AC66" s="1087"/>
    </row>
    <row r="67" spans="2:29" s="350" customFormat="1" ht="15" customHeight="1" x14ac:dyDescent="0.2">
      <c r="B67" s="552" t="s">
        <v>442</v>
      </c>
      <c r="C67" s="552"/>
      <c r="D67" s="789">
        <f>VLOOKUP(D59,'Input data'!$F$6:$G$51,2,FALSE)</f>
        <v>1.3</v>
      </c>
      <c r="E67" s="775">
        <f>VLOOKUP(E59,'Input data'!$F$6:$G$51,2,FALSE)</f>
        <v>1.3</v>
      </c>
      <c r="F67" s="1073">
        <f>VLOOKUP(F59,'Input data'!$F$6:$G$51,2,FALSE)</f>
        <v>1.3</v>
      </c>
      <c r="G67" s="789">
        <f>VLOOKUP(G59,'Input data'!$F$6:$G$51,2,FALSE)</f>
        <v>1.3120000000000001</v>
      </c>
      <c r="H67" s="775">
        <f>VLOOKUP(H59,'Input data'!$F$6:$G$51,2,FALSE)</f>
        <v>1.3120000000000001</v>
      </c>
      <c r="I67" s="557">
        <f>VLOOKUP(I59,'Input data'!$F$6:$G$51,2,FALSE)</f>
        <v>1.3120000000000001</v>
      </c>
      <c r="J67" s="557">
        <f>VLOOKUP(J59,'Input data'!$F$6:$G$51,2,FALSE)</f>
        <v>1.3120000000000001</v>
      </c>
      <c r="K67" s="557">
        <f>VLOOKUP(K59,'Input data'!$F$6:$G$51,2,FALSE)</f>
        <v>1.3120000000000001</v>
      </c>
      <c r="L67" s="557">
        <f>VLOOKUP(L59,'Input data'!$F$6:$G$51,2,FALSE)</f>
        <v>1.3120000000000001</v>
      </c>
      <c r="M67" s="557">
        <f>VLOOKUP(M59,'Input data'!$F$6:$G$51,2,FALSE)</f>
        <v>1.3120000000000001</v>
      </c>
      <c r="N67" s="557">
        <f>VLOOKUP(N59,'Input data'!$F$6:$G$51,2,FALSE)</f>
        <v>1.3120000000000001</v>
      </c>
      <c r="O67" s="557">
        <f>VLOOKUP(O59,'Input data'!$F$6:$G$51,2,FALSE)</f>
        <v>1.3120000000000001</v>
      </c>
      <c r="P67" s="557">
        <f>VLOOKUP(P59,'Input data'!$F$6:$G$51,2,FALSE)</f>
        <v>1.3120000000000001</v>
      </c>
      <c r="Q67" s="557">
        <f>VLOOKUP(Q59,'Input data'!$F$6:$G$51,2,FALSE)</f>
        <v>1.36</v>
      </c>
      <c r="R67" s="557">
        <f>VLOOKUP(R59,'Input data'!$F$6:$G$51,2,FALSE)</f>
        <v>1.36</v>
      </c>
      <c r="S67" s="557">
        <f>VLOOKUP(S59,'Input data'!$F$6:$G$51,2,FALSE)</f>
        <v>1.36</v>
      </c>
      <c r="T67" s="557">
        <f>VLOOKUP(T59,'Input data'!$F$6:$G$51,2,FALSE)</f>
        <v>1.36</v>
      </c>
      <c r="U67" s="557">
        <f>VLOOKUP(U59,'Input data'!$F$6:$G$51,2,FALSE)</f>
        <v>1.36</v>
      </c>
      <c r="V67" s="557">
        <f>VLOOKUP(V59,'Input data'!$F$6:$G$51,2,FALSE)</f>
        <v>1.36</v>
      </c>
      <c r="W67" s="557">
        <f>VLOOKUP(W59,'Input data'!$F$6:$G$51,2,FALSE)</f>
        <v>1.4400000000000002</v>
      </c>
      <c r="X67" s="557">
        <f>VLOOKUP(X59,'Input data'!$F$6:$G$51,2,FALSE)</f>
        <v>1.4400000000000002</v>
      </c>
      <c r="Y67" s="557">
        <f>VLOOKUP(Y59,'Input data'!$F$6:$G$51,2,FALSE)</f>
        <v>1.4400000000000002</v>
      </c>
      <c r="Z67" s="557">
        <f>VLOOKUP(Z59,'Input data'!$F$6:$G$51,2,FALSE)</f>
        <v>1.6</v>
      </c>
      <c r="AA67" s="557">
        <f>VLOOKUP(AA59,'Input data'!$F$6:$G$51,2,FALSE)</f>
        <v>1.6</v>
      </c>
      <c r="AB67" s="557">
        <f>VLOOKUP(AB59,'Input data'!$F$6:$G$51,2,FALSE)</f>
        <v>1.6</v>
      </c>
      <c r="AC67" s="1073">
        <f>VLOOKUP(AC59,'Input data'!$F$6:$G$51,2,FALSE)</f>
        <v>1.6</v>
      </c>
    </row>
    <row r="68" spans="2:29" s="350" customFormat="1" ht="15" customHeight="1" x14ac:dyDescent="0.2">
      <c r="B68" s="552" t="s">
        <v>443</v>
      </c>
      <c r="C68" s="552"/>
      <c r="D68" s="785">
        <f t="shared" ref="D68:O68" si="78">IF(D54=0,(((D65+D64)-D62)*D67),(0))</f>
        <v>288.87764926177454</v>
      </c>
      <c r="E68" s="772">
        <f t="shared" si="78"/>
        <v>504.90132590189091</v>
      </c>
      <c r="F68" s="1068">
        <f t="shared" si="78"/>
        <v>1238.6574906806884</v>
      </c>
      <c r="G68" s="785">
        <f t="shared" si="78"/>
        <v>1507.2007399422541</v>
      </c>
      <c r="H68" s="772">
        <f t="shared" si="78"/>
        <v>2625.9287147819114</v>
      </c>
      <c r="I68" s="552">
        <f t="shared" si="78"/>
        <v>3548.6748681259546</v>
      </c>
      <c r="J68" s="552">
        <f t="shared" si="78"/>
        <v>4415.0256314640501</v>
      </c>
      <c r="K68" s="552">
        <f t="shared" si="78"/>
        <v>5024.9721589000119</v>
      </c>
      <c r="L68" s="552">
        <f t="shared" si="78"/>
        <v>4598.0227384994369</v>
      </c>
      <c r="M68" s="552">
        <f t="shared" si="78"/>
        <v>4564.3131013029442</v>
      </c>
      <c r="N68" s="552">
        <f t="shared" si="78"/>
        <v>5240.2453495684658</v>
      </c>
      <c r="O68" s="552">
        <f t="shared" si="78"/>
        <v>5729.3169121208211</v>
      </c>
      <c r="P68" s="552">
        <f>IF(P54&gt;=0,(((P65+P64)-P62)*P67),(0))</f>
        <v>5580.7842409579544</v>
      </c>
      <c r="Q68" s="552">
        <f>IF(Q54&gt;=0,(((Q65+Q64)-Q62)*Q67),(0))</f>
        <v>5727.1144763670336</v>
      </c>
      <c r="R68" s="552">
        <f>IF(R54&gt;=0,(((R65+R64)-R62)*R67),(0))</f>
        <v>7175.384779322264</v>
      </c>
      <c r="S68" s="552">
        <f>IF(S54&gt;=0,(((S65+S64)-S62)*S67),(0))</f>
        <v>7873.7416746039617</v>
      </c>
      <c r="T68" s="552">
        <f>IF(T54&gt;=0,(((T65+T64)-T62)*T67),(0))</f>
        <v>9082.1534917929785</v>
      </c>
      <c r="U68" s="552">
        <f>IF(U54=0,(((U65+U64)-U62)*U67),(0))</f>
        <v>9945.0109410992791</v>
      </c>
      <c r="V68" s="552">
        <f>IF(V54=0,(((V65+V64)-V62)*V67),(0))</f>
        <v>11448.164077644544</v>
      </c>
      <c r="W68" s="552">
        <f t="shared" ref="W68:AB68" si="79">IF(W54&gt;=0,(((W65+W64)-W62)*W67),(0))</f>
        <v>12857.380149781382</v>
      </c>
      <c r="X68" s="552">
        <f t="shared" si="79"/>
        <v>13949.082085808881</v>
      </c>
      <c r="Y68" s="552">
        <f t="shared" si="79"/>
        <v>15095.087553578032</v>
      </c>
      <c r="Z68" s="552">
        <f t="shared" si="79"/>
        <v>17761.316405477493</v>
      </c>
      <c r="AA68" s="552">
        <f t="shared" si="79"/>
        <v>12968.565088758129</v>
      </c>
      <c r="AB68" s="552">
        <f t="shared" si="79"/>
        <v>6617.9587152929053</v>
      </c>
      <c r="AC68" s="1068">
        <f t="shared" ref="AC68" si="80">IF(AC54=0,(((AC65+AC64)-AC62)*AC67),(0))</f>
        <v>0</v>
      </c>
    </row>
    <row r="69" spans="2:29" s="350" customFormat="1" ht="15" customHeight="1" x14ac:dyDescent="0.2">
      <c r="B69" s="552" t="s">
        <v>734</v>
      </c>
      <c r="C69" s="552"/>
      <c r="D69" s="785">
        <f>D68+D62</f>
        <v>452.87764926177454</v>
      </c>
      <c r="E69" s="772">
        <f>D69+E68</f>
        <v>957.77897516366545</v>
      </c>
      <c r="F69" s="1068">
        <f>E69+F68</f>
        <v>2196.4364658443537</v>
      </c>
      <c r="G69" s="785">
        <f t="shared" ref="G69:T69" si="81">F69+G68</f>
        <v>3703.6372057866079</v>
      </c>
      <c r="H69" s="772">
        <f t="shared" si="81"/>
        <v>6329.5659205685188</v>
      </c>
      <c r="I69" s="552">
        <f t="shared" si="81"/>
        <v>9878.2407886944729</v>
      </c>
      <c r="J69" s="552">
        <f t="shared" si="81"/>
        <v>14293.266420158523</v>
      </c>
      <c r="K69" s="552">
        <f t="shared" si="81"/>
        <v>19318.238579058536</v>
      </c>
      <c r="L69" s="552">
        <f t="shared" si="81"/>
        <v>23916.261317557972</v>
      </c>
      <c r="M69" s="552">
        <f t="shared" si="81"/>
        <v>28480.574418860917</v>
      </c>
      <c r="N69" s="552">
        <f t="shared" si="81"/>
        <v>33720.819768429385</v>
      </c>
      <c r="O69" s="552">
        <f t="shared" si="81"/>
        <v>39450.136680550204</v>
      </c>
      <c r="P69" s="552">
        <f t="shared" si="81"/>
        <v>45030.920921508157</v>
      </c>
      <c r="Q69" s="552">
        <f t="shared" si="81"/>
        <v>50758.035397875188</v>
      </c>
      <c r="R69" s="552">
        <f t="shared" si="81"/>
        <v>57933.420177197455</v>
      </c>
      <c r="S69" s="552">
        <f t="shared" si="81"/>
        <v>65807.161851801415</v>
      </c>
      <c r="T69" s="552">
        <f t="shared" si="81"/>
        <v>74889.315343594397</v>
      </c>
      <c r="U69" s="552">
        <f t="shared" ref="U69" si="82">T69+U68</f>
        <v>84834.32628469367</v>
      </c>
      <c r="V69" s="552">
        <f t="shared" ref="V69" si="83">U69+V68</f>
        <v>96282.490362338212</v>
      </c>
      <c r="W69" s="552">
        <f t="shared" ref="W69" si="84">V69+W68</f>
        <v>109139.8705121196</v>
      </c>
      <c r="X69" s="552">
        <f t="shared" ref="X69" si="85">W69+X68</f>
        <v>123088.95259792848</v>
      </c>
      <c r="Y69" s="552">
        <f t="shared" ref="Y69" si="86">X69+Y68</f>
        <v>138184.04015150652</v>
      </c>
      <c r="Z69" s="552">
        <f t="shared" ref="Z69" si="87">Y69+Z68</f>
        <v>155945.35655698401</v>
      </c>
      <c r="AA69" s="552">
        <f t="shared" ref="AA69:AC69" si="88">Z69+AA68</f>
        <v>168913.92164574214</v>
      </c>
      <c r="AB69" s="552">
        <f t="shared" si="88"/>
        <v>175531.88036103506</v>
      </c>
      <c r="AC69" s="1068">
        <f t="shared" si="88"/>
        <v>175531.88036103506</v>
      </c>
    </row>
    <row r="70" spans="2:29" s="350" customFormat="1" ht="15" customHeight="1" thickBot="1" x14ac:dyDescent="0.25">
      <c r="B70" s="552" t="s">
        <v>735</v>
      </c>
      <c r="C70" s="552"/>
      <c r="D70" s="790">
        <f t="shared" ref="D70:X70" si="89">IF(D64=0,(D69/D65),(D69/SUM($D64:$X64)))</f>
        <v>1.1726093461956673</v>
      </c>
      <c r="E70" s="862">
        <f t="shared" si="89"/>
        <v>1.2364832816001898</v>
      </c>
      <c r="F70" s="1074">
        <f t="shared" si="89"/>
        <v>1.2715180969970796</v>
      </c>
      <c r="G70" s="790">
        <f t="shared" si="89"/>
        <v>1.287686981179617</v>
      </c>
      <c r="H70" s="862">
        <f t="shared" si="89"/>
        <v>1.2976634333113659</v>
      </c>
      <c r="I70" s="1090">
        <f t="shared" si="89"/>
        <v>1.3027775211515735</v>
      </c>
      <c r="J70" s="1090">
        <f t="shared" si="89"/>
        <v>1.3056123694876467</v>
      </c>
      <c r="K70" s="1090">
        <f t="shared" si="89"/>
        <v>1.307267898068907</v>
      </c>
      <c r="L70" s="1090">
        <f t="shared" si="89"/>
        <v>1.3081750163747132</v>
      </c>
      <c r="M70" s="1090">
        <f t="shared" si="89"/>
        <v>1.3087865090214941</v>
      </c>
      <c r="N70" s="1090">
        <f t="shared" si="89"/>
        <v>1.3092848549236618</v>
      </c>
      <c r="O70" s="1090">
        <f t="shared" si="89"/>
        <v>1.3096784758945721</v>
      </c>
      <c r="P70" s="1090">
        <f t="shared" si="89"/>
        <v>1.3099657415487431</v>
      </c>
      <c r="Q70" s="1090">
        <f t="shared" si="89"/>
        <v>1.3154261621206913</v>
      </c>
      <c r="R70" s="1090">
        <f t="shared" si="89"/>
        <v>1.3207877097259444</v>
      </c>
      <c r="S70" s="1090">
        <f t="shared" si="89"/>
        <v>1.325359908798188</v>
      </c>
      <c r="T70" s="1090">
        <f t="shared" si="89"/>
        <v>1.3294665476310064</v>
      </c>
      <c r="U70" s="1090">
        <f t="shared" si="89"/>
        <v>1.3329748143010449</v>
      </c>
      <c r="V70" s="1090">
        <f t="shared" si="89"/>
        <v>1.336131763528587</v>
      </c>
      <c r="W70" s="1090">
        <f t="shared" si="89"/>
        <v>1.347582799408362</v>
      </c>
      <c r="X70" s="1090">
        <f t="shared" si="89"/>
        <v>1.3574556489829199</v>
      </c>
      <c r="Y70" s="1090">
        <f>IF(Y64=0,(Y69/Y65),(Y69/SUM($D64:$AA64)))</f>
        <v>1.3660093940270455</v>
      </c>
      <c r="Z70" s="1090">
        <f>IF(Z64=0,(Z69/Z65),(Z69/SUM($D64:$AA64)))</f>
        <v>1.3891475920316623</v>
      </c>
      <c r="AA70" s="1090">
        <f>IF(AA64=0,(AA69/AA65),(AA69/SUM($D64:$AA64)))</f>
        <v>4.2055445918570218</v>
      </c>
      <c r="AB70" s="1090">
        <f>IF(AB64=0,(AB69/AB65),(AB69/SUM($D64:$AA64)))</f>
        <v>4.3703156196862407</v>
      </c>
      <c r="AC70" s="1074">
        <f>IF(AC64=0,(AC69/AC65),(AC69/SUM($D64:$AA64)))</f>
        <v>4.3703156196862407</v>
      </c>
    </row>
    <row r="71" spans="2:29" ht="15" customHeight="1" x14ac:dyDescent="0.2">
      <c r="B71" s="550"/>
      <c r="C71" s="550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6"/>
    </row>
  </sheetData>
  <mergeCells count="21">
    <mergeCell ref="B46:C46"/>
    <mergeCell ref="O7:P7"/>
    <mergeCell ref="Q7:S7"/>
    <mergeCell ref="O8:P8"/>
    <mergeCell ref="Q8:S8"/>
    <mergeCell ref="O9:S15"/>
    <mergeCell ref="B16:C16"/>
    <mergeCell ref="D48:F48"/>
    <mergeCell ref="G48:AC48"/>
    <mergeCell ref="O1:P1"/>
    <mergeCell ref="Q1:S1"/>
    <mergeCell ref="O2:P2"/>
    <mergeCell ref="Q2:S2"/>
    <mergeCell ref="O3:P3"/>
    <mergeCell ref="Q3:S3"/>
    <mergeCell ref="O4:P4"/>
    <mergeCell ref="Q4:S4"/>
    <mergeCell ref="O5:P5"/>
    <mergeCell ref="Q5:S5"/>
    <mergeCell ref="O6:P6"/>
    <mergeCell ref="Q6:S6"/>
  </mergeCells>
  <conditionalFormatting sqref="D28:N28">
    <cfRule type="cellIs" dxfId="15" priority="4" operator="greaterThan">
      <formula>2%</formula>
    </cfRule>
  </conditionalFormatting>
  <conditionalFormatting sqref="O28:X28">
    <cfRule type="cellIs" dxfId="14" priority="3" operator="greaterThan">
      <formula>2%</formula>
    </cfRule>
  </conditionalFormatting>
  <conditionalFormatting sqref="O43:X43">
    <cfRule type="cellIs" dxfId="13" priority="1" operator="greaterThan">
      <formula>2%</formula>
    </cfRule>
  </conditionalFormatting>
  <conditionalFormatting sqref="D43:N43">
    <cfRule type="cellIs" dxfId="12" priority="2" operator="greaterThan">
      <formula>2%</formula>
    </cfRule>
  </conditionalFormatting>
  <pageMargins left="0.25" right="0.25" top="0.75" bottom="0.75" header="0.3" footer="0.3"/>
  <pageSetup paperSize="9" scale="46" fitToHeight="2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A37"/>
  </sheetPr>
  <dimension ref="B1:AC71"/>
  <sheetViews>
    <sheetView zoomScale="50" zoomScaleNormal="50" workbookViewId="0">
      <selection activeCell="AF61" sqref="AF61"/>
    </sheetView>
  </sheetViews>
  <sheetFormatPr defaultColWidth="9.140625" defaultRowHeight="12.75" x14ac:dyDescent="0.2"/>
  <cols>
    <col min="1" max="1" width="1.85546875" style="2" customWidth="1"/>
    <col min="2" max="2" width="9.140625" style="2"/>
    <col min="3" max="3" width="16.140625" style="2" customWidth="1"/>
    <col min="4" max="4" width="9.7109375" style="2" bestFit="1" customWidth="1"/>
    <col min="5" max="15" width="9.140625" style="2"/>
    <col min="16" max="16" width="8.5703125" style="2" bestFit="1" customWidth="1"/>
    <col min="17" max="17" width="9.7109375" style="2" bestFit="1" customWidth="1"/>
    <col min="18" max="16384" width="9.140625" style="2"/>
  </cols>
  <sheetData>
    <row r="1" spans="2:24" ht="22.5" customHeight="1" x14ac:dyDescent="0.35">
      <c r="B1" s="548"/>
      <c r="O1" s="1407" t="s">
        <v>399</v>
      </c>
      <c r="P1" s="1407"/>
      <c r="Q1" s="1408" t="s">
        <v>381</v>
      </c>
      <c r="R1" s="1409"/>
      <c r="S1" s="1410"/>
    </row>
    <row r="2" spans="2:24" ht="22.5" customHeight="1" x14ac:dyDescent="0.35">
      <c r="B2" s="548"/>
      <c r="O2" s="1407" t="s">
        <v>718</v>
      </c>
      <c r="P2" s="1407"/>
      <c r="Q2" s="1408" t="s">
        <v>472</v>
      </c>
      <c r="R2" s="1409"/>
      <c r="S2" s="1410"/>
    </row>
    <row r="3" spans="2:24" ht="22.5" customHeight="1" x14ac:dyDescent="0.35">
      <c r="B3" s="548"/>
      <c r="O3" s="1411" t="s">
        <v>400</v>
      </c>
      <c r="P3" s="1412"/>
      <c r="Q3" s="1413" t="s">
        <v>719</v>
      </c>
      <c r="R3" s="1414"/>
      <c r="S3" s="1415"/>
    </row>
    <row r="4" spans="2:24" ht="22.5" customHeight="1" x14ac:dyDescent="0.35">
      <c r="B4" s="548"/>
      <c r="O4" s="1411" t="s">
        <v>651</v>
      </c>
      <c r="P4" s="1412"/>
      <c r="Q4" s="1416">
        <f>'Input data'!Q4</f>
        <v>82000</v>
      </c>
      <c r="R4" s="1417"/>
      <c r="S4" s="1418"/>
    </row>
    <row r="5" spans="2:24" ht="22.5" customHeight="1" x14ac:dyDescent="0.35">
      <c r="B5" s="548"/>
      <c r="O5" s="1411" t="s">
        <v>401</v>
      </c>
      <c r="P5" s="1412"/>
      <c r="Q5" s="1408">
        <f>'Input data'!R4</f>
        <v>2</v>
      </c>
      <c r="R5" s="1409"/>
      <c r="S5" s="1410"/>
    </row>
    <row r="6" spans="2:24" ht="22.5" customHeight="1" x14ac:dyDescent="0.35">
      <c r="B6" s="548"/>
      <c r="O6" s="1411" t="s">
        <v>716</v>
      </c>
      <c r="P6" s="1412"/>
      <c r="Q6" s="1408">
        <f>'Input data'!S4</f>
        <v>20000</v>
      </c>
      <c r="R6" s="1409"/>
      <c r="S6" s="1410"/>
    </row>
    <row r="7" spans="2:24" ht="22.5" customHeight="1" x14ac:dyDescent="0.35">
      <c r="B7" s="548"/>
      <c r="O7" s="1411" t="s">
        <v>717</v>
      </c>
      <c r="P7" s="1412"/>
      <c r="Q7" s="1408">
        <f>'Input data'!T4</f>
        <v>2000</v>
      </c>
      <c r="R7" s="1409"/>
      <c r="S7" s="1410"/>
    </row>
    <row r="8" spans="2:24" ht="22.5" customHeight="1" x14ac:dyDescent="0.35">
      <c r="B8" s="548"/>
      <c r="O8" s="1407" t="s">
        <v>403</v>
      </c>
      <c r="P8" s="1407"/>
      <c r="Q8" s="1420">
        <f>SUM(D64:AC64)/1000</f>
        <v>127.17022093483253</v>
      </c>
      <c r="R8" s="1421"/>
      <c r="S8" s="1422"/>
    </row>
    <row r="9" spans="2:24" ht="22.5" customHeight="1" x14ac:dyDescent="0.35">
      <c r="B9" s="548"/>
      <c r="O9" s="1423"/>
      <c r="P9" s="1423"/>
      <c r="Q9" s="1423"/>
      <c r="R9" s="1423"/>
      <c r="S9" s="1423"/>
    </row>
    <row r="10" spans="2:24" ht="22.5" customHeight="1" x14ac:dyDescent="0.35">
      <c r="B10" s="548"/>
      <c r="O10" s="1424"/>
      <c r="P10" s="1424"/>
      <c r="Q10" s="1424"/>
      <c r="R10" s="1424"/>
      <c r="S10" s="1424"/>
    </row>
    <row r="11" spans="2:24" ht="22.5" customHeight="1" x14ac:dyDescent="0.35">
      <c r="B11" s="548"/>
      <c r="O11" s="1424"/>
      <c r="P11" s="1424"/>
      <c r="Q11" s="1424"/>
      <c r="R11" s="1424"/>
      <c r="S11" s="1424"/>
    </row>
    <row r="12" spans="2:24" ht="22.5" customHeight="1" x14ac:dyDescent="0.35">
      <c r="B12" s="548"/>
      <c r="O12" s="1424"/>
      <c r="P12" s="1424"/>
      <c r="Q12" s="1424"/>
      <c r="R12" s="1424"/>
      <c r="S12" s="1424"/>
    </row>
    <row r="13" spans="2:24" ht="22.5" customHeight="1" x14ac:dyDescent="0.35">
      <c r="B13" s="548"/>
      <c r="O13" s="1424"/>
      <c r="P13" s="1424"/>
      <c r="Q13" s="1424"/>
      <c r="R13" s="1424"/>
      <c r="S13" s="1424"/>
    </row>
    <row r="14" spans="2:24" ht="22.5" customHeight="1" x14ac:dyDescent="0.35">
      <c r="B14" s="548"/>
      <c r="O14" s="1424"/>
      <c r="P14" s="1424"/>
      <c r="Q14" s="1424"/>
      <c r="R14" s="1424"/>
      <c r="S14" s="1424"/>
    </row>
    <row r="15" spans="2:24" ht="22.5" customHeight="1" x14ac:dyDescent="0.35">
      <c r="B15" s="548"/>
      <c r="O15" s="1424"/>
      <c r="P15" s="1424"/>
      <c r="Q15" s="1424"/>
      <c r="R15" s="1424"/>
      <c r="S15" s="1424"/>
    </row>
    <row r="16" spans="2:24" hidden="1" x14ac:dyDescent="0.2">
      <c r="B16" s="1425" t="s">
        <v>404</v>
      </c>
      <c r="C16" s="1425"/>
      <c r="D16" s="549" t="e">
        <f>MONTH(Q3)</f>
        <v>#VALUE!</v>
      </c>
      <c r="E16" s="549" t="e">
        <f>D16+1</f>
        <v>#VALUE!</v>
      </c>
      <c r="F16" s="549" t="e">
        <f t="shared" ref="F16:T16" si="0">E16+1</f>
        <v>#VALUE!</v>
      </c>
      <c r="G16" s="549" t="e">
        <f t="shared" si="0"/>
        <v>#VALUE!</v>
      </c>
      <c r="H16" s="549" t="e">
        <f t="shared" si="0"/>
        <v>#VALUE!</v>
      </c>
      <c r="I16" s="549" t="e">
        <f t="shared" si="0"/>
        <v>#VALUE!</v>
      </c>
      <c r="J16" s="549" t="e">
        <f t="shared" si="0"/>
        <v>#VALUE!</v>
      </c>
      <c r="K16" s="549" t="e">
        <f t="shared" si="0"/>
        <v>#VALUE!</v>
      </c>
      <c r="L16" s="549" t="e">
        <f t="shared" si="0"/>
        <v>#VALUE!</v>
      </c>
      <c r="M16" s="549" t="e">
        <f t="shared" si="0"/>
        <v>#VALUE!</v>
      </c>
      <c r="N16" s="549" t="e">
        <f t="shared" si="0"/>
        <v>#VALUE!</v>
      </c>
      <c r="O16" s="549" t="e">
        <f t="shared" si="0"/>
        <v>#VALUE!</v>
      </c>
      <c r="P16" s="549" t="e">
        <f t="shared" si="0"/>
        <v>#VALUE!</v>
      </c>
      <c r="Q16" s="549" t="e">
        <f t="shared" si="0"/>
        <v>#VALUE!</v>
      </c>
      <c r="R16" s="549" t="e">
        <f t="shared" si="0"/>
        <v>#VALUE!</v>
      </c>
      <c r="S16" s="549" t="e">
        <f t="shared" si="0"/>
        <v>#VALUE!</v>
      </c>
      <c r="T16" s="549" t="e">
        <f t="shared" si="0"/>
        <v>#VALUE!</v>
      </c>
      <c r="U16" s="549" t="e">
        <f>T16+1</f>
        <v>#VALUE!</v>
      </c>
      <c r="V16" s="549" t="e">
        <f>U16+1</f>
        <v>#VALUE!</v>
      </c>
      <c r="W16" s="549" t="e">
        <f>V16+1</f>
        <v>#VALUE!</v>
      </c>
      <c r="X16" s="549" t="e">
        <f>W16+1</f>
        <v>#VALUE!</v>
      </c>
    </row>
    <row r="17" spans="2:29" s="8" customFormat="1" ht="15" customHeight="1" x14ac:dyDescent="0.2">
      <c r="B17" s="550" t="s">
        <v>405</v>
      </c>
      <c r="C17" s="550"/>
      <c r="D17" s="550" t="s">
        <v>175</v>
      </c>
      <c r="E17" s="550" t="s">
        <v>176</v>
      </c>
      <c r="F17" s="550" t="s">
        <v>177</v>
      </c>
      <c r="G17" s="550" t="s">
        <v>166</v>
      </c>
      <c r="H17" s="550" t="s">
        <v>167</v>
      </c>
      <c r="I17" s="550" t="s">
        <v>168</v>
      </c>
      <c r="J17" s="550" t="s">
        <v>169</v>
      </c>
      <c r="K17" s="550" t="s">
        <v>170</v>
      </c>
      <c r="L17" s="550" t="s">
        <v>171</v>
      </c>
      <c r="M17" s="550" t="s">
        <v>172</v>
      </c>
      <c r="N17" s="550" t="s">
        <v>173</v>
      </c>
      <c r="O17" s="550" t="s">
        <v>174</v>
      </c>
      <c r="P17" s="550" t="s">
        <v>175</v>
      </c>
      <c r="Q17" s="550" t="s">
        <v>176</v>
      </c>
      <c r="R17" s="550" t="s">
        <v>177</v>
      </c>
      <c r="S17" s="550" t="s">
        <v>166</v>
      </c>
      <c r="T17" s="550" t="s">
        <v>167</v>
      </c>
      <c r="U17" s="550" t="s">
        <v>168</v>
      </c>
      <c r="V17" s="550" t="s">
        <v>169</v>
      </c>
      <c r="W17" s="550" t="s">
        <v>170</v>
      </c>
      <c r="X17" s="550" t="s">
        <v>171</v>
      </c>
      <c r="Y17" s="550" t="s">
        <v>172</v>
      </c>
      <c r="Z17" s="550" t="s">
        <v>173</v>
      </c>
      <c r="AA17" s="550" t="s">
        <v>174</v>
      </c>
      <c r="AB17" s="550" t="s">
        <v>175</v>
      </c>
      <c r="AC17" s="550" t="s">
        <v>176</v>
      </c>
    </row>
    <row r="18" spans="2:29" ht="12.75" customHeight="1" x14ac:dyDescent="0.2">
      <c r="B18" s="285" t="s">
        <v>406</v>
      </c>
      <c r="C18" s="285"/>
      <c r="D18" s="285">
        <f>VLOOKUP(D17,'Input data'!$N$5:$P$16,3,FALSE)</f>
        <v>30</v>
      </c>
      <c r="E18" s="285">
        <f>VLOOKUP(E17,'Input data'!$N$5:$P$16,3,FALSE)</f>
        <v>31</v>
      </c>
      <c r="F18" s="285">
        <f>VLOOKUP(F17,'Input data'!$N$5:$P$16,3,FALSE)</f>
        <v>30</v>
      </c>
      <c r="G18" s="285">
        <f>VLOOKUP(G17,'Input data'!$N$5:$P$16,3,FALSE)</f>
        <v>31</v>
      </c>
      <c r="H18" s="285">
        <f>VLOOKUP(H17,'Input data'!$N$5:$P$16,3,FALSE)</f>
        <v>31</v>
      </c>
      <c r="I18" s="285">
        <f>VLOOKUP(I17,'Input data'!$N$5:$P$16,3,FALSE)</f>
        <v>30</v>
      </c>
      <c r="J18" s="285">
        <f>VLOOKUP(J17,'Input data'!$N$5:$P$16,3,FALSE)</f>
        <v>31</v>
      </c>
      <c r="K18" s="285">
        <f>VLOOKUP(K17,'Input data'!$N$5:$P$16,3,FALSE)</f>
        <v>30</v>
      </c>
      <c r="L18" s="285">
        <f>VLOOKUP(L17,'Input data'!$N$5:$P$16,3,FALSE)</f>
        <v>31</v>
      </c>
      <c r="M18" s="285">
        <f>VLOOKUP(M17,'Input data'!$N$5:$P$16,3,FALSE)</f>
        <v>31</v>
      </c>
      <c r="N18" s="285">
        <f>VLOOKUP(N17,'Input data'!$N$5:$P$16,3,FALSE)</f>
        <v>28</v>
      </c>
      <c r="O18" s="285">
        <f>VLOOKUP(O17,'Input data'!$N$5:$P$16,3,FALSE)</f>
        <v>31</v>
      </c>
      <c r="P18" s="285">
        <f>VLOOKUP(P17,'Input data'!$N$5:$P$16,3,FALSE)</f>
        <v>30</v>
      </c>
      <c r="Q18" s="285">
        <f>VLOOKUP(Q17,'Input data'!$N$5:$P$16,3,FALSE)</f>
        <v>31</v>
      </c>
      <c r="R18" s="285">
        <f>VLOOKUP(R17,'Input data'!$N$5:$P$16,3,FALSE)</f>
        <v>30</v>
      </c>
      <c r="S18" s="285">
        <f>VLOOKUP(S17,'Input data'!$N$5:$P$16,3,FALSE)</f>
        <v>31</v>
      </c>
      <c r="T18" s="285">
        <f>VLOOKUP(T17,'Input data'!$N$5:$P$16,3,FALSE)</f>
        <v>31</v>
      </c>
      <c r="U18" s="285">
        <f>VLOOKUP(U17,'Input data'!$N$5:$P$16,3,FALSE)</f>
        <v>30</v>
      </c>
      <c r="V18" s="285">
        <f>VLOOKUP(V17,'Input data'!$N$5:$P$16,3,FALSE)</f>
        <v>31</v>
      </c>
      <c r="W18" s="285">
        <f>VLOOKUP(W17,'Input data'!$N$5:$P$16,3,FALSE)</f>
        <v>30</v>
      </c>
      <c r="X18" s="285">
        <f>VLOOKUP(X17,'Input data'!$N$5:$P$16,3,FALSE)</f>
        <v>31</v>
      </c>
      <c r="Y18" s="285">
        <f>VLOOKUP(Y17,'Input data'!$N$5:$P$16,3,FALSE)</f>
        <v>31</v>
      </c>
      <c r="Z18" s="285">
        <f>VLOOKUP(Z17,'Input data'!$N$5:$P$16,3,FALSE)</f>
        <v>28</v>
      </c>
      <c r="AA18" s="285">
        <f>VLOOKUP(AA17,'Input data'!$N$5:$P$16,3,FALSE)</f>
        <v>31</v>
      </c>
      <c r="AB18" s="285">
        <f>VLOOKUP(AB17,'Input data'!$N$5:$P$16,3,FALSE)</f>
        <v>30</v>
      </c>
      <c r="AC18" s="285">
        <f>VLOOKUP(AC17,'Input data'!$N$5:$P$16,3,FALSE)</f>
        <v>31</v>
      </c>
    </row>
    <row r="19" spans="2:29" ht="12.75" customHeight="1" x14ac:dyDescent="0.2">
      <c r="B19" s="285" t="s">
        <v>407</v>
      </c>
      <c r="C19" s="285"/>
      <c r="D19" s="285">
        <f>VLOOKUP(D17,'Input data'!$N$5:$P$16,2,FALSE)</f>
        <v>20</v>
      </c>
      <c r="E19" s="285">
        <f>VLOOKUP(E17,'Input data'!$N$5:$P$16,2,FALSE)</f>
        <v>19</v>
      </c>
      <c r="F19" s="285">
        <f>VLOOKUP(F17,'Input data'!$N$5:$P$16,2,FALSE)</f>
        <v>18</v>
      </c>
      <c r="G19" s="285">
        <f>VLOOKUP(G17,'Input data'!$N$5:$P$16,2,FALSE)</f>
        <v>18</v>
      </c>
      <c r="H19" s="285">
        <f>VLOOKUP(H17,'Input data'!$N$5:$P$16,2,FALSE)</f>
        <v>18</v>
      </c>
      <c r="I19" s="285">
        <f>VLOOKUP(I17,'Input data'!$N$5:$P$16,2,FALSE)</f>
        <v>20</v>
      </c>
      <c r="J19" s="285">
        <f>VLOOKUP(J17,'Input data'!$N$5:$P$16,2,FALSE)</f>
        <v>21</v>
      </c>
      <c r="K19" s="285">
        <f>VLOOKUP(K17,'Input data'!$N$5:$P$16,2,FALSE)</f>
        <v>23</v>
      </c>
      <c r="L19" s="285">
        <f>VLOOKUP(L17,'Input data'!$N$5:$P$16,2,FALSE)</f>
        <v>24</v>
      </c>
      <c r="M19" s="285">
        <f>VLOOKUP(M17,'Input data'!$N$5:$P$16,2,FALSE)</f>
        <v>24</v>
      </c>
      <c r="N19" s="285">
        <f>VLOOKUP(N17,'Input data'!$N$5:$P$16,2,FALSE)</f>
        <v>24</v>
      </c>
      <c r="O19" s="285">
        <f>VLOOKUP(O17,'Input data'!$N$5:$P$16,2,FALSE)</f>
        <v>22</v>
      </c>
      <c r="P19" s="285">
        <f>VLOOKUP(P17,'Input data'!$N$5:$P$16,2,FALSE)</f>
        <v>20</v>
      </c>
      <c r="Q19" s="285">
        <f>VLOOKUP(Q17,'Input data'!$N$5:$P$16,2,FALSE)</f>
        <v>19</v>
      </c>
      <c r="R19" s="285">
        <f>VLOOKUP(R17,'Input data'!$N$5:$P$16,2,FALSE)</f>
        <v>18</v>
      </c>
      <c r="S19" s="285">
        <f>VLOOKUP(S17,'Input data'!$N$5:$P$16,2,FALSE)</f>
        <v>18</v>
      </c>
      <c r="T19" s="285">
        <f>VLOOKUP(T17,'Input data'!$N$5:$P$16,2,FALSE)</f>
        <v>18</v>
      </c>
      <c r="U19" s="285">
        <f>VLOOKUP(U17,'Input data'!$N$5:$P$16,2,FALSE)</f>
        <v>20</v>
      </c>
      <c r="V19" s="285">
        <f>VLOOKUP(V17,'Input data'!$N$5:$P$16,2,FALSE)</f>
        <v>21</v>
      </c>
      <c r="W19" s="285">
        <f>VLOOKUP(W17,'Input data'!$N$5:$P$16,2,FALSE)</f>
        <v>23</v>
      </c>
      <c r="X19" s="285">
        <f>VLOOKUP(X17,'Input data'!$N$5:$P$16,2,FALSE)</f>
        <v>24</v>
      </c>
      <c r="Y19" s="285">
        <f>VLOOKUP(Y17,'Input data'!$N$5:$P$16,2,FALSE)</f>
        <v>24</v>
      </c>
      <c r="Z19" s="285">
        <f>VLOOKUP(Z17,'Input data'!$N$5:$P$16,2,FALSE)</f>
        <v>24</v>
      </c>
      <c r="AA19" s="285">
        <f>VLOOKUP(AA17,'Input data'!$N$5:$P$16,2,FALSE)</f>
        <v>22</v>
      </c>
      <c r="AB19" s="285">
        <f>VLOOKUP(AB17,'Input data'!$N$5:$P$16,2,FALSE)</f>
        <v>20</v>
      </c>
      <c r="AC19" s="285">
        <f>VLOOKUP(AC17,'Input data'!$N$5:$P$16,2,FALSE)</f>
        <v>19</v>
      </c>
    </row>
    <row r="20" spans="2:29" ht="12.75" customHeight="1" x14ac:dyDescent="0.2">
      <c r="B20" s="285" t="s">
        <v>408</v>
      </c>
      <c r="C20" s="285"/>
      <c r="D20" s="285">
        <v>1</v>
      </c>
      <c r="E20" s="285">
        <f>D20+1</f>
        <v>2</v>
      </c>
      <c r="F20" s="285">
        <f>E20+1</f>
        <v>3</v>
      </c>
      <c r="G20" s="285">
        <f t="shared" ref="G20:X20" si="1">F20+1</f>
        <v>4</v>
      </c>
      <c r="H20" s="285">
        <f t="shared" si="1"/>
        <v>5</v>
      </c>
      <c r="I20" s="285">
        <f t="shared" si="1"/>
        <v>6</v>
      </c>
      <c r="J20" s="285">
        <f t="shared" si="1"/>
        <v>7</v>
      </c>
      <c r="K20" s="285">
        <f t="shared" si="1"/>
        <v>8</v>
      </c>
      <c r="L20" s="285">
        <f t="shared" si="1"/>
        <v>9</v>
      </c>
      <c r="M20" s="285">
        <f t="shared" si="1"/>
        <v>10</v>
      </c>
      <c r="N20" s="285">
        <f t="shared" si="1"/>
        <v>11</v>
      </c>
      <c r="O20" s="285">
        <f t="shared" si="1"/>
        <v>12</v>
      </c>
      <c r="P20" s="285">
        <f t="shared" si="1"/>
        <v>13</v>
      </c>
      <c r="Q20" s="285">
        <f t="shared" si="1"/>
        <v>14</v>
      </c>
      <c r="R20" s="285">
        <f t="shared" si="1"/>
        <v>15</v>
      </c>
      <c r="S20" s="285">
        <f t="shared" si="1"/>
        <v>16</v>
      </c>
      <c r="T20" s="285">
        <f t="shared" si="1"/>
        <v>17</v>
      </c>
      <c r="U20" s="285">
        <f t="shared" si="1"/>
        <v>18</v>
      </c>
      <c r="V20" s="285">
        <f t="shared" si="1"/>
        <v>19</v>
      </c>
      <c r="W20" s="285">
        <f t="shared" si="1"/>
        <v>20</v>
      </c>
      <c r="X20" s="285">
        <f t="shared" si="1"/>
        <v>21</v>
      </c>
      <c r="Y20" s="210">
        <f t="shared" ref="Y20" si="2">X20+1</f>
        <v>22</v>
      </c>
      <c r="Z20" s="210">
        <f t="shared" ref="Z20" si="3">Y20+1</f>
        <v>23</v>
      </c>
      <c r="AA20" s="210">
        <f t="shared" ref="AA20" si="4">Z20+1</f>
        <v>24</v>
      </c>
      <c r="AB20" s="210">
        <f t="shared" ref="AB20:AC20" si="5">AA20+1</f>
        <v>25</v>
      </c>
      <c r="AC20" s="210">
        <f t="shared" si="5"/>
        <v>26</v>
      </c>
    </row>
    <row r="21" spans="2:29" ht="3" customHeight="1" x14ac:dyDescent="0.2"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</row>
    <row r="22" spans="2:29" ht="15" hidden="1" customHeight="1" x14ac:dyDescent="0.25">
      <c r="B22" s="551" t="s">
        <v>409</v>
      </c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</row>
    <row r="23" spans="2:29" ht="15" hidden="1" customHeight="1" x14ac:dyDescent="0.2">
      <c r="B23" s="550" t="s">
        <v>410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</row>
    <row r="24" spans="2:29" ht="12.75" hidden="1" customHeight="1" x14ac:dyDescent="0.2">
      <c r="B24" s="552" t="s">
        <v>411</v>
      </c>
      <c r="C24" s="552"/>
      <c r="D24" s="553">
        <f>Q4</f>
        <v>82000</v>
      </c>
      <c r="E24" s="552">
        <f t="shared" ref="E24:X24" si="6">D31</f>
        <v>82000</v>
      </c>
      <c r="F24" s="552">
        <f t="shared" si="6"/>
        <v>82000</v>
      </c>
      <c r="G24" s="552">
        <f t="shared" si="6"/>
        <v>82000</v>
      </c>
      <c r="H24" s="552">
        <f t="shared" si="6"/>
        <v>82000</v>
      </c>
      <c r="I24" s="552">
        <f t="shared" si="6"/>
        <v>82000</v>
      </c>
      <c r="J24" s="552">
        <f t="shared" si="6"/>
        <v>82000</v>
      </c>
      <c r="K24" s="552">
        <f t="shared" si="6"/>
        <v>82000</v>
      </c>
      <c r="L24" s="552">
        <f t="shared" si="6"/>
        <v>82000</v>
      </c>
      <c r="M24" s="552">
        <f t="shared" si="6"/>
        <v>82000</v>
      </c>
      <c r="N24" s="552">
        <f t="shared" si="6"/>
        <v>82000</v>
      </c>
      <c r="O24" s="552">
        <f t="shared" si="6"/>
        <v>82000</v>
      </c>
      <c r="P24" s="552">
        <f t="shared" si="6"/>
        <v>82000</v>
      </c>
      <c r="Q24" s="552">
        <f t="shared" si="6"/>
        <v>82000</v>
      </c>
      <c r="R24" s="552">
        <f t="shared" si="6"/>
        <v>82000</v>
      </c>
      <c r="S24" s="552">
        <f t="shared" si="6"/>
        <v>82000</v>
      </c>
      <c r="T24" s="552">
        <f t="shared" si="6"/>
        <v>82000</v>
      </c>
      <c r="U24" s="552">
        <f t="shared" si="6"/>
        <v>82000</v>
      </c>
      <c r="V24" s="552">
        <f t="shared" si="6"/>
        <v>82000</v>
      </c>
      <c r="W24" s="552">
        <f t="shared" si="6"/>
        <v>82000</v>
      </c>
      <c r="X24" s="552">
        <f t="shared" si="6"/>
        <v>82000</v>
      </c>
    </row>
    <row r="25" spans="2:29" ht="12.75" hidden="1" customHeight="1" x14ac:dyDescent="0.2">
      <c r="B25" s="553" t="s">
        <v>412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</row>
    <row r="26" spans="2:29" s="265" customFormat="1" ht="12.75" hidden="1" customHeight="1" x14ac:dyDescent="0.2">
      <c r="B26" s="553" t="s">
        <v>413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</row>
    <row r="27" spans="2:29" s="265" customFormat="1" ht="15" hidden="1" customHeight="1" x14ac:dyDescent="0.2">
      <c r="B27" s="552" t="s">
        <v>414</v>
      </c>
      <c r="C27" s="552"/>
      <c r="D27" s="552">
        <f>D26</f>
        <v>0</v>
      </c>
      <c r="E27" s="552">
        <f t="shared" ref="E27:X27" si="7">D27+E26</f>
        <v>0</v>
      </c>
      <c r="F27" s="552">
        <f t="shared" si="7"/>
        <v>0</v>
      </c>
      <c r="G27" s="552">
        <f t="shared" si="7"/>
        <v>0</v>
      </c>
      <c r="H27" s="552">
        <f t="shared" si="7"/>
        <v>0</v>
      </c>
      <c r="I27" s="552">
        <f t="shared" si="7"/>
        <v>0</v>
      </c>
      <c r="J27" s="552">
        <f t="shared" si="7"/>
        <v>0</v>
      </c>
      <c r="K27" s="552">
        <f t="shared" si="7"/>
        <v>0</v>
      </c>
      <c r="L27" s="552">
        <f t="shared" si="7"/>
        <v>0</v>
      </c>
      <c r="M27" s="552">
        <f t="shared" si="7"/>
        <v>0</v>
      </c>
      <c r="N27" s="552">
        <f t="shared" si="7"/>
        <v>0</v>
      </c>
      <c r="O27" s="552">
        <f t="shared" si="7"/>
        <v>0</v>
      </c>
      <c r="P27" s="552">
        <f t="shared" si="7"/>
        <v>0</v>
      </c>
      <c r="Q27" s="552">
        <f t="shared" si="7"/>
        <v>0</v>
      </c>
      <c r="R27" s="552">
        <f t="shared" si="7"/>
        <v>0</v>
      </c>
      <c r="S27" s="552">
        <f t="shared" si="7"/>
        <v>0</v>
      </c>
      <c r="T27" s="552">
        <f t="shared" si="7"/>
        <v>0</v>
      </c>
      <c r="U27" s="552">
        <f t="shared" si="7"/>
        <v>0</v>
      </c>
      <c r="V27" s="552">
        <f t="shared" si="7"/>
        <v>0</v>
      </c>
      <c r="W27" s="552">
        <f t="shared" si="7"/>
        <v>0</v>
      </c>
      <c r="X27" s="552">
        <f t="shared" si="7"/>
        <v>0</v>
      </c>
    </row>
    <row r="28" spans="2:29" s="265" customFormat="1" ht="15" hidden="1" customHeight="1" x14ac:dyDescent="0.2">
      <c r="B28" s="552" t="s">
        <v>415</v>
      </c>
      <c r="C28" s="552"/>
      <c r="D28" s="552">
        <f t="shared" ref="D28:X28" si="8">IF(D26&gt;0,(D26/D24),(0))</f>
        <v>0</v>
      </c>
      <c r="E28" s="552">
        <f t="shared" si="8"/>
        <v>0</v>
      </c>
      <c r="F28" s="552">
        <f t="shared" si="8"/>
        <v>0</v>
      </c>
      <c r="G28" s="552">
        <f t="shared" si="8"/>
        <v>0</v>
      </c>
      <c r="H28" s="552">
        <f t="shared" si="8"/>
        <v>0</v>
      </c>
      <c r="I28" s="552">
        <f t="shared" si="8"/>
        <v>0</v>
      </c>
      <c r="J28" s="552">
        <f t="shared" si="8"/>
        <v>0</v>
      </c>
      <c r="K28" s="552">
        <f t="shared" si="8"/>
        <v>0</v>
      </c>
      <c r="L28" s="552">
        <f t="shared" si="8"/>
        <v>0</v>
      </c>
      <c r="M28" s="552">
        <f t="shared" si="8"/>
        <v>0</v>
      </c>
      <c r="N28" s="552">
        <f t="shared" si="8"/>
        <v>0</v>
      </c>
      <c r="O28" s="552">
        <f t="shared" si="8"/>
        <v>0</v>
      </c>
      <c r="P28" s="552">
        <f t="shared" si="8"/>
        <v>0</v>
      </c>
      <c r="Q28" s="552">
        <f t="shared" si="8"/>
        <v>0</v>
      </c>
      <c r="R28" s="552">
        <f t="shared" si="8"/>
        <v>0</v>
      </c>
      <c r="S28" s="552">
        <f t="shared" si="8"/>
        <v>0</v>
      </c>
      <c r="T28" s="552">
        <f t="shared" si="8"/>
        <v>0</v>
      </c>
      <c r="U28" s="552">
        <f t="shared" si="8"/>
        <v>0</v>
      </c>
      <c r="V28" s="552">
        <f t="shared" si="8"/>
        <v>0</v>
      </c>
      <c r="W28" s="552">
        <f t="shared" si="8"/>
        <v>0</v>
      </c>
      <c r="X28" s="552">
        <f t="shared" si="8"/>
        <v>0</v>
      </c>
    </row>
    <row r="29" spans="2:29" s="265" customFormat="1" ht="15" hidden="1" customHeight="1" x14ac:dyDescent="0.2">
      <c r="B29" s="552" t="s">
        <v>416</v>
      </c>
      <c r="C29" s="552"/>
      <c r="D29" s="552">
        <f t="shared" ref="D29:X29" si="9">D27/$D24</f>
        <v>0</v>
      </c>
      <c r="E29" s="552">
        <f t="shared" si="9"/>
        <v>0</v>
      </c>
      <c r="F29" s="552">
        <f t="shared" si="9"/>
        <v>0</v>
      </c>
      <c r="G29" s="552">
        <f t="shared" si="9"/>
        <v>0</v>
      </c>
      <c r="H29" s="552">
        <f t="shared" si="9"/>
        <v>0</v>
      </c>
      <c r="I29" s="552">
        <f t="shared" si="9"/>
        <v>0</v>
      </c>
      <c r="J29" s="552">
        <f t="shared" si="9"/>
        <v>0</v>
      </c>
      <c r="K29" s="552">
        <f t="shared" si="9"/>
        <v>0</v>
      </c>
      <c r="L29" s="552">
        <f t="shared" si="9"/>
        <v>0</v>
      </c>
      <c r="M29" s="552">
        <f t="shared" si="9"/>
        <v>0</v>
      </c>
      <c r="N29" s="552">
        <f t="shared" si="9"/>
        <v>0</v>
      </c>
      <c r="O29" s="552">
        <f t="shared" si="9"/>
        <v>0</v>
      </c>
      <c r="P29" s="552">
        <f t="shared" si="9"/>
        <v>0</v>
      </c>
      <c r="Q29" s="552">
        <f t="shared" si="9"/>
        <v>0</v>
      </c>
      <c r="R29" s="552">
        <f t="shared" si="9"/>
        <v>0</v>
      </c>
      <c r="S29" s="552">
        <f t="shared" si="9"/>
        <v>0</v>
      </c>
      <c r="T29" s="552">
        <f t="shared" si="9"/>
        <v>0</v>
      </c>
      <c r="U29" s="552">
        <f t="shared" si="9"/>
        <v>0</v>
      </c>
      <c r="V29" s="552">
        <f t="shared" si="9"/>
        <v>0</v>
      </c>
      <c r="W29" s="552">
        <f t="shared" si="9"/>
        <v>0</v>
      </c>
      <c r="X29" s="552">
        <f t="shared" si="9"/>
        <v>0</v>
      </c>
    </row>
    <row r="30" spans="2:29" hidden="1" x14ac:dyDescent="0.2">
      <c r="B30" s="553" t="s">
        <v>417</v>
      </c>
      <c r="C30" s="553"/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  <c r="M30" s="553">
        <v>0</v>
      </c>
      <c r="N30" s="553">
        <v>0</v>
      </c>
      <c r="O30" s="553">
        <v>0</v>
      </c>
      <c r="P30" s="553">
        <v>0</v>
      </c>
      <c r="Q30" s="553">
        <v>0</v>
      </c>
      <c r="R30" s="553">
        <v>0</v>
      </c>
      <c r="S30" s="553">
        <v>0</v>
      </c>
      <c r="T30" s="553">
        <v>0</v>
      </c>
      <c r="U30" s="553">
        <v>0</v>
      </c>
      <c r="V30" s="553">
        <v>0</v>
      </c>
      <c r="W30" s="553">
        <v>0</v>
      </c>
      <c r="X30" s="553">
        <v>0</v>
      </c>
    </row>
    <row r="31" spans="2:29" ht="15" hidden="1" customHeight="1" x14ac:dyDescent="0.2">
      <c r="B31" s="552" t="s">
        <v>418</v>
      </c>
      <c r="C31" s="552"/>
      <c r="D31" s="552">
        <f t="shared" ref="D31:X31" si="10">D24-D25-D26-D30</f>
        <v>82000</v>
      </c>
      <c r="E31" s="552">
        <f t="shared" si="10"/>
        <v>82000</v>
      </c>
      <c r="F31" s="552">
        <f t="shared" si="10"/>
        <v>82000</v>
      </c>
      <c r="G31" s="552">
        <f t="shared" si="10"/>
        <v>82000</v>
      </c>
      <c r="H31" s="552">
        <f t="shared" si="10"/>
        <v>82000</v>
      </c>
      <c r="I31" s="552">
        <f t="shared" si="10"/>
        <v>82000</v>
      </c>
      <c r="J31" s="552">
        <f t="shared" si="10"/>
        <v>82000</v>
      </c>
      <c r="K31" s="552">
        <f t="shared" si="10"/>
        <v>82000</v>
      </c>
      <c r="L31" s="552">
        <f t="shared" si="10"/>
        <v>82000</v>
      </c>
      <c r="M31" s="552">
        <f t="shared" si="10"/>
        <v>82000</v>
      </c>
      <c r="N31" s="552">
        <f t="shared" si="10"/>
        <v>82000</v>
      </c>
      <c r="O31" s="552">
        <f t="shared" si="10"/>
        <v>82000</v>
      </c>
      <c r="P31" s="552">
        <f t="shared" si="10"/>
        <v>82000</v>
      </c>
      <c r="Q31" s="552">
        <f t="shared" si="10"/>
        <v>82000</v>
      </c>
      <c r="R31" s="552">
        <f t="shared" si="10"/>
        <v>82000</v>
      </c>
      <c r="S31" s="552">
        <f t="shared" si="10"/>
        <v>82000</v>
      </c>
      <c r="T31" s="552">
        <f t="shared" si="10"/>
        <v>82000</v>
      </c>
      <c r="U31" s="552">
        <f t="shared" si="10"/>
        <v>82000</v>
      </c>
      <c r="V31" s="552">
        <f t="shared" si="10"/>
        <v>82000</v>
      </c>
      <c r="W31" s="552">
        <f t="shared" si="10"/>
        <v>82000</v>
      </c>
      <c r="X31" s="552">
        <f t="shared" si="10"/>
        <v>82000</v>
      </c>
    </row>
    <row r="32" spans="2:29" ht="15" hidden="1" customHeight="1" x14ac:dyDescent="0.2">
      <c r="B32" s="550" t="s">
        <v>419</v>
      </c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</row>
    <row r="33" spans="2:29" ht="12.75" hidden="1" customHeight="1" x14ac:dyDescent="0.2">
      <c r="B33" s="552" t="s">
        <v>420</v>
      </c>
      <c r="C33" s="552"/>
      <c r="D33" s="553">
        <f>Q5</f>
        <v>2</v>
      </c>
      <c r="E33" s="552">
        <f>D36</f>
        <v>0</v>
      </c>
      <c r="F33" s="552">
        <f>E36</f>
        <v>0</v>
      </c>
      <c r="G33" s="552">
        <f t="shared" ref="G33:S33" si="11">F36</f>
        <v>0</v>
      </c>
      <c r="H33" s="552">
        <f t="shared" si="11"/>
        <v>0</v>
      </c>
      <c r="I33" s="552">
        <f t="shared" si="11"/>
        <v>0</v>
      </c>
      <c r="J33" s="552">
        <f t="shared" si="11"/>
        <v>0</v>
      </c>
      <c r="K33" s="552">
        <f t="shared" si="11"/>
        <v>0</v>
      </c>
      <c r="L33" s="552">
        <f t="shared" si="11"/>
        <v>0</v>
      </c>
      <c r="M33" s="552">
        <f t="shared" si="11"/>
        <v>0</v>
      </c>
      <c r="N33" s="552">
        <f t="shared" si="11"/>
        <v>0</v>
      </c>
      <c r="O33" s="552">
        <f t="shared" si="11"/>
        <v>0</v>
      </c>
      <c r="P33" s="552">
        <f t="shared" si="11"/>
        <v>0</v>
      </c>
      <c r="Q33" s="552">
        <f t="shared" si="11"/>
        <v>0</v>
      </c>
      <c r="R33" s="552">
        <f t="shared" si="11"/>
        <v>0</v>
      </c>
      <c r="S33" s="552">
        <f t="shared" si="11"/>
        <v>0</v>
      </c>
      <c r="T33" s="552">
        <f>S36</f>
        <v>0</v>
      </c>
      <c r="U33" s="552">
        <f>T36</f>
        <v>0</v>
      </c>
      <c r="V33" s="552">
        <f>U36</f>
        <v>0</v>
      </c>
      <c r="W33" s="552">
        <f>V36</f>
        <v>0</v>
      </c>
      <c r="X33" s="552">
        <f>W36</f>
        <v>0</v>
      </c>
    </row>
    <row r="34" spans="2:29" ht="12.75" hidden="1" customHeight="1" x14ac:dyDescent="0.2">
      <c r="B34" s="552" t="s">
        <v>421</v>
      </c>
      <c r="C34" s="552"/>
      <c r="D34" s="552">
        <f t="shared" ref="D34:X34" si="12">(D24*D33)/1000</f>
        <v>164</v>
      </c>
      <c r="E34" s="552">
        <f t="shared" si="12"/>
        <v>0</v>
      </c>
      <c r="F34" s="552">
        <f t="shared" si="12"/>
        <v>0</v>
      </c>
      <c r="G34" s="552">
        <f t="shared" si="12"/>
        <v>0</v>
      </c>
      <c r="H34" s="552">
        <f t="shared" si="12"/>
        <v>0</v>
      </c>
      <c r="I34" s="552">
        <f t="shared" si="12"/>
        <v>0</v>
      </c>
      <c r="J34" s="552">
        <f t="shared" si="12"/>
        <v>0</v>
      </c>
      <c r="K34" s="552">
        <f t="shared" si="12"/>
        <v>0</v>
      </c>
      <c r="L34" s="552">
        <f t="shared" si="12"/>
        <v>0</v>
      </c>
      <c r="M34" s="552">
        <f t="shared" si="12"/>
        <v>0</v>
      </c>
      <c r="N34" s="552">
        <f t="shared" si="12"/>
        <v>0</v>
      </c>
      <c r="O34" s="552">
        <f t="shared" si="12"/>
        <v>0</v>
      </c>
      <c r="P34" s="552">
        <f t="shared" si="12"/>
        <v>0</v>
      </c>
      <c r="Q34" s="552">
        <f t="shared" si="12"/>
        <v>0</v>
      </c>
      <c r="R34" s="552">
        <f t="shared" si="12"/>
        <v>0</v>
      </c>
      <c r="S34" s="552">
        <f t="shared" si="12"/>
        <v>0</v>
      </c>
      <c r="T34" s="552">
        <f t="shared" si="12"/>
        <v>0</v>
      </c>
      <c r="U34" s="552">
        <f t="shared" si="12"/>
        <v>0</v>
      </c>
      <c r="V34" s="552">
        <f t="shared" si="12"/>
        <v>0</v>
      </c>
      <c r="W34" s="552">
        <f t="shared" si="12"/>
        <v>0</v>
      </c>
      <c r="X34" s="552">
        <f t="shared" si="12"/>
        <v>0</v>
      </c>
    </row>
    <row r="35" spans="2:29" ht="12.75" hidden="1" customHeight="1" x14ac:dyDescent="0.2">
      <c r="B35" s="552" t="s">
        <v>422</v>
      </c>
      <c r="C35" s="552"/>
      <c r="D35" s="552">
        <f t="shared" ref="D35:X35" si="13">((D36/D33)^(1/D18)-1)*100</f>
        <v>-100</v>
      </c>
      <c r="E35" s="552" t="e">
        <f t="shared" si="13"/>
        <v>#DIV/0!</v>
      </c>
      <c r="F35" s="552" t="e">
        <f t="shared" si="13"/>
        <v>#DIV/0!</v>
      </c>
      <c r="G35" s="552" t="e">
        <f t="shared" si="13"/>
        <v>#DIV/0!</v>
      </c>
      <c r="H35" s="552" t="e">
        <f t="shared" si="13"/>
        <v>#DIV/0!</v>
      </c>
      <c r="I35" s="552" t="e">
        <f t="shared" si="13"/>
        <v>#DIV/0!</v>
      </c>
      <c r="J35" s="552" t="e">
        <f t="shared" si="13"/>
        <v>#DIV/0!</v>
      </c>
      <c r="K35" s="552" t="e">
        <f t="shared" si="13"/>
        <v>#DIV/0!</v>
      </c>
      <c r="L35" s="552" t="e">
        <f t="shared" si="13"/>
        <v>#DIV/0!</v>
      </c>
      <c r="M35" s="552" t="e">
        <f t="shared" si="13"/>
        <v>#DIV/0!</v>
      </c>
      <c r="N35" s="552" t="e">
        <f t="shared" si="13"/>
        <v>#DIV/0!</v>
      </c>
      <c r="O35" s="552" t="e">
        <f t="shared" si="13"/>
        <v>#DIV/0!</v>
      </c>
      <c r="P35" s="552" t="e">
        <f t="shared" si="13"/>
        <v>#DIV/0!</v>
      </c>
      <c r="Q35" s="552" t="e">
        <f t="shared" si="13"/>
        <v>#DIV/0!</v>
      </c>
      <c r="R35" s="552" t="e">
        <f t="shared" si="13"/>
        <v>#DIV/0!</v>
      </c>
      <c r="S35" s="552" t="e">
        <f t="shared" si="13"/>
        <v>#DIV/0!</v>
      </c>
      <c r="T35" s="552" t="e">
        <f t="shared" si="13"/>
        <v>#DIV/0!</v>
      </c>
      <c r="U35" s="552" t="e">
        <f t="shared" si="13"/>
        <v>#DIV/0!</v>
      </c>
      <c r="V35" s="552" t="e">
        <f t="shared" si="13"/>
        <v>#DIV/0!</v>
      </c>
      <c r="W35" s="552" t="e">
        <f t="shared" si="13"/>
        <v>#DIV/0!</v>
      </c>
      <c r="X35" s="552" t="e">
        <f t="shared" si="13"/>
        <v>#DIV/0!</v>
      </c>
    </row>
    <row r="36" spans="2:29" ht="15" hidden="1" customHeight="1" x14ac:dyDescent="0.2">
      <c r="B36" s="553" t="s">
        <v>423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</row>
    <row r="37" spans="2:29" ht="15" hidden="1" customHeight="1" x14ac:dyDescent="0.2">
      <c r="B37" s="553" t="s">
        <v>424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</row>
    <row r="38" spans="2:29" ht="15" hidden="1" customHeight="1" x14ac:dyDescent="0.2">
      <c r="B38" s="553" t="s">
        <v>425</v>
      </c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</row>
    <row r="39" spans="2:29" ht="15" hidden="1" customHeight="1" x14ac:dyDescent="0.2">
      <c r="B39" s="552" t="s">
        <v>426</v>
      </c>
      <c r="C39" s="552"/>
      <c r="D39" s="552">
        <f t="shared" ref="D39:O39" si="14">(D31*D36)/1000</f>
        <v>0</v>
      </c>
      <c r="E39" s="552">
        <f t="shared" si="14"/>
        <v>0</v>
      </c>
      <c r="F39" s="552">
        <f t="shared" si="14"/>
        <v>0</v>
      </c>
      <c r="G39" s="552">
        <f t="shared" si="14"/>
        <v>0</v>
      </c>
      <c r="H39" s="552">
        <f t="shared" si="14"/>
        <v>0</v>
      </c>
      <c r="I39" s="552">
        <f t="shared" si="14"/>
        <v>0</v>
      </c>
      <c r="J39" s="552">
        <f t="shared" si="14"/>
        <v>0</v>
      </c>
      <c r="K39" s="552">
        <f t="shared" si="14"/>
        <v>0</v>
      </c>
      <c r="L39" s="552">
        <f t="shared" si="14"/>
        <v>0</v>
      </c>
      <c r="M39" s="552">
        <f t="shared" si="14"/>
        <v>0</v>
      </c>
      <c r="N39" s="552">
        <f t="shared" si="14"/>
        <v>0</v>
      </c>
      <c r="O39" s="552">
        <f t="shared" si="14"/>
        <v>0</v>
      </c>
      <c r="P39" s="552"/>
      <c r="Q39" s="552"/>
      <c r="R39" s="552"/>
      <c r="S39" s="552"/>
      <c r="T39" s="552"/>
      <c r="U39" s="552"/>
      <c r="V39" s="552"/>
      <c r="W39" s="552"/>
      <c r="X39" s="552"/>
    </row>
    <row r="40" spans="2:29" ht="15" hidden="1" customHeight="1" x14ac:dyDescent="0.2">
      <c r="B40" s="550" t="s">
        <v>427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0"/>
      <c r="X40" s="550"/>
    </row>
    <row r="41" spans="2:29" ht="12.75" hidden="1" customHeight="1" x14ac:dyDescent="0.2">
      <c r="B41" s="553" t="s">
        <v>428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</row>
    <row r="42" spans="2:29" ht="12.75" hidden="1" customHeight="1" x14ac:dyDescent="0.2">
      <c r="B42" s="552" t="s">
        <v>429</v>
      </c>
      <c r="C42" s="552"/>
      <c r="D42" s="552">
        <f t="shared" ref="D42:X42" si="15">IF(D41&gt;0,(D41/(D39-D34)),(0))</f>
        <v>0</v>
      </c>
      <c r="E42" s="552">
        <f t="shared" si="15"/>
        <v>0</v>
      </c>
      <c r="F42" s="552">
        <f t="shared" si="15"/>
        <v>0</v>
      </c>
      <c r="G42" s="552">
        <f t="shared" si="15"/>
        <v>0</v>
      </c>
      <c r="H42" s="552">
        <f t="shared" si="15"/>
        <v>0</v>
      </c>
      <c r="I42" s="552">
        <f t="shared" si="15"/>
        <v>0</v>
      </c>
      <c r="J42" s="552">
        <f t="shared" si="15"/>
        <v>0</v>
      </c>
      <c r="K42" s="552">
        <f t="shared" si="15"/>
        <v>0</v>
      </c>
      <c r="L42" s="552">
        <f t="shared" si="15"/>
        <v>0</v>
      </c>
      <c r="M42" s="552">
        <f t="shared" si="15"/>
        <v>0</v>
      </c>
      <c r="N42" s="552">
        <f t="shared" si="15"/>
        <v>0</v>
      </c>
      <c r="O42" s="552">
        <f t="shared" si="15"/>
        <v>0</v>
      </c>
      <c r="P42" s="552">
        <f t="shared" si="15"/>
        <v>0</v>
      </c>
      <c r="Q42" s="552">
        <f t="shared" si="15"/>
        <v>0</v>
      </c>
      <c r="R42" s="552">
        <f t="shared" si="15"/>
        <v>0</v>
      </c>
      <c r="S42" s="552">
        <f t="shared" si="15"/>
        <v>0</v>
      </c>
      <c r="T42" s="552">
        <f t="shared" si="15"/>
        <v>0</v>
      </c>
      <c r="U42" s="552">
        <f t="shared" si="15"/>
        <v>0</v>
      </c>
      <c r="V42" s="552">
        <f t="shared" si="15"/>
        <v>0</v>
      </c>
      <c r="W42" s="552">
        <f t="shared" si="15"/>
        <v>0</v>
      </c>
      <c r="X42" s="552">
        <f t="shared" si="15"/>
        <v>0</v>
      </c>
    </row>
    <row r="43" spans="2:29" s="265" customFormat="1" ht="12.75" hidden="1" customHeight="1" x14ac:dyDescent="0.2">
      <c r="B43" s="552" t="s">
        <v>430</v>
      </c>
      <c r="C43" s="552"/>
      <c r="D43" s="552">
        <f>D41</f>
        <v>0</v>
      </c>
      <c r="E43" s="552">
        <f>(D43+E41)</f>
        <v>0</v>
      </c>
      <c r="F43" s="552">
        <f>(E43+F41)</f>
        <v>0</v>
      </c>
      <c r="G43" s="552">
        <f t="shared" ref="G43:T43" si="16">(F43+G41)</f>
        <v>0</v>
      </c>
      <c r="H43" s="552">
        <f t="shared" si="16"/>
        <v>0</v>
      </c>
      <c r="I43" s="552">
        <f t="shared" si="16"/>
        <v>0</v>
      </c>
      <c r="J43" s="552">
        <f t="shared" si="16"/>
        <v>0</v>
      </c>
      <c r="K43" s="552">
        <f t="shared" si="16"/>
        <v>0</v>
      </c>
      <c r="L43" s="552">
        <f t="shared" si="16"/>
        <v>0</v>
      </c>
      <c r="M43" s="552">
        <f t="shared" si="16"/>
        <v>0</v>
      </c>
      <c r="N43" s="552">
        <f t="shared" si="16"/>
        <v>0</v>
      </c>
      <c r="O43" s="552">
        <f t="shared" si="16"/>
        <v>0</v>
      </c>
      <c r="P43" s="552">
        <f t="shared" si="16"/>
        <v>0</v>
      </c>
      <c r="Q43" s="552">
        <f t="shared" si="16"/>
        <v>0</v>
      </c>
      <c r="R43" s="552">
        <f t="shared" si="16"/>
        <v>0</v>
      </c>
      <c r="S43" s="552">
        <f t="shared" si="16"/>
        <v>0</v>
      </c>
      <c r="T43" s="552">
        <f t="shared" si="16"/>
        <v>0</v>
      </c>
      <c r="U43" s="552">
        <f>(T43+U41)</f>
        <v>0</v>
      </c>
      <c r="V43" s="552">
        <f>(U43+V41)</f>
        <v>0</v>
      </c>
      <c r="W43" s="552">
        <f>(V43+W41)</f>
        <v>0</v>
      </c>
      <c r="X43" s="552">
        <f>(W43+X41)</f>
        <v>0</v>
      </c>
    </row>
    <row r="44" spans="2:29" s="265" customFormat="1" ht="15" hidden="1" customHeight="1" x14ac:dyDescent="0.2">
      <c r="B44" s="552" t="s">
        <v>431</v>
      </c>
      <c r="C44" s="552"/>
      <c r="D44" s="552">
        <f>D42</f>
        <v>0</v>
      </c>
      <c r="E44" s="552">
        <f t="shared" ref="E44:X44" si="17">IF(E41&gt;0,(E43/(E39-$D34)),(0))</f>
        <v>0</v>
      </c>
      <c r="F44" s="552">
        <f t="shared" si="17"/>
        <v>0</v>
      </c>
      <c r="G44" s="552">
        <f t="shared" si="17"/>
        <v>0</v>
      </c>
      <c r="H44" s="552">
        <f t="shared" si="17"/>
        <v>0</v>
      </c>
      <c r="I44" s="552">
        <f t="shared" si="17"/>
        <v>0</v>
      </c>
      <c r="J44" s="552">
        <f t="shared" si="17"/>
        <v>0</v>
      </c>
      <c r="K44" s="552">
        <f t="shared" si="17"/>
        <v>0</v>
      </c>
      <c r="L44" s="552">
        <f t="shared" si="17"/>
        <v>0</v>
      </c>
      <c r="M44" s="552">
        <f t="shared" si="17"/>
        <v>0</v>
      </c>
      <c r="N44" s="552">
        <f t="shared" si="17"/>
        <v>0</v>
      </c>
      <c r="O44" s="552">
        <f t="shared" si="17"/>
        <v>0</v>
      </c>
      <c r="P44" s="552">
        <f t="shared" si="17"/>
        <v>0</v>
      </c>
      <c r="Q44" s="552">
        <f t="shared" si="17"/>
        <v>0</v>
      </c>
      <c r="R44" s="552">
        <f t="shared" si="17"/>
        <v>0</v>
      </c>
      <c r="S44" s="552">
        <f t="shared" si="17"/>
        <v>0</v>
      </c>
      <c r="T44" s="552">
        <f t="shared" si="17"/>
        <v>0</v>
      </c>
      <c r="U44" s="552">
        <f t="shared" si="17"/>
        <v>0</v>
      </c>
      <c r="V44" s="552">
        <f t="shared" si="17"/>
        <v>0</v>
      </c>
      <c r="W44" s="552">
        <f t="shared" si="17"/>
        <v>0</v>
      </c>
      <c r="X44" s="552">
        <f t="shared" si="17"/>
        <v>0</v>
      </c>
    </row>
    <row r="45" spans="2:29" ht="15" hidden="1" customHeight="1" x14ac:dyDescent="0.2"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</row>
    <row r="46" spans="2:29" s="198" customFormat="1" ht="13.5" hidden="1" thickBot="1" x14ac:dyDescent="0.25">
      <c r="B46" s="1419"/>
      <c r="C46" s="1419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5"/>
      <c r="U46" s="555"/>
      <c r="V46" s="555"/>
      <c r="W46" s="555"/>
      <c r="X46" s="555"/>
    </row>
    <row r="47" spans="2:29" ht="16.5" thickBot="1" x14ac:dyDescent="0.3">
      <c r="B47" s="5" t="s">
        <v>432</v>
      </c>
    </row>
    <row r="48" spans="2:29" ht="15" customHeight="1" thickBot="1" x14ac:dyDescent="0.3">
      <c r="B48" s="550" t="s">
        <v>466</v>
      </c>
      <c r="C48" s="550"/>
      <c r="D48" s="1400" t="s">
        <v>473</v>
      </c>
      <c r="E48" s="1401"/>
      <c r="F48" s="1402"/>
      <c r="G48" s="1403" t="s">
        <v>578</v>
      </c>
      <c r="H48" s="1404"/>
      <c r="I48" s="1404"/>
      <c r="J48" s="1404"/>
      <c r="K48" s="1404"/>
      <c r="L48" s="1404"/>
      <c r="M48" s="1404"/>
      <c r="N48" s="1404"/>
      <c r="O48" s="1404"/>
      <c r="P48" s="1404"/>
      <c r="Q48" s="1404"/>
      <c r="R48" s="1404"/>
      <c r="S48" s="1404"/>
      <c r="T48" s="1404"/>
      <c r="U48" s="1404"/>
      <c r="V48" s="1404"/>
      <c r="W48" s="1404"/>
      <c r="X48" s="1404"/>
      <c r="Y48" s="1404"/>
      <c r="Z48" s="1404"/>
      <c r="AA48" s="1404"/>
      <c r="AB48" s="1404"/>
      <c r="AC48" s="1406"/>
    </row>
    <row r="49" spans="2:29" ht="12.75" customHeight="1" x14ac:dyDescent="0.2">
      <c r="B49" s="552" t="s">
        <v>411</v>
      </c>
      <c r="C49" s="552"/>
      <c r="D49" s="784">
        <f>Q4</f>
        <v>82000</v>
      </c>
      <c r="E49" s="861">
        <f>D55</f>
        <v>77080</v>
      </c>
      <c r="F49" s="1067">
        <f>E55</f>
        <v>70219.88</v>
      </c>
      <c r="G49" s="1107">
        <f t="shared" ref="G49:S49" si="18">F55</f>
        <v>66006.6872</v>
      </c>
      <c r="H49" s="1108">
        <f t="shared" si="18"/>
        <v>63366.419712000003</v>
      </c>
      <c r="I49" s="1105">
        <f t="shared" si="18"/>
        <v>60831.76292352</v>
      </c>
      <c r="J49" s="1105">
        <f t="shared" si="18"/>
        <v>59554.295902126083</v>
      </c>
      <c r="K49" s="1105">
        <f t="shared" si="18"/>
        <v>58303.655688181432</v>
      </c>
      <c r="L49" s="1105">
        <f t="shared" si="18"/>
        <v>57604.011819923253</v>
      </c>
      <c r="M49" s="1105">
        <f t="shared" si="18"/>
        <v>57488.803796283406</v>
      </c>
      <c r="N49" s="1105">
        <f t="shared" si="18"/>
        <v>57373.826188690837</v>
      </c>
      <c r="O49" s="1105">
        <f t="shared" si="18"/>
        <v>57259.078536313456</v>
      </c>
      <c r="P49" s="1105">
        <f t="shared" si="18"/>
        <v>57144.560379240829</v>
      </c>
      <c r="Q49" s="1105">
        <f t="shared" si="18"/>
        <v>57030.271258482346</v>
      </c>
      <c r="R49" s="1105">
        <f t="shared" si="18"/>
        <v>56916.210715965382</v>
      </c>
      <c r="S49" s="1105">
        <f t="shared" si="18"/>
        <v>56802.378294533453</v>
      </c>
      <c r="T49" s="1105">
        <f>S55</f>
        <v>56688.773537944384</v>
      </c>
      <c r="U49" s="1105">
        <f>T55</f>
        <v>56575.395990868492</v>
      </c>
      <c r="V49" s="1105">
        <f t="shared" ref="V49:X49" si="19">U55</f>
        <v>56462.245198886754</v>
      </c>
      <c r="W49" s="1105">
        <f t="shared" si="19"/>
        <v>56349.32070848898</v>
      </c>
      <c r="X49" s="1105">
        <f t="shared" si="19"/>
        <v>56236.622067071999</v>
      </c>
      <c r="Y49" s="1105">
        <f t="shared" ref="Y49" si="20">X55</f>
        <v>56124.148822937852</v>
      </c>
      <c r="Z49" s="1105">
        <f t="shared" ref="Z49" si="21">Y55</f>
        <v>56011.900525291974</v>
      </c>
      <c r="AA49" s="1105">
        <f t="shared" ref="AA49" si="22">Z55</f>
        <v>55899.876724241389</v>
      </c>
      <c r="AB49" s="1105">
        <f t="shared" ref="AB49:AC49" si="23">AA55</f>
        <v>35788.076970792907</v>
      </c>
      <c r="AC49" s="1151">
        <f t="shared" si="23"/>
        <v>15716.500816851323</v>
      </c>
    </row>
    <row r="50" spans="2:29" s="265" customFormat="1" ht="12.75" customHeight="1" x14ac:dyDescent="0.2">
      <c r="B50" s="552" t="s">
        <v>413</v>
      </c>
      <c r="C50" s="552"/>
      <c r="D50" s="785">
        <f t="shared" ref="D50:Y50" si="24">D49*D52</f>
        <v>4920</v>
      </c>
      <c r="E50" s="772">
        <f t="shared" si="24"/>
        <v>6860.12</v>
      </c>
      <c r="F50" s="1068">
        <f t="shared" si="24"/>
        <v>4213.1927999999998</v>
      </c>
      <c r="G50" s="785">
        <f t="shared" si="24"/>
        <v>2640.267488</v>
      </c>
      <c r="H50" s="772">
        <f t="shared" si="24"/>
        <v>2534.6567884800002</v>
      </c>
      <c r="I50" s="552">
        <f t="shared" si="24"/>
        <v>1277.46702139392</v>
      </c>
      <c r="J50" s="552">
        <f t="shared" si="24"/>
        <v>1250.6402139446477</v>
      </c>
      <c r="K50" s="552">
        <f t="shared" si="24"/>
        <v>699.64386825817724</v>
      </c>
      <c r="L50" s="552">
        <f t="shared" si="24"/>
        <v>115.2080236398465</v>
      </c>
      <c r="M50" s="552">
        <f t="shared" si="24"/>
        <v>114.97760759256681</v>
      </c>
      <c r="N50" s="552">
        <f t="shared" si="24"/>
        <v>114.74765237738167</v>
      </c>
      <c r="O50" s="552">
        <f t="shared" si="24"/>
        <v>114.51815707262692</v>
      </c>
      <c r="P50" s="552">
        <f t="shared" si="24"/>
        <v>114.28912075848166</v>
      </c>
      <c r="Q50" s="552">
        <f t="shared" si="24"/>
        <v>114.06054251696469</v>
      </c>
      <c r="R50" s="552">
        <f t="shared" si="24"/>
        <v>113.83242143193077</v>
      </c>
      <c r="S50" s="552">
        <f t="shared" si="24"/>
        <v>113.60475658906691</v>
      </c>
      <c r="T50" s="552">
        <f t="shared" si="24"/>
        <v>113.37754707588877</v>
      </c>
      <c r="U50" s="552">
        <f t="shared" si="24"/>
        <v>113.15079198173699</v>
      </c>
      <c r="V50" s="552">
        <f t="shared" si="24"/>
        <v>112.92449039777351</v>
      </c>
      <c r="W50" s="552">
        <f t="shared" si="24"/>
        <v>112.69864141697796</v>
      </c>
      <c r="X50" s="552">
        <f t="shared" si="24"/>
        <v>112.473244134144</v>
      </c>
      <c r="Y50" s="552">
        <f t="shared" si="24"/>
        <v>112.24829764587571</v>
      </c>
      <c r="Z50" s="552">
        <f t="shared" ref="Z50:AA50" si="25">Z49*Z52</f>
        <v>112.02380105058396</v>
      </c>
      <c r="AA50" s="552">
        <f t="shared" si="25"/>
        <v>111.79975344848278</v>
      </c>
      <c r="AB50" s="552">
        <f t="shared" ref="AB50:AC50" si="26">AB49*AB52</f>
        <v>71.576153941585815</v>
      </c>
      <c r="AC50" s="863">
        <f t="shared" si="26"/>
        <v>31.433001633702649</v>
      </c>
    </row>
    <row r="51" spans="2:29" s="265" customFormat="1" ht="15" customHeight="1" x14ac:dyDescent="0.2">
      <c r="B51" s="552" t="s">
        <v>532</v>
      </c>
      <c r="C51" s="552"/>
      <c r="D51" s="785">
        <f>D50</f>
        <v>4920</v>
      </c>
      <c r="E51" s="772">
        <f>D51+E50</f>
        <v>11780.119999999999</v>
      </c>
      <c r="F51" s="1068">
        <f t="shared" ref="F51:S51" si="27">E51+F50</f>
        <v>15993.3128</v>
      </c>
      <c r="G51" s="785">
        <f t="shared" si="27"/>
        <v>18633.580288000001</v>
      </c>
      <c r="H51" s="772">
        <f t="shared" si="27"/>
        <v>21168.23707648</v>
      </c>
      <c r="I51" s="552">
        <f t="shared" si="27"/>
        <v>22445.704097873921</v>
      </c>
      <c r="J51" s="552">
        <f t="shared" si="27"/>
        <v>23696.344311818568</v>
      </c>
      <c r="K51" s="552">
        <f t="shared" si="27"/>
        <v>24395.988180076743</v>
      </c>
      <c r="L51" s="552">
        <f t="shared" si="27"/>
        <v>24511.19620371659</v>
      </c>
      <c r="M51" s="552">
        <f t="shared" si="27"/>
        <v>24626.173811309156</v>
      </c>
      <c r="N51" s="552">
        <f t="shared" si="27"/>
        <v>24740.921463686536</v>
      </c>
      <c r="O51" s="552">
        <f t="shared" si="27"/>
        <v>24855.439620759164</v>
      </c>
      <c r="P51" s="552">
        <f t="shared" si="27"/>
        <v>24969.728741517647</v>
      </c>
      <c r="Q51" s="552">
        <f t="shared" si="27"/>
        <v>25083.78928403461</v>
      </c>
      <c r="R51" s="552">
        <f t="shared" si="27"/>
        <v>25197.621705466539</v>
      </c>
      <c r="S51" s="552">
        <f t="shared" si="27"/>
        <v>25311.226462055605</v>
      </c>
      <c r="T51" s="552">
        <f>S51+T50</f>
        <v>25424.604009131494</v>
      </c>
      <c r="U51" s="552">
        <f>T51+U50</f>
        <v>25537.754801113231</v>
      </c>
      <c r="V51" s="552">
        <f t="shared" ref="V51:X51" si="28">U51+V50</f>
        <v>25650.679291511005</v>
      </c>
      <c r="W51" s="552">
        <f t="shared" si="28"/>
        <v>25763.377932927982</v>
      </c>
      <c r="X51" s="552">
        <f t="shared" si="28"/>
        <v>25875.851177062126</v>
      </c>
      <c r="Y51" s="552">
        <f t="shared" ref="Y51" si="29">X51+Y50</f>
        <v>25988.099474708</v>
      </c>
      <c r="Z51" s="552">
        <f t="shared" ref="Z51" si="30">Y51+Z50</f>
        <v>26100.123275758586</v>
      </c>
      <c r="AA51" s="552">
        <f t="shared" ref="AA51" si="31">Z51+AA50</f>
        <v>26211.923029207068</v>
      </c>
      <c r="AB51" s="552">
        <f t="shared" ref="AB51:AC51" si="32">AA51+AB50</f>
        <v>26283.499183148655</v>
      </c>
      <c r="AC51" s="863">
        <f t="shared" si="32"/>
        <v>26314.932184782359</v>
      </c>
    </row>
    <row r="52" spans="2:29" s="265" customFormat="1" ht="15" customHeight="1" x14ac:dyDescent="0.2">
      <c r="B52" s="552" t="s">
        <v>533</v>
      </c>
      <c r="C52" s="552"/>
      <c r="D52" s="786">
        <f>VLOOKUP(D58,'Input data'!$F$6:$H$51,3,FALSE)</f>
        <v>0.06</v>
      </c>
      <c r="E52" s="773">
        <f>VLOOKUP(E59,'Input data'!$F$6:$H$51,3,FALSE)</f>
        <v>8.8999999999999996E-2</v>
      </c>
      <c r="F52" s="1084">
        <f>VLOOKUP(F59,'Input data'!$F$6:$H$51,3,FALSE)</f>
        <v>0.06</v>
      </c>
      <c r="G52" s="786">
        <f>VLOOKUP(G59,'Input data'!$F$6:$H$51,3,FALSE)</f>
        <v>0.04</v>
      </c>
      <c r="H52" s="773">
        <f>VLOOKUP(H59,'Input data'!$F$6:$H$51,3,FALSE)</f>
        <v>0.04</v>
      </c>
      <c r="I52" s="556">
        <f>VLOOKUP(I59,'Input data'!$F$6:$H$51,3,FALSE)</f>
        <v>2.1000000000000001E-2</v>
      </c>
      <c r="J52" s="556">
        <f>VLOOKUP(J59,'Input data'!$F$6:$H$51,3,FALSE)</f>
        <v>2.1000000000000001E-2</v>
      </c>
      <c r="K52" s="556">
        <f>VLOOKUP(K59,'Input data'!$F$6:$H$51,3,FALSE)</f>
        <v>1.2E-2</v>
      </c>
      <c r="L52" s="556">
        <f>VLOOKUP(L59,'Input data'!$F$6:$H$51,3,FALSE)</f>
        <v>2E-3</v>
      </c>
      <c r="M52" s="556">
        <f>VLOOKUP(M59,'Input data'!$F$6:$H$51,3,FALSE)</f>
        <v>2E-3</v>
      </c>
      <c r="N52" s="556">
        <f>VLOOKUP(N59,'Input data'!$F$6:$H$51,3,FALSE)</f>
        <v>2E-3</v>
      </c>
      <c r="O52" s="556">
        <f>VLOOKUP(O59,'Input data'!$F$6:$H$51,3,FALSE)</f>
        <v>2E-3</v>
      </c>
      <c r="P52" s="556">
        <f>VLOOKUP(P59,'Input data'!$F$6:$H$51,3,FALSE)</f>
        <v>2E-3</v>
      </c>
      <c r="Q52" s="556">
        <f>VLOOKUP(Q59,'Input data'!$F$6:$H$51,3,FALSE)</f>
        <v>2E-3</v>
      </c>
      <c r="R52" s="556">
        <f>VLOOKUP(R59,'Input data'!$F$6:$H$51,3,FALSE)</f>
        <v>2E-3</v>
      </c>
      <c r="S52" s="556">
        <f>VLOOKUP(S59,'Input data'!$F$6:$H$51,3,FALSE)</f>
        <v>2E-3</v>
      </c>
      <c r="T52" s="556">
        <f>VLOOKUP(T59,'Input data'!$F$6:$H$51,3,FALSE)</f>
        <v>2E-3</v>
      </c>
      <c r="U52" s="556">
        <f>VLOOKUP(U59,'Input data'!$F$6:$H$51,3,FALSE)</f>
        <v>2E-3</v>
      </c>
      <c r="V52" s="556">
        <f>VLOOKUP(V59,'Input data'!$F$6:$H$51,3,FALSE)</f>
        <v>2E-3</v>
      </c>
      <c r="W52" s="556">
        <f>VLOOKUP(W59,'Input data'!$F$6:$H$51,3,FALSE)</f>
        <v>2E-3</v>
      </c>
      <c r="X52" s="556">
        <f>VLOOKUP(X59,'Input data'!$F$6:$H$51,3,FALSE)</f>
        <v>2E-3</v>
      </c>
      <c r="Y52" s="556">
        <f>VLOOKUP(Y59,'Input data'!$F$6:$H$51,3,FALSE)</f>
        <v>2E-3</v>
      </c>
      <c r="Z52" s="556">
        <f>VLOOKUP(Z59,'Input data'!$F$6:$H$51,3,FALSE)</f>
        <v>2E-3</v>
      </c>
      <c r="AA52" s="556">
        <f>VLOOKUP(AA59,'Input data'!$F$6:$H$51,3,FALSE)</f>
        <v>2E-3</v>
      </c>
      <c r="AB52" s="556">
        <f>VLOOKUP(AB59,'Input data'!$F$6:$H$51,3,FALSE)</f>
        <v>2E-3</v>
      </c>
      <c r="AC52" s="864">
        <f>VLOOKUP(AC59,'Input data'!$F$6:$H$51,3,FALSE)</f>
        <v>2E-3</v>
      </c>
    </row>
    <row r="53" spans="2:29" s="265" customFormat="1" ht="15" customHeight="1" x14ac:dyDescent="0.2">
      <c r="B53" s="552" t="s">
        <v>416</v>
      </c>
      <c r="C53" s="552"/>
      <c r="D53" s="787">
        <f t="shared" ref="D53:Y53" si="33">D51/$D49</f>
        <v>0.06</v>
      </c>
      <c r="E53" s="774">
        <f t="shared" si="33"/>
        <v>0.14365999999999998</v>
      </c>
      <c r="F53" s="1070">
        <f t="shared" si="33"/>
        <v>0.1950404</v>
      </c>
      <c r="G53" s="787">
        <f t="shared" si="33"/>
        <v>0.227238784</v>
      </c>
      <c r="H53" s="774">
        <f t="shared" si="33"/>
        <v>0.25814923264</v>
      </c>
      <c r="I53" s="651">
        <f t="shared" si="33"/>
        <v>0.27372809875456</v>
      </c>
      <c r="J53" s="651">
        <f t="shared" si="33"/>
        <v>0.28897980868071427</v>
      </c>
      <c r="K53" s="651">
        <f t="shared" si="33"/>
        <v>0.29751205097654565</v>
      </c>
      <c r="L53" s="651">
        <f t="shared" si="33"/>
        <v>0.29891702687459254</v>
      </c>
      <c r="M53" s="651">
        <f t="shared" si="33"/>
        <v>0.30031919282084335</v>
      </c>
      <c r="N53" s="651">
        <f t="shared" si="33"/>
        <v>0.30171855443520168</v>
      </c>
      <c r="O53" s="651">
        <f t="shared" si="33"/>
        <v>0.30311511732633128</v>
      </c>
      <c r="P53" s="651">
        <f t="shared" si="33"/>
        <v>0.30450888709167862</v>
      </c>
      <c r="Q53" s="651">
        <f t="shared" si="33"/>
        <v>0.30589986931749524</v>
      </c>
      <c r="R53" s="651">
        <f t="shared" si="33"/>
        <v>0.30728806957886023</v>
      </c>
      <c r="S53" s="651">
        <f t="shared" si="33"/>
        <v>0.30867349343970252</v>
      </c>
      <c r="T53" s="651">
        <f t="shared" si="33"/>
        <v>0.31005614645282309</v>
      </c>
      <c r="U53" s="651">
        <f t="shared" si="33"/>
        <v>0.31143603415991744</v>
      </c>
      <c r="V53" s="651">
        <f t="shared" si="33"/>
        <v>0.31281316209159765</v>
      </c>
      <c r="W53" s="651">
        <f t="shared" si="33"/>
        <v>0.31418753576741443</v>
      </c>
      <c r="X53" s="651">
        <f t="shared" si="33"/>
        <v>0.31555916069587958</v>
      </c>
      <c r="Y53" s="651">
        <f t="shared" si="33"/>
        <v>0.3169280423744878</v>
      </c>
      <c r="Z53" s="651">
        <f t="shared" ref="Z53:AA53" si="34">Z51/$D49</f>
        <v>0.31829418628973888</v>
      </c>
      <c r="AA53" s="651">
        <f t="shared" si="34"/>
        <v>0.31965759791715936</v>
      </c>
      <c r="AB53" s="651">
        <f t="shared" ref="AB53:AC53" si="35">AB51/$D49</f>
        <v>0.32053047784327626</v>
      </c>
      <c r="AC53" s="865">
        <f t="shared" si="35"/>
        <v>0.3209138071314922</v>
      </c>
    </row>
    <row r="54" spans="2:29" x14ac:dyDescent="0.2">
      <c r="B54" s="552" t="s">
        <v>417</v>
      </c>
      <c r="C54" s="552"/>
      <c r="D54" s="785">
        <f t="shared" ref="D54:Y54" si="36">IF(D57&gt;$Q$7,IF(D49&gt;$Q$6,$Q$6,D49-D50),0)</f>
        <v>0</v>
      </c>
      <c r="E54" s="772">
        <f t="shared" si="36"/>
        <v>0</v>
      </c>
      <c r="F54" s="1068">
        <f t="shared" si="36"/>
        <v>0</v>
      </c>
      <c r="G54" s="785">
        <f t="shared" si="36"/>
        <v>0</v>
      </c>
      <c r="H54" s="772">
        <f t="shared" si="36"/>
        <v>0</v>
      </c>
      <c r="I54" s="552">
        <f t="shared" si="36"/>
        <v>0</v>
      </c>
      <c r="J54" s="552">
        <f t="shared" si="36"/>
        <v>0</v>
      </c>
      <c r="K54" s="552">
        <f t="shared" si="36"/>
        <v>0</v>
      </c>
      <c r="L54" s="552">
        <f t="shared" si="36"/>
        <v>0</v>
      </c>
      <c r="M54" s="552">
        <f t="shared" si="36"/>
        <v>0</v>
      </c>
      <c r="N54" s="552">
        <f t="shared" si="36"/>
        <v>0</v>
      </c>
      <c r="O54" s="552">
        <f t="shared" si="36"/>
        <v>0</v>
      </c>
      <c r="P54" s="552">
        <f t="shared" si="36"/>
        <v>0</v>
      </c>
      <c r="Q54" s="552">
        <f t="shared" si="36"/>
        <v>0</v>
      </c>
      <c r="R54" s="552">
        <f t="shared" si="36"/>
        <v>0</v>
      </c>
      <c r="S54" s="552">
        <f t="shared" si="36"/>
        <v>0</v>
      </c>
      <c r="T54" s="552">
        <f t="shared" si="36"/>
        <v>0</v>
      </c>
      <c r="U54" s="552">
        <f t="shared" si="36"/>
        <v>0</v>
      </c>
      <c r="V54" s="552">
        <f t="shared" si="36"/>
        <v>0</v>
      </c>
      <c r="W54" s="552">
        <f t="shared" si="36"/>
        <v>0</v>
      </c>
      <c r="X54" s="552">
        <f t="shared" si="36"/>
        <v>0</v>
      </c>
      <c r="Y54" s="552">
        <f t="shared" si="36"/>
        <v>0</v>
      </c>
      <c r="Z54" s="552">
        <f t="shared" ref="Z54:AA54" si="37">IF(Z57&gt;$Q$7,IF(Z49&gt;$Q$6,$Q$6,Z49-Z50),0)</f>
        <v>0</v>
      </c>
      <c r="AA54" s="552">
        <f t="shared" si="37"/>
        <v>20000</v>
      </c>
      <c r="AB54" s="552">
        <f t="shared" ref="AB54:AC54" si="38">IF(AB57&gt;$Q$7,IF(AB49&gt;$Q$6,$Q$6,AB49-AB50),0)</f>
        <v>20000</v>
      </c>
      <c r="AC54" s="863">
        <f t="shared" si="38"/>
        <v>15685.067815217621</v>
      </c>
    </row>
    <row r="55" spans="2:29" ht="15" customHeight="1" x14ac:dyDescent="0.2">
      <c r="B55" s="552" t="s">
        <v>418</v>
      </c>
      <c r="C55" s="552"/>
      <c r="D55" s="785">
        <f>D49-D50-D54</f>
        <v>77080</v>
      </c>
      <c r="E55" s="772">
        <f t="shared" ref="E55:Y55" si="39">E49-E50-E54</f>
        <v>70219.88</v>
      </c>
      <c r="F55" s="1068">
        <f t="shared" si="39"/>
        <v>66006.6872</v>
      </c>
      <c r="G55" s="785">
        <f t="shared" si="39"/>
        <v>63366.419712000003</v>
      </c>
      <c r="H55" s="772">
        <f t="shared" si="39"/>
        <v>60831.76292352</v>
      </c>
      <c r="I55" s="552">
        <f t="shared" si="39"/>
        <v>59554.295902126083</v>
      </c>
      <c r="J55" s="552">
        <f t="shared" si="39"/>
        <v>58303.655688181432</v>
      </c>
      <c r="K55" s="552">
        <f t="shared" si="39"/>
        <v>57604.011819923253</v>
      </c>
      <c r="L55" s="552">
        <f t="shared" si="39"/>
        <v>57488.803796283406</v>
      </c>
      <c r="M55" s="552">
        <f t="shared" si="39"/>
        <v>57373.826188690837</v>
      </c>
      <c r="N55" s="552">
        <f t="shared" si="39"/>
        <v>57259.078536313456</v>
      </c>
      <c r="O55" s="552">
        <f t="shared" si="39"/>
        <v>57144.560379240829</v>
      </c>
      <c r="P55" s="552">
        <f t="shared" si="39"/>
        <v>57030.271258482346</v>
      </c>
      <c r="Q55" s="552">
        <f t="shared" si="39"/>
        <v>56916.210715965382</v>
      </c>
      <c r="R55" s="552">
        <f t="shared" si="39"/>
        <v>56802.378294533453</v>
      </c>
      <c r="S55" s="552">
        <f t="shared" si="39"/>
        <v>56688.773537944384</v>
      </c>
      <c r="T55" s="552">
        <f t="shared" si="39"/>
        <v>56575.395990868492</v>
      </c>
      <c r="U55" s="552">
        <f t="shared" si="39"/>
        <v>56462.245198886754</v>
      </c>
      <c r="V55" s="552">
        <f t="shared" si="39"/>
        <v>56349.32070848898</v>
      </c>
      <c r="W55" s="552">
        <f t="shared" si="39"/>
        <v>56236.622067071999</v>
      </c>
      <c r="X55" s="552">
        <f t="shared" si="39"/>
        <v>56124.148822937852</v>
      </c>
      <c r="Y55" s="171">
        <f t="shared" si="39"/>
        <v>56011.900525291974</v>
      </c>
      <c r="Z55" s="171">
        <f t="shared" ref="Z55:AA55" si="40">Z49-Z50-Z54</f>
        <v>55899.876724241389</v>
      </c>
      <c r="AA55" s="171">
        <f t="shared" si="40"/>
        <v>35788.076970792907</v>
      </c>
      <c r="AB55" s="171">
        <f t="shared" ref="AB55:AC55" si="41">AB49-AB50-AB54</f>
        <v>15716.500816851323</v>
      </c>
      <c r="AC55" s="1089">
        <f t="shared" si="41"/>
        <v>0</v>
      </c>
    </row>
    <row r="56" spans="2:29" ht="15" customHeight="1" x14ac:dyDescent="0.2">
      <c r="B56" s="550" t="s">
        <v>433</v>
      </c>
      <c r="C56" s="550"/>
      <c r="D56" s="788"/>
      <c r="E56" s="771"/>
      <c r="F56" s="1071"/>
      <c r="G56" s="788"/>
      <c r="H56" s="771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887"/>
      <c r="Z56" s="887"/>
      <c r="AA56" s="887"/>
      <c r="AB56" s="887"/>
      <c r="AC56" s="1087"/>
    </row>
    <row r="57" spans="2:29" ht="12.75" customHeight="1" x14ac:dyDescent="0.2">
      <c r="B57" s="552" t="s">
        <v>434</v>
      </c>
      <c r="C57" s="552"/>
      <c r="D57" s="785">
        <f>Q5</f>
        <v>2</v>
      </c>
      <c r="E57" s="772">
        <f>D61</f>
        <v>4.8642906062587334</v>
      </c>
      <c r="F57" s="1068">
        <f>E61</f>
        <v>11.65391493542978</v>
      </c>
      <c r="G57" s="785">
        <f t="shared" ref="G57:L57" si="42">F61</f>
        <v>26.888098931134401</v>
      </c>
      <c r="H57" s="772">
        <f t="shared" si="42"/>
        <v>47.498794919758069</v>
      </c>
      <c r="I57" s="552">
        <f t="shared" si="42"/>
        <v>83.908331511559538</v>
      </c>
      <c r="J57" s="552">
        <f t="shared" si="42"/>
        <v>133.23547818435512</v>
      </c>
      <c r="K57" s="552">
        <f t="shared" si="42"/>
        <v>196.49209098426297</v>
      </c>
      <c r="L57" s="552">
        <f t="shared" si="42"/>
        <v>265.76753620944737</v>
      </c>
      <c r="M57" s="552">
        <f>L61</f>
        <v>331.8223988278404</v>
      </c>
      <c r="N57" s="552">
        <f t="shared" ref="N57:U57" si="43">M61</f>
        <v>395.75613189684219</v>
      </c>
      <c r="O57" s="552">
        <f t="shared" si="43"/>
        <v>464.02807372943266</v>
      </c>
      <c r="P57" s="552">
        <f t="shared" si="43"/>
        <v>543.79293047637077</v>
      </c>
      <c r="Q57" s="552">
        <f t="shared" si="43"/>
        <v>619.14374095383653</v>
      </c>
      <c r="R57" s="552">
        <f t="shared" si="43"/>
        <v>705.21049337181978</v>
      </c>
      <c r="S57" s="552">
        <f t="shared" si="43"/>
        <v>799.87584916150422</v>
      </c>
      <c r="T57" s="552">
        <f t="shared" si="43"/>
        <v>911.08517462805764</v>
      </c>
      <c r="U57" s="552">
        <f t="shared" si="43"/>
        <v>1035.6942215355884</v>
      </c>
      <c r="V57" s="552">
        <f t="shared" ref="V57" si="44">U61</f>
        <v>1170.2564682432524</v>
      </c>
      <c r="W57" s="552">
        <f t="shared" ref="W57" si="45">V61</f>
        <v>1327.6966634499061</v>
      </c>
      <c r="X57" s="552">
        <f t="shared" ref="X57" si="46">W61</f>
        <v>1489.4769074484377</v>
      </c>
      <c r="Y57" s="552">
        <f t="shared" ref="Y57" si="47">X61</f>
        <v>1664.999112344381</v>
      </c>
      <c r="Z57" s="552">
        <f t="shared" ref="Z57" si="48">Y61</f>
        <v>1861.2051185516918</v>
      </c>
      <c r="AA57" s="552">
        <f t="shared" ref="AA57:AC57" si="49">Z61</f>
        <v>2054.9957731471336</v>
      </c>
      <c r="AB57" s="552">
        <f t="shared" si="49"/>
        <v>2293.1716244255999</v>
      </c>
      <c r="AC57" s="863">
        <f t="shared" si="49"/>
        <v>2563.3853456705638</v>
      </c>
    </row>
    <row r="58" spans="2:29" ht="12.75" customHeight="1" x14ac:dyDescent="0.2">
      <c r="B58" s="552" t="s">
        <v>435</v>
      </c>
      <c r="C58" s="552"/>
      <c r="D58" s="785">
        <f>ROUNDUP(D57*1.1,0)</f>
        <v>3</v>
      </c>
      <c r="E58" s="772">
        <f t="shared" ref="E58:U58" si="50">ROUNDUP(E57*1.1,0)</f>
        <v>6</v>
      </c>
      <c r="F58" s="1068">
        <f t="shared" si="50"/>
        <v>13</v>
      </c>
      <c r="G58" s="785">
        <f t="shared" si="50"/>
        <v>30</v>
      </c>
      <c r="H58" s="772">
        <f t="shared" si="50"/>
        <v>53</v>
      </c>
      <c r="I58" s="552">
        <f t="shared" si="50"/>
        <v>93</v>
      </c>
      <c r="J58" s="552">
        <f t="shared" si="50"/>
        <v>147</v>
      </c>
      <c r="K58" s="552">
        <f t="shared" si="50"/>
        <v>217</v>
      </c>
      <c r="L58" s="552">
        <f t="shared" si="50"/>
        <v>293</v>
      </c>
      <c r="M58" s="552">
        <f t="shared" si="50"/>
        <v>366</v>
      </c>
      <c r="N58" s="552">
        <f t="shared" si="50"/>
        <v>436</v>
      </c>
      <c r="O58" s="552">
        <f t="shared" si="50"/>
        <v>511</v>
      </c>
      <c r="P58" s="552">
        <f t="shared" si="50"/>
        <v>599</v>
      </c>
      <c r="Q58" s="552">
        <f t="shared" si="50"/>
        <v>682</v>
      </c>
      <c r="R58" s="552">
        <f t="shared" si="50"/>
        <v>776</v>
      </c>
      <c r="S58" s="552">
        <f t="shared" si="50"/>
        <v>880</v>
      </c>
      <c r="T58" s="552">
        <f t="shared" si="50"/>
        <v>1003</v>
      </c>
      <c r="U58" s="552">
        <f t="shared" si="50"/>
        <v>1140</v>
      </c>
      <c r="V58" s="552">
        <f t="shared" ref="V58:X58" si="51">ROUNDUP(V57*1.1,0)</f>
        <v>1288</v>
      </c>
      <c r="W58" s="552">
        <f t="shared" si="51"/>
        <v>1461</v>
      </c>
      <c r="X58" s="552">
        <f t="shared" si="51"/>
        <v>1639</v>
      </c>
      <c r="Y58" s="552">
        <f t="shared" ref="Y58:AA58" si="52">ROUNDUP(Y57*1.1,0)</f>
        <v>1832</v>
      </c>
      <c r="Z58" s="552">
        <f t="shared" si="52"/>
        <v>2048</v>
      </c>
      <c r="AA58" s="552">
        <f t="shared" si="52"/>
        <v>2261</v>
      </c>
      <c r="AB58" s="552">
        <f t="shared" ref="AB58:AC58" si="53">ROUNDUP(AB57*1.1,0)</f>
        <v>2523</v>
      </c>
      <c r="AC58" s="863">
        <f t="shared" si="53"/>
        <v>2820</v>
      </c>
    </row>
    <row r="59" spans="2:29" ht="12.75" customHeight="1" x14ac:dyDescent="0.2">
      <c r="B59" s="552" t="s">
        <v>436</v>
      </c>
      <c r="C59" s="552"/>
      <c r="D59" s="785">
        <v>1</v>
      </c>
      <c r="E59" s="772">
        <f>IF(E58&gt;0,(VLOOKUP(E58,'Input data'!$J$5:$K$3154,2,FALSE)),(0))</f>
        <v>2</v>
      </c>
      <c r="F59" s="1068">
        <f>IF(F58&gt;0,(VLOOKUP(F58,'Input data'!$J$5:$K$3154,2,FALSE)),(0))</f>
        <v>3</v>
      </c>
      <c r="G59" s="785">
        <f>IF(G58&gt;0,(VLOOKUP(G58,'Input data'!$J$5:$K$3154,2,FALSE)),(0))</f>
        <v>4</v>
      </c>
      <c r="H59" s="772">
        <f>IF(H58&gt;0,(VLOOKUP(H58,'Input data'!$J$5:$K$3154,2,FALSE)),(0))</f>
        <v>4</v>
      </c>
      <c r="I59" s="552">
        <f>IF(I58&gt;0,(VLOOKUP(I58,'Input data'!$J$5:$K$3154,2,FALSE)),(0))</f>
        <v>5</v>
      </c>
      <c r="J59" s="552">
        <f>IF(J58&gt;0,(VLOOKUP(J58,'Input data'!$J$5:$K$3154,2,FALSE)),(0))</f>
        <v>6</v>
      </c>
      <c r="K59" s="552">
        <f>IF(K58&gt;0,(VLOOKUP(K58,'Input data'!$J$5:$K$3154,2,FALSE)),(0))</f>
        <v>7</v>
      </c>
      <c r="L59" s="552">
        <f>IF(L58&gt;0,(VLOOKUP(L58,'Input data'!$J$5:$K$3154,2,FALSE)),(0))</f>
        <v>8</v>
      </c>
      <c r="M59" s="552">
        <f>IF(M58&gt;0,(VLOOKUP(M58,'Input data'!$J$5:$K$3154,2,FALSE)),(0))</f>
        <v>9</v>
      </c>
      <c r="N59" s="552">
        <f>IF(N58&gt;0,(VLOOKUP(N58,'Input data'!$J$5:$K$3154,2,FALSE)),(0))</f>
        <v>9</v>
      </c>
      <c r="O59" s="552">
        <f>IF(O58&gt;0,(VLOOKUP(O58,'Input data'!$J$5:$K$3154,2,FALSE)),(0))</f>
        <v>10</v>
      </c>
      <c r="P59" s="552">
        <f>IF(P58&gt;0,(VLOOKUP(P58,'Input data'!$J$5:$K$3154,2,FALSE)),(0))</f>
        <v>11</v>
      </c>
      <c r="Q59" s="552">
        <f>IF(Q58&gt;0,(VLOOKUP(Q58,'Input data'!$J$5:$K$3154,2,FALSE)),(0))</f>
        <v>12</v>
      </c>
      <c r="R59" s="552">
        <f>IF(R58&gt;0,(VLOOKUP(R58,'Input data'!$J$5:$K$3154,2,FALSE)),(0))</f>
        <v>12</v>
      </c>
      <c r="S59" s="552">
        <f>IF(S58&gt;0,(VLOOKUP(S58,'Input data'!$J$5:$K$3154,2,FALSE)),(0))</f>
        <v>13</v>
      </c>
      <c r="T59" s="552">
        <f>IF(T58&gt;0,(VLOOKUP(T58,'Input data'!$J$5:$K$3154,2,FALSE)),(0))</f>
        <v>14</v>
      </c>
      <c r="U59" s="552">
        <f>IF(U58&gt;0,(VLOOKUP(U58,'Input data'!$J$5:$K$3154,2,FALSE)),(0))</f>
        <v>15</v>
      </c>
      <c r="V59" s="552">
        <f>IF(V58&gt;0,(VLOOKUP(V58,'Input data'!$J$5:$K$3154,2,FALSE)),(0))</f>
        <v>15</v>
      </c>
      <c r="W59" s="552">
        <f>IF(W58&gt;0,(VLOOKUP(W58,'Input data'!$J$5:$K$3154,2,FALSE)),(0))</f>
        <v>16</v>
      </c>
      <c r="X59" s="552">
        <f>IF(X58&gt;0,(VLOOKUP(X58,'Input data'!$J$5:$K$3154,2,FALSE)),(0))</f>
        <v>17</v>
      </c>
      <c r="Y59" s="552">
        <f>IF(Y58&gt;0,(VLOOKUP(Y58,'Input data'!$J$5:$K$3154,2,FALSE)),(0))</f>
        <v>17</v>
      </c>
      <c r="Z59" s="552">
        <f>IF(Z58&gt;0,(VLOOKUP(Z58,'Input data'!$J$5:$K$3154,2,FALSE)),(0))</f>
        <v>18</v>
      </c>
      <c r="AA59" s="552">
        <f>IF(AA58&gt;0,(VLOOKUP(AA58,'Input data'!$J$5:$K$3154,2,FALSE)),(0))</f>
        <v>18</v>
      </c>
      <c r="AB59" s="552">
        <f>IF(AB58&gt;0,(VLOOKUP(AB58,'Input data'!$J$5:$K$3154,2,FALSE)),(0))</f>
        <v>19</v>
      </c>
      <c r="AC59" s="863">
        <f>IF(AC58&gt;0,(VLOOKUP(AC58,'Input data'!$J$5:$K$3154,2,FALSE)),(0))</f>
        <v>20</v>
      </c>
    </row>
    <row r="60" spans="2:29" ht="12.75" customHeight="1" x14ac:dyDescent="0.2">
      <c r="B60" s="552" t="s">
        <v>422</v>
      </c>
      <c r="C60" s="552"/>
      <c r="D60" s="960">
        <f>VLOOKUP(D59,'Input data'!$C$6:$D$26,2,FALSE)</f>
        <v>3.0068999999999999</v>
      </c>
      <c r="E60" s="961">
        <f>VLOOKUP(E59,'Input data'!$C$6:$D$26,2,FALSE)</f>
        <v>2.8585499999999997</v>
      </c>
      <c r="F60" s="1072">
        <f>VLOOKUP(F59,'Input data'!$C$6:$D$26,2,FALSE)</f>
        <v>2.8260000000000001</v>
      </c>
      <c r="G60" s="960">
        <f>VLOOKUP(G59,'Input data'!$C$6:$D$26,2,FALSE)</f>
        <v>1.8524999999999998</v>
      </c>
      <c r="H60" s="1085">
        <f>VLOOKUP(H59,'Input data'!$C$6:$D$26,2,FALSE)</f>
        <v>1.8524999999999998</v>
      </c>
      <c r="I60" s="965">
        <f>VLOOKUP(I59,'Input data'!$C$6:$D$26,2,FALSE)</f>
        <v>1.55325</v>
      </c>
      <c r="J60" s="965">
        <f>VLOOKUP(J59,'Input data'!$C$6:$D$26,2,FALSE)</f>
        <v>1.2611249999999998</v>
      </c>
      <c r="K60" s="965">
        <f>VLOOKUP(K59,'Input data'!$C$6:$D$26,2,FALSE)</f>
        <v>1.0117499999999999</v>
      </c>
      <c r="L60" s="965">
        <f>VLOOKUP(L59,'Input data'!$C$6:$D$26,2,FALSE)</f>
        <v>0.71862749999999997</v>
      </c>
      <c r="M60" s="965">
        <f>VLOOKUP(M59,'Input data'!$C$6:$D$26,2,FALSE)</f>
        <v>0.56999999999999995</v>
      </c>
      <c r="N60" s="966">
        <f>VLOOKUP(N59,'Input data'!$C$6:$D$26,2,FALSE)</f>
        <v>0.56999999999999995</v>
      </c>
      <c r="O60" s="966">
        <f>VLOOKUP(O59,'Input data'!$C$6:$D$26,2,FALSE)</f>
        <v>0.51300000000000001</v>
      </c>
      <c r="P60" s="966">
        <f>VLOOKUP(P59,'Input data'!$C$6:$D$26,2,FALSE)</f>
        <v>0.4335</v>
      </c>
      <c r="Q60" s="966">
        <f>VLOOKUP(Q59,'Input data'!$C$6:$D$26,2,FALSE)</f>
        <v>0.42075000000000001</v>
      </c>
      <c r="R60" s="966">
        <f>VLOOKUP(R59,'Input data'!$C$6:$D$26,2,FALSE)</f>
        <v>0.42075000000000001</v>
      </c>
      <c r="S60" s="966">
        <f>VLOOKUP(S59,'Input data'!$C$6:$D$26,2,FALSE)</f>
        <v>0.42081800000000003</v>
      </c>
      <c r="T60" s="966">
        <f>VLOOKUP(T59,'Input data'!$C$6:$D$26,2,FALSE)</f>
        <v>0.41437499999999999</v>
      </c>
      <c r="U60" s="966">
        <f>VLOOKUP(U59,'Input data'!$C$6:$D$26,2,FALSE)</f>
        <v>0.40799999999999997</v>
      </c>
      <c r="V60" s="966">
        <f>VLOOKUP(V59,'Input data'!$C$6:$D$26,2,FALSE)</f>
        <v>0.40799999999999997</v>
      </c>
      <c r="W60" s="966">
        <f>VLOOKUP(W59,'Input data'!$C$6:$D$26,2,FALSE)</f>
        <v>0.38400000000000001</v>
      </c>
      <c r="X60" s="966">
        <f>VLOOKUP(X59,'Input data'!$C$6:$D$26,2,FALSE)</f>
        <v>0.36</v>
      </c>
      <c r="Y60" s="966">
        <f>VLOOKUP(Y59,'Input data'!$C$6:$D$26,2,FALSE)</f>
        <v>0.36</v>
      </c>
      <c r="Z60" s="966">
        <f>VLOOKUP(Z59,'Input data'!$C$6:$D$26,2,FALSE)</f>
        <v>0.354375</v>
      </c>
      <c r="AA60" s="966">
        <f>VLOOKUP(AA59,'Input data'!$C$6:$D$26,2,FALSE)</f>
        <v>0.354375</v>
      </c>
      <c r="AB60" s="966">
        <f>VLOOKUP(AB59,'Input data'!$C$6:$D$26,2,FALSE)</f>
        <v>0.37200000000000005</v>
      </c>
      <c r="AC60" s="1152">
        <f>VLOOKUP(AC59,'Input data'!$C$6:$D$26,2,FALSE)</f>
        <v>0.37200000000000005</v>
      </c>
    </row>
    <row r="61" spans="2:29" ht="15" customHeight="1" x14ac:dyDescent="0.2">
      <c r="B61" s="552" t="s">
        <v>437</v>
      </c>
      <c r="C61" s="552"/>
      <c r="D61" s="785">
        <f t="shared" ref="D61:Y61" si="54">IF(D49&gt;0,D57*(1+(D60/100))^D18,D57)</f>
        <v>4.8642906062587334</v>
      </c>
      <c r="E61" s="772">
        <f t="shared" si="54"/>
        <v>11.65391493542978</v>
      </c>
      <c r="F61" s="1068">
        <f t="shared" si="54"/>
        <v>26.888098931134401</v>
      </c>
      <c r="G61" s="785">
        <f t="shared" si="54"/>
        <v>47.498794919758069</v>
      </c>
      <c r="H61" s="772">
        <f t="shared" si="54"/>
        <v>83.908331511559538</v>
      </c>
      <c r="I61" s="552">
        <f t="shared" si="54"/>
        <v>133.23547818435512</v>
      </c>
      <c r="J61" s="552">
        <f t="shared" si="54"/>
        <v>196.49209098426297</v>
      </c>
      <c r="K61" s="552">
        <f t="shared" si="54"/>
        <v>265.76753620944737</v>
      </c>
      <c r="L61" s="552">
        <f t="shared" si="54"/>
        <v>331.8223988278404</v>
      </c>
      <c r="M61" s="552">
        <f t="shared" si="54"/>
        <v>395.75613189684219</v>
      </c>
      <c r="N61" s="552">
        <f t="shared" si="54"/>
        <v>464.02807372943266</v>
      </c>
      <c r="O61" s="552">
        <f t="shared" si="54"/>
        <v>543.79293047637077</v>
      </c>
      <c r="P61" s="552">
        <f t="shared" si="54"/>
        <v>619.14374095383653</v>
      </c>
      <c r="Q61" s="552">
        <f t="shared" si="54"/>
        <v>705.21049337181978</v>
      </c>
      <c r="R61" s="552">
        <f t="shared" si="54"/>
        <v>799.87584916150422</v>
      </c>
      <c r="S61" s="552">
        <f t="shared" si="54"/>
        <v>911.08517462805764</v>
      </c>
      <c r="T61" s="552">
        <f t="shared" si="54"/>
        <v>1035.6942215355884</v>
      </c>
      <c r="U61" s="552">
        <f t="shared" si="54"/>
        <v>1170.2564682432524</v>
      </c>
      <c r="V61" s="552">
        <f t="shared" si="54"/>
        <v>1327.6966634499061</v>
      </c>
      <c r="W61" s="552">
        <f t="shared" si="54"/>
        <v>1489.4769074484377</v>
      </c>
      <c r="X61" s="552">
        <f t="shared" si="54"/>
        <v>1664.999112344381</v>
      </c>
      <c r="Y61" s="552">
        <f t="shared" si="54"/>
        <v>1861.2051185516918</v>
      </c>
      <c r="Z61" s="552">
        <f t="shared" ref="Z61:AA61" si="55">IF(Z49&gt;0,Z57*(1+(Z60/100))^Z18,Z57)</f>
        <v>2054.9957731471336</v>
      </c>
      <c r="AA61" s="552">
        <f t="shared" si="55"/>
        <v>2293.1716244255999</v>
      </c>
      <c r="AB61" s="552">
        <f t="shared" ref="AB61:AC61" si="56">IF(AB49&gt;0,AB57*(1+(AB60/100))^AB18,AB57)</f>
        <v>2563.3853456705638</v>
      </c>
      <c r="AC61" s="863">
        <f t="shared" si="56"/>
        <v>2876.0988813175768</v>
      </c>
    </row>
    <row r="62" spans="2:29" ht="12.75" customHeight="1" x14ac:dyDescent="0.2">
      <c r="B62" s="552" t="s">
        <v>438</v>
      </c>
      <c r="C62" s="552"/>
      <c r="D62" s="785">
        <f t="shared" ref="D62:Y62" si="57">(D49*D57)/1000</f>
        <v>164</v>
      </c>
      <c r="E62" s="772">
        <f t="shared" si="57"/>
        <v>374.93951993042316</v>
      </c>
      <c r="F62" s="1068">
        <f t="shared" si="57"/>
        <v>818.33650829608689</v>
      </c>
      <c r="G62" s="785">
        <f t="shared" si="57"/>
        <v>1774.7943355500429</v>
      </c>
      <c r="H62" s="772">
        <f t="shared" si="57"/>
        <v>3009.8285746996035</v>
      </c>
      <c r="I62" s="552">
        <f t="shared" si="57"/>
        <v>5104.2917298193124</v>
      </c>
      <c r="J62" s="552">
        <f t="shared" si="57"/>
        <v>7934.7450924523491</v>
      </c>
      <c r="K62" s="552">
        <f t="shared" si="57"/>
        <v>11456.207218197287</v>
      </c>
      <c r="L62" s="552">
        <f t="shared" si="57"/>
        <v>15309.276297160888</v>
      </c>
      <c r="M62" s="552">
        <f t="shared" si="57"/>
        <v>19076.072781425817</v>
      </c>
      <c r="N62" s="552">
        <f t="shared" si="57"/>
        <v>22706.04352455803</v>
      </c>
      <c r="O62" s="552">
        <f t="shared" si="57"/>
        <v>26569.819916727836</v>
      </c>
      <c r="P62" s="552">
        <f t="shared" si="57"/>
        <v>31074.807949411279</v>
      </c>
      <c r="Q62" s="552">
        <f t="shared" si="57"/>
        <v>35309.935494588819</v>
      </c>
      <c r="R62" s="552">
        <f t="shared" si="57"/>
        <v>40137.909039860402</v>
      </c>
      <c r="S62" s="552">
        <f t="shared" si="57"/>
        <v>45434.850572732939</v>
      </c>
      <c r="T62" s="552">
        <f t="shared" si="57"/>
        <v>51648.301138268471</v>
      </c>
      <c r="U62" s="552">
        <f t="shared" si="57"/>
        <v>58594.810708830191</v>
      </c>
      <c r="V62" s="552">
        <f t="shared" si="57"/>
        <v>66075.307655533747</v>
      </c>
      <c r="W62" s="552">
        <f t="shared" si="57"/>
        <v>74814.805092329523</v>
      </c>
      <c r="X62" s="552">
        <f t="shared" si="57"/>
        <v>83763.149921808974</v>
      </c>
      <c r="Y62" s="552">
        <f t="shared" si="57"/>
        <v>93446.657971275461</v>
      </c>
      <c r="Z62" s="552">
        <f t="shared" ref="Z62:AA62" si="58">(Z49*Z57)/1000</f>
        <v>104249.63595748162</v>
      </c>
      <c r="AA62" s="552">
        <f t="shared" si="58"/>
        <v>114874.0103877619</v>
      </c>
      <c r="AB62" s="552">
        <f t="shared" ref="AB62:AC62" si="59">(AB49*AB57)/1000</f>
        <v>82068.202602181569</v>
      </c>
      <c r="AC62" s="863">
        <f t="shared" si="59"/>
        <v>40287.447879136133</v>
      </c>
    </row>
    <row r="63" spans="2:29" ht="15" customHeight="1" x14ac:dyDescent="0.2">
      <c r="B63" s="552" t="s">
        <v>439</v>
      </c>
      <c r="C63" s="552"/>
      <c r="D63" s="785">
        <f t="shared" ref="D63:S63" si="60">(D50*D58)/1000</f>
        <v>14.76</v>
      </c>
      <c r="E63" s="772">
        <f t="shared" si="60"/>
        <v>41.160719999999998</v>
      </c>
      <c r="F63" s="1068">
        <f t="shared" si="60"/>
        <v>54.7715064</v>
      </c>
      <c r="G63" s="785">
        <f t="shared" si="60"/>
        <v>79.208024640000005</v>
      </c>
      <c r="H63" s="772">
        <f t="shared" si="60"/>
        <v>134.33680978944003</v>
      </c>
      <c r="I63" s="552">
        <f t="shared" si="60"/>
        <v>118.80443298963456</v>
      </c>
      <c r="J63" s="552">
        <f t="shared" si="60"/>
        <v>183.84411144986322</v>
      </c>
      <c r="K63" s="552">
        <f t="shared" si="60"/>
        <v>151.82271941202444</v>
      </c>
      <c r="L63" s="552">
        <f t="shared" si="60"/>
        <v>33.755950926475023</v>
      </c>
      <c r="M63" s="552">
        <f t="shared" si="60"/>
        <v>42.081804378879454</v>
      </c>
      <c r="N63" s="552">
        <f t="shared" si="60"/>
        <v>50.029976436538412</v>
      </c>
      <c r="O63" s="552">
        <f t="shared" si="60"/>
        <v>58.518778264112356</v>
      </c>
      <c r="P63" s="552">
        <f t="shared" si="60"/>
        <v>68.459183334330518</v>
      </c>
      <c r="Q63" s="552">
        <f t="shared" si="60"/>
        <v>77.78928999656992</v>
      </c>
      <c r="R63" s="552">
        <f t="shared" si="60"/>
        <v>88.333959031178281</v>
      </c>
      <c r="S63" s="552">
        <f t="shared" si="60"/>
        <v>99.972185798378874</v>
      </c>
      <c r="T63" s="552">
        <f>(T50*T58)/1000</f>
        <v>113.71767971711644</v>
      </c>
      <c r="U63" s="552">
        <f t="shared" ref="U63" si="61">(U50*U58)/1000</f>
        <v>128.99190285918016</v>
      </c>
      <c r="V63" s="552">
        <f t="shared" ref="V63:X63" si="62">(V50*V58)/1000</f>
        <v>145.44674363233227</v>
      </c>
      <c r="W63" s="552">
        <f t="shared" si="62"/>
        <v>164.65271511020478</v>
      </c>
      <c r="X63" s="552">
        <f t="shared" si="62"/>
        <v>184.343647135862</v>
      </c>
      <c r="Y63" s="552">
        <f t="shared" ref="Y63:AA63" si="63">(Y50*Y58)/1000</f>
        <v>205.63888128724429</v>
      </c>
      <c r="Z63" s="552">
        <f t="shared" si="63"/>
        <v>229.42474455159595</v>
      </c>
      <c r="AA63" s="552">
        <f t="shared" si="63"/>
        <v>252.77924254701955</v>
      </c>
      <c r="AB63" s="552">
        <f t="shared" ref="AB63:AC63" si="64">(AB50*AB58)/1000</f>
        <v>180.58663639462102</v>
      </c>
      <c r="AC63" s="863">
        <f t="shared" si="64"/>
        <v>88.641064607041471</v>
      </c>
    </row>
    <row r="64" spans="2:29" ht="15" customHeight="1" x14ac:dyDescent="0.2">
      <c r="B64" s="552" t="s">
        <v>440</v>
      </c>
      <c r="C64" s="552"/>
      <c r="D64" s="785">
        <f t="shared" ref="D64:S64" si="65">(D54*D57)/1000</f>
        <v>0</v>
      </c>
      <c r="E64" s="772">
        <f t="shared" si="65"/>
        <v>0</v>
      </c>
      <c r="F64" s="1068">
        <f t="shared" si="65"/>
        <v>0</v>
      </c>
      <c r="G64" s="785">
        <f t="shared" si="65"/>
        <v>0</v>
      </c>
      <c r="H64" s="772">
        <f t="shared" si="65"/>
        <v>0</v>
      </c>
      <c r="I64" s="552">
        <f t="shared" si="65"/>
        <v>0</v>
      </c>
      <c r="J64" s="552">
        <f t="shared" si="65"/>
        <v>0</v>
      </c>
      <c r="K64" s="552">
        <f t="shared" si="65"/>
        <v>0</v>
      </c>
      <c r="L64" s="552">
        <f>(L54*L57)/1000</f>
        <v>0</v>
      </c>
      <c r="M64" s="552">
        <f t="shared" si="65"/>
        <v>0</v>
      </c>
      <c r="N64" s="552">
        <f t="shared" si="65"/>
        <v>0</v>
      </c>
      <c r="O64" s="552">
        <f t="shared" si="65"/>
        <v>0</v>
      </c>
      <c r="P64" s="552">
        <f t="shared" si="65"/>
        <v>0</v>
      </c>
      <c r="Q64" s="552">
        <f t="shared" si="65"/>
        <v>0</v>
      </c>
      <c r="R64" s="552">
        <f t="shared" si="65"/>
        <v>0</v>
      </c>
      <c r="S64" s="552">
        <f t="shared" si="65"/>
        <v>0</v>
      </c>
      <c r="T64" s="552">
        <f>(T54*T57)/1000</f>
        <v>0</v>
      </c>
      <c r="U64" s="552">
        <f>(U54*U57)/1000</f>
        <v>0</v>
      </c>
      <c r="V64" s="552">
        <f>(V54*V57)/1000</f>
        <v>0</v>
      </c>
      <c r="W64" s="552">
        <f t="shared" ref="W64:X64" si="66">(W54*W57)/1000</f>
        <v>0</v>
      </c>
      <c r="X64" s="552">
        <f t="shared" si="66"/>
        <v>0</v>
      </c>
      <c r="Y64" s="552">
        <f t="shared" ref="Y64:AA64" si="67">(Y54*Y57)/1000</f>
        <v>0</v>
      </c>
      <c r="Z64" s="552">
        <f t="shared" si="67"/>
        <v>0</v>
      </c>
      <c r="AA64" s="552">
        <f t="shared" si="67"/>
        <v>41099.915462942678</v>
      </c>
      <c r="AB64" s="552">
        <f t="shared" ref="AB64:AC64" si="68">(AB54*AB57)/1000</f>
        <v>45863.432488512</v>
      </c>
      <c r="AC64" s="863">
        <f t="shared" si="68"/>
        <v>40206.872983377849</v>
      </c>
    </row>
    <row r="65" spans="2:29" ht="15" customHeight="1" x14ac:dyDescent="0.2">
      <c r="B65" s="552" t="s">
        <v>441</v>
      </c>
      <c r="C65" s="552"/>
      <c r="D65" s="785">
        <f t="shared" ref="D65:S65" si="69">(D55*D61)/1000</f>
        <v>374.93951993042316</v>
      </c>
      <c r="E65" s="772">
        <f t="shared" si="69"/>
        <v>818.33650829608689</v>
      </c>
      <c r="F65" s="1068">
        <f t="shared" si="69"/>
        <v>1774.7943355500429</v>
      </c>
      <c r="G65" s="785">
        <f t="shared" si="69"/>
        <v>3009.8285746996035</v>
      </c>
      <c r="H65" s="772">
        <f t="shared" si="69"/>
        <v>5104.2917298193124</v>
      </c>
      <c r="I65" s="552">
        <f t="shared" si="69"/>
        <v>7934.7450924523491</v>
      </c>
      <c r="J65" s="552">
        <f t="shared" si="69"/>
        <v>11456.207218197287</v>
      </c>
      <c r="K65" s="552">
        <f t="shared" si="69"/>
        <v>15309.276297160888</v>
      </c>
      <c r="L65" s="552">
        <f t="shared" si="69"/>
        <v>19076.072781425817</v>
      </c>
      <c r="M65" s="552">
        <f t="shared" si="69"/>
        <v>22706.04352455803</v>
      </c>
      <c r="N65" s="552">
        <f t="shared" si="69"/>
        <v>26569.819916727836</v>
      </c>
      <c r="O65" s="552">
        <f t="shared" si="69"/>
        <v>31074.807949411279</v>
      </c>
      <c r="P65" s="552">
        <f t="shared" si="69"/>
        <v>35309.935494588819</v>
      </c>
      <c r="Q65" s="552">
        <f t="shared" si="69"/>
        <v>40137.909039860402</v>
      </c>
      <c r="R65" s="552">
        <f t="shared" si="69"/>
        <v>45434.850572732939</v>
      </c>
      <c r="S65" s="552">
        <f t="shared" si="69"/>
        <v>51648.301138268471</v>
      </c>
      <c r="T65" s="552">
        <f>(T55*T61)/1000</f>
        <v>58594.810708830191</v>
      </c>
      <c r="U65" s="552">
        <f>(U55*U61)/1000</f>
        <v>66075.307655533747</v>
      </c>
      <c r="V65" s="552">
        <f t="shared" ref="V65:X65" si="70">(V55*V61)/1000</f>
        <v>74814.805092329523</v>
      </c>
      <c r="W65" s="552">
        <f t="shared" si="70"/>
        <v>83763.149921808974</v>
      </c>
      <c r="X65" s="552">
        <f t="shared" si="70"/>
        <v>93446.657971275461</v>
      </c>
      <c r="Y65" s="171">
        <f t="shared" ref="Y65:AA65" si="71">(Y55*Y61)/1000</f>
        <v>104249.63595748162</v>
      </c>
      <c r="Z65" s="171">
        <f t="shared" si="71"/>
        <v>114874.0103877619</v>
      </c>
      <c r="AA65" s="171">
        <f t="shared" si="71"/>
        <v>82068.202602181569</v>
      </c>
      <c r="AB65" s="171">
        <f t="shared" ref="AB65:AC65" si="72">(AB55*AB61)/1000</f>
        <v>40287.447879136133</v>
      </c>
      <c r="AC65" s="1089">
        <f t="shared" si="72"/>
        <v>0</v>
      </c>
    </row>
    <row r="66" spans="2:29" ht="15" customHeight="1" x14ac:dyDescent="0.2">
      <c r="B66" s="550" t="s">
        <v>467</v>
      </c>
      <c r="C66" s="550"/>
      <c r="D66" s="788"/>
      <c r="E66" s="771"/>
      <c r="F66" s="1071"/>
      <c r="G66" s="788"/>
      <c r="H66" s="771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887"/>
      <c r="Z66" s="887"/>
      <c r="AA66" s="887"/>
      <c r="AB66" s="887"/>
      <c r="AC66" s="1087"/>
    </row>
    <row r="67" spans="2:29" s="350" customFormat="1" ht="15" customHeight="1" x14ac:dyDescent="0.2">
      <c r="B67" s="552" t="s">
        <v>442</v>
      </c>
      <c r="C67" s="552"/>
      <c r="D67" s="789">
        <f>VLOOKUP(D59,'Input data'!$F$6:$G$51,2,FALSE)</f>
        <v>1.3</v>
      </c>
      <c r="E67" s="775">
        <f>VLOOKUP(E59,'Input data'!$F$6:$G$51,2,FALSE)</f>
        <v>1.3</v>
      </c>
      <c r="F67" s="1073">
        <f>VLOOKUP(F59,'Input data'!$F$6:$G$51,2,FALSE)</f>
        <v>1.3</v>
      </c>
      <c r="G67" s="789">
        <f>VLOOKUP(G59,'Input data'!$F$6:$G$51,2,FALSE)</f>
        <v>1.3120000000000001</v>
      </c>
      <c r="H67" s="775">
        <f>VLOOKUP(H59,'Input data'!$F$6:$G$51,2,FALSE)</f>
        <v>1.3120000000000001</v>
      </c>
      <c r="I67" s="557">
        <f>VLOOKUP(I59,'Input data'!$F$6:$G$51,2,FALSE)</f>
        <v>1.3120000000000001</v>
      </c>
      <c r="J67" s="557">
        <f>VLOOKUP(J59,'Input data'!$F$6:$G$51,2,FALSE)</f>
        <v>1.3120000000000001</v>
      </c>
      <c r="K67" s="557">
        <f>VLOOKUP(K59,'Input data'!$F$6:$G$51,2,FALSE)</f>
        <v>1.3120000000000001</v>
      </c>
      <c r="L67" s="557">
        <f>VLOOKUP(L59,'Input data'!$F$6:$G$51,2,FALSE)</f>
        <v>1.3120000000000001</v>
      </c>
      <c r="M67" s="557">
        <f>VLOOKUP(M59,'Input data'!$F$6:$G$51,2,FALSE)</f>
        <v>1.3120000000000001</v>
      </c>
      <c r="N67" s="557">
        <f>VLOOKUP(N59,'Input data'!$F$6:$G$51,2,FALSE)</f>
        <v>1.3120000000000001</v>
      </c>
      <c r="O67" s="557">
        <f>VLOOKUP(O59,'Input data'!$F$6:$G$51,2,FALSE)</f>
        <v>1.3120000000000001</v>
      </c>
      <c r="P67" s="557">
        <f>VLOOKUP(P59,'Input data'!$F$6:$G$51,2,FALSE)</f>
        <v>1.3120000000000001</v>
      </c>
      <c r="Q67" s="557">
        <f>VLOOKUP(Q59,'Input data'!$F$6:$G$51,2,FALSE)</f>
        <v>1.36</v>
      </c>
      <c r="R67" s="557">
        <f>VLOOKUP(R59,'Input data'!$F$6:$G$51,2,FALSE)</f>
        <v>1.36</v>
      </c>
      <c r="S67" s="557">
        <f>VLOOKUP(S59,'Input data'!$F$6:$G$51,2,FALSE)</f>
        <v>1.36</v>
      </c>
      <c r="T67" s="557">
        <f>VLOOKUP(T59,'Input data'!$F$6:$G$51,2,FALSE)</f>
        <v>1.36</v>
      </c>
      <c r="U67" s="557">
        <f>VLOOKUP(U59,'Input data'!$F$6:$G$51,2,FALSE)</f>
        <v>1.36</v>
      </c>
      <c r="V67" s="557">
        <f>VLOOKUP(V59,'Input data'!$F$6:$G$51,2,FALSE)</f>
        <v>1.36</v>
      </c>
      <c r="W67" s="557">
        <f>VLOOKUP(W59,'Input data'!$F$6:$G$51,2,FALSE)</f>
        <v>1.4400000000000002</v>
      </c>
      <c r="X67" s="557">
        <f>VLOOKUP(X59,'Input data'!$F$6:$G$51,2,FALSE)</f>
        <v>1.4400000000000002</v>
      </c>
      <c r="Y67" s="557">
        <f>VLOOKUP(Y59,'Input data'!$F$6:$G$51,2,FALSE)</f>
        <v>1.4400000000000002</v>
      </c>
      <c r="Z67" s="557">
        <f>VLOOKUP(Z59,'Input data'!$F$6:$G$51,2,FALSE)</f>
        <v>1.6</v>
      </c>
      <c r="AA67" s="557">
        <f>VLOOKUP(AA59,'Input data'!$F$6:$G$51,2,FALSE)</f>
        <v>1.6</v>
      </c>
      <c r="AB67" s="557">
        <f>VLOOKUP(AB59,'Input data'!$F$6:$G$51,2,FALSE)</f>
        <v>1.6</v>
      </c>
      <c r="AC67" s="867">
        <f>VLOOKUP(AC59,'Input data'!$F$6:$G$51,2,FALSE)</f>
        <v>1.6</v>
      </c>
    </row>
    <row r="68" spans="2:29" s="350" customFormat="1" ht="15" customHeight="1" x14ac:dyDescent="0.2">
      <c r="B68" s="552" t="s">
        <v>443</v>
      </c>
      <c r="C68" s="552"/>
      <c r="D68" s="785">
        <f t="shared" ref="D68:O68" si="73">IF(D54=0,(((D65+D64)-D62)*D67),(0))</f>
        <v>274.22137590955009</v>
      </c>
      <c r="E68" s="772">
        <f t="shared" si="73"/>
        <v>576.41608487536291</v>
      </c>
      <c r="F68" s="1068">
        <f t="shared" si="73"/>
        <v>1243.3951754301429</v>
      </c>
      <c r="G68" s="785">
        <f t="shared" si="73"/>
        <v>1620.3649217642235</v>
      </c>
      <c r="H68" s="772">
        <f t="shared" si="73"/>
        <v>2747.9356595170584</v>
      </c>
      <c r="I68" s="552">
        <f t="shared" si="73"/>
        <v>3713.5548117745443</v>
      </c>
      <c r="J68" s="552">
        <f t="shared" si="73"/>
        <v>4620.1583089773585</v>
      </c>
      <c r="K68" s="552">
        <f t="shared" si="73"/>
        <v>5055.2266316002451</v>
      </c>
      <c r="L68" s="552">
        <f t="shared" si="73"/>
        <v>4942.0369873555874</v>
      </c>
      <c r="M68" s="552">
        <f t="shared" si="73"/>
        <v>4762.5216149894641</v>
      </c>
      <c r="N68" s="552">
        <f t="shared" si="73"/>
        <v>5069.2746265267861</v>
      </c>
      <c r="O68" s="552">
        <f t="shared" si="73"/>
        <v>5910.5442988806772</v>
      </c>
      <c r="P68" s="552">
        <f>IF(P54&gt;=0,(((P65+P64)-P62)*P67),(0))</f>
        <v>5556.4873392729323</v>
      </c>
      <c r="Q68" s="552">
        <f t="shared" ref="Q68:R68" si="74">IF(Q54&gt;=0,(((Q65+Q64)-Q62)*Q67),(0))</f>
        <v>6566.0440215693534</v>
      </c>
      <c r="R68" s="552">
        <f t="shared" si="74"/>
        <v>7203.8404847066513</v>
      </c>
      <c r="S68" s="552">
        <f>IF(S54&gt;=0,(((S65+S64)-S62)*S67),(0))</f>
        <v>8450.2927691283239</v>
      </c>
      <c r="T68" s="552">
        <f>IF(T54&gt;=0,(((T65+T64)-T62)*T67),(0))</f>
        <v>9447.2530159639409</v>
      </c>
      <c r="U68" s="552">
        <f t="shared" ref="U68:V68" si="75">IF(U54=0,(((U65+U64)-U62)*U67),(0))</f>
        <v>10173.475847516836</v>
      </c>
      <c r="V68" s="552">
        <f t="shared" si="75"/>
        <v>11885.716514042257</v>
      </c>
      <c r="W68" s="552">
        <f t="shared" ref="W68:AB68" si="76">IF(W54&gt;=0,(((W65+W64)-W62)*W67),(0))</f>
        <v>12885.616554450411</v>
      </c>
      <c r="X68" s="552">
        <f t="shared" si="76"/>
        <v>13944.251591231743</v>
      </c>
      <c r="Y68" s="552">
        <f t="shared" si="76"/>
        <v>15556.288300136865</v>
      </c>
      <c r="Z68" s="552">
        <f t="shared" si="76"/>
        <v>16998.99908844845</v>
      </c>
      <c r="AA68" s="552">
        <f t="shared" si="76"/>
        <v>13270.57228377976</v>
      </c>
      <c r="AB68" s="552">
        <f t="shared" si="76"/>
        <v>6532.2844247465027</v>
      </c>
      <c r="AC68" s="863">
        <f>IF(AC54=0,(((AC65+AC64)-AC62)*AC67),(0))</f>
        <v>0</v>
      </c>
    </row>
    <row r="69" spans="2:29" s="350" customFormat="1" ht="15" customHeight="1" x14ac:dyDescent="0.2">
      <c r="B69" s="552" t="s">
        <v>734</v>
      </c>
      <c r="C69" s="552"/>
      <c r="D69" s="785">
        <f>D68+D62</f>
        <v>438.22137590955009</v>
      </c>
      <c r="E69" s="772">
        <f>D69+E68</f>
        <v>1014.6374607849129</v>
      </c>
      <c r="F69" s="1068">
        <f>E69+F68</f>
        <v>2258.0326362150558</v>
      </c>
      <c r="G69" s="785">
        <f t="shared" ref="G69:U69" si="77">F69+G68</f>
        <v>3878.3975579792796</v>
      </c>
      <c r="H69" s="772">
        <f t="shared" si="77"/>
        <v>6626.333217496338</v>
      </c>
      <c r="I69" s="552">
        <f t="shared" si="77"/>
        <v>10339.888029270882</v>
      </c>
      <c r="J69" s="552">
        <f t="shared" si="77"/>
        <v>14960.046338248241</v>
      </c>
      <c r="K69" s="552">
        <f t="shared" si="77"/>
        <v>20015.272969848487</v>
      </c>
      <c r="L69" s="552">
        <f t="shared" si="77"/>
        <v>24957.309957204074</v>
      </c>
      <c r="M69" s="552">
        <f t="shared" si="77"/>
        <v>29719.831572193536</v>
      </c>
      <c r="N69" s="552">
        <f t="shared" si="77"/>
        <v>34789.106198720321</v>
      </c>
      <c r="O69" s="552">
        <f t="shared" si="77"/>
        <v>40699.650497600996</v>
      </c>
      <c r="P69" s="552">
        <f t="shared" si="77"/>
        <v>46256.137836873932</v>
      </c>
      <c r="Q69" s="552">
        <f t="shared" si="77"/>
        <v>52822.181858443284</v>
      </c>
      <c r="R69" s="552">
        <f t="shared" si="77"/>
        <v>60026.022343149933</v>
      </c>
      <c r="S69" s="552">
        <f t="shared" si="77"/>
        <v>68476.315112278258</v>
      </c>
      <c r="T69" s="552">
        <f t="shared" si="77"/>
        <v>77923.568128242201</v>
      </c>
      <c r="U69" s="552">
        <f t="shared" si="77"/>
        <v>88097.043975759036</v>
      </c>
      <c r="V69" s="552">
        <f t="shared" ref="V69" si="78">U69+V68</f>
        <v>99982.760489801294</v>
      </c>
      <c r="W69" s="552">
        <f t="shared" ref="W69" si="79">V69+W68</f>
        <v>112868.37704425171</v>
      </c>
      <c r="X69" s="552">
        <f t="shared" ref="X69" si="80">W69+X68</f>
        <v>126812.62863548346</v>
      </c>
      <c r="Y69" s="552">
        <f>X69+Y68</f>
        <v>142368.91693562033</v>
      </c>
      <c r="Z69" s="552">
        <f t="shared" ref="Z69:AC69" si="81">Y69+Z68</f>
        <v>159367.91602406878</v>
      </c>
      <c r="AA69" s="552">
        <f t="shared" si="81"/>
        <v>172638.48830784854</v>
      </c>
      <c r="AB69" s="552">
        <f t="shared" si="81"/>
        <v>179170.77273259504</v>
      </c>
      <c r="AC69" s="863">
        <f t="shared" si="81"/>
        <v>179170.77273259504</v>
      </c>
    </row>
    <row r="70" spans="2:29" s="350" customFormat="1" ht="15" customHeight="1" thickBot="1" x14ac:dyDescent="0.25">
      <c r="B70" s="552" t="s">
        <v>735</v>
      </c>
      <c r="C70" s="552"/>
      <c r="D70" s="790">
        <f>IF(D64=0,(D69/D65),(D69/SUM($D64:$X64)))</f>
        <v>1.1687788366264245</v>
      </c>
      <c r="E70" s="862">
        <f t="shared" ref="E70:U70" si="82">IF(E64=0,(E69/E65),(E69/SUM($D64:$X64)))</f>
        <v>1.2398780336680291</v>
      </c>
      <c r="F70" s="1074">
        <f t="shared" si="82"/>
        <v>1.2722784781230712</v>
      </c>
      <c r="G70" s="790">
        <f t="shared" si="82"/>
        <v>1.2885775590612711</v>
      </c>
      <c r="H70" s="862">
        <f t="shared" si="82"/>
        <v>1.2981885770331754</v>
      </c>
      <c r="I70" s="1090">
        <f t="shared" si="82"/>
        <v>1.3031153375180686</v>
      </c>
      <c r="J70" s="1090">
        <f t="shared" si="82"/>
        <v>1.3058463462921115</v>
      </c>
      <c r="K70" s="1090">
        <f t="shared" si="82"/>
        <v>1.3073951100850096</v>
      </c>
      <c r="L70" s="1090">
        <f t="shared" si="82"/>
        <v>1.3083044001333839</v>
      </c>
      <c r="M70" s="1090">
        <f t="shared" si="82"/>
        <v>1.3088952084518666</v>
      </c>
      <c r="N70" s="1090">
        <f t="shared" si="82"/>
        <v>1.3093467064418371</v>
      </c>
      <c r="O70" s="1090">
        <f t="shared" si="82"/>
        <v>1.3097313606526106</v>
      </c>
      <c r="P70" s="1090">
        <f t="shared" si="82"/>
        <v>1.3100034647178156</v>
      </c>
      <c r="Q70" s="1090">
        <f t="shared" si="82"/>
        <v>1.3160172794747804</v>
      </c>
      <c r="R70" s="1090">
        <f t="shared" si="82"/>
        <v>1.3211449269995768</v>
      </c>
      <c r="S70" s="1090">
        <f t="shared" si="82"/>
        <v>1.3258193126035114</v>
      </c>
      <c r="T70" s="1090">
        <f t="shared" si="82"/>
        <v>1.3298714883722491</v>
      </c>
      <c r="U70" s="1090">
        <f t="shared" si="82"/>
        <v>1.333282387953906</v>
      </c>
      <c r="V70" s="1090">
        <f t="shared" ref="V70:X70" si="83">IF(V64=0,(V69/V65),(V69/SUM($D64:$X64)))</f>
        <v>1.3364034079406049</v>
      </c>
      <c r="W70" s="1090">
        <f t="shared" si="83"/>
        <v>1.3474705422326145</v>
      </c>
      <c r="X70" s="1090">
        <f t="shared" si="83"/>
        <v>1.3570590044479103</v>
      </c>
      <c r="Y70" s="1090">
        <f>IF(Y64:AA64=0,(Y69/Y65),(Y69/SUM($D64:$AA64)))</f>
        <v>1.3656538521984454</v>
      </c>
      <c r="Z70" s="1090">
        <f>IF(Z64=0,(Z69/Z65),(Z69/SUM($D64:$AA64)))</f>
        <v>1.387327868907126</v>
      </c>
      <c r="AA70" s="1090">
        <f>IF(AA64=0,(AA69/AA65),(AA69/SUM($D64:$AA64)))</f>
        <v>4.200458476940331</v>
      </c>
      <c r="AB70" s="1090">
        <f>IF(AB64=0,(AB69/AB65),(AB69/SUM($D64:$AA64)))</f>
        <v>4.3593951645507047</v>
      </c>
      <c r="AC70" s="868">
        <f>IF(AC64=0,(AC69/AC65),(AC69/SUM($D64:$AA64)))</f>
        <v>4.3593951645507047</v>
      </c>
    </row>
    <row r="71" spans="2:29" ht="15" customHeight="1" x14ac:dyDescent="0.2">
      <c r="B71" s="550"/>
      <c r="C71" s="550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6"/>
    </row>
  </sheetData>
  <mergeCells count="21">
    <mergeCell ref="B46:C46"/>
    <mergeCell ref="O7:P7"/>
    <mergeCell ref="Q7:S7"/>
    <mergeCell ref="O8:P8"/>
    <mergeCell ref="Q8:S8"/>
    <mergeCell ref="O9:S15"/>
    <mergeCell ref="B16:C16"/>
    <mergeCell ref="D48:F48"/>
    <mergeCell ref="O4:P4"/>
    <mergeCell ref="Q4:S4"/>
    <mergeCell ref="O5:P5"/>
    <mergeCell ref="Q5:S5"/>
    <mergeCell ref="O6:P6"/>
    <mergeCell ref="Q6:S6"/>
    <mergeCell ref="G48:AC48"/>
    <mergeCell ref="O1:P1"/>
    <mergeCell ref="Q1:S1"/>
    <mergeCell ref="O2:P2"/>
    <mergeCell ref="Q2:S2"/>
    <mergeCell ref="O3:P3"/>
    <mergeCell ref="Q3:S3"/>
  </mergeCells>
  <conditionalFormatting sqref="D28:N28">
    <cfRule type="cellIs" dxfId="11" priority="4" operator="greaterThan">
      <formula>2%</formula>
    </cfRule>
  </conditionalFormatting>
  <conditionalFormatting sqref="O28:X28">
    <cfRule type="cellIs" dxfId="10" priority="3" operator="greaterThan">
      <formula>2%</formula>
    </cfRule>
  </conditionalFormatting>
  <conditionalFormatting sqref="O43:X43">
    <cfRule type="cellIs" dxfId="9" priority="1" operator="greaterThan">
      <formula>2%</formula>
    </cfRule>
  </conditionalFormatting>
  <conditionalFormatting sqref="D43:N43">
    <cfRule type="cellIs" dxfId="8" priority="2" operator="greaterThan">
      <formula>2%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A37"/>
  </sheetPr>
  <dimension ref="B1:AC71"/>
  <sheetViews>
    <sheetView topLeftCell="A7" zoomScale="48" zoomScaleNormal="48" workbookViewId="0">
      <selection activeCell="D48" sqref="D48:F48"/>
    </sheetView>
  </sheetViews>
  <sheetFormatPr defaultColWidth="9.140625" defaultRowHeight="12.75" x14ac:dyDescent="0.2"/>
  <cols>
    <col min="1" max="1" width="1.85546875" style="2" customWidth="1"/>
    <col min="2" max="2" width="9.140625" style="2"/>
    <col min="3" max="3" width="16.140625" style="2" customWidth="1"/>
    <col min="4" max="4" width="9.7109375" style="2" bestFit="1" customWidth="1"/>
    <col min="5" max="15" width="9.140625" style="2"/>
    <col min="16" max="16" width="8.5703125" style="2" bestFit="1" customWidth="1"/>
    <col min="17" max="17" width="9.7109375" style="2" bestFit="1" customWidth="1"/>
    <col min="18" max="16384" width="9.140625" style="2"/>
  </cols>
  <sheetData>
    <row r="1" spans="2:24" ht="22.5" customHeight="1" x14ac:dyDescent="0.35">
      <c r="B1" s="548"/>
      <c r="O1" s="1407" t="s">
        <v>399</v>
      </c>
      <c r="P1" s="1407"/>
      <c r="Q1" s="1408" t="s">
        <v>381</v>
      </c>
      <c r="R1" s="1409"/>
      <c r="S1" s="1410"/>
    </row>
    <row r="2" spans="2:24" ht="22.5" customHeight="1" x14ac:dyDescent="0.35">
      <c r="B2" s="548"/>
      <c r="O2" s="1407" t="s">
        <v>714</v>
      </c>
      <c r="P2" s="1407"/>
      <c r="Q2" s="1408" t="s">
        <v>472</v>
      </c>
      <c r="R2" s="1409"/>
      <c r="S2" s="1410"/>
    </row>
    <row r="3" spans="2:24" ht="22.5" customHeight="1" x14ac:dyDescent="0.35">
      <c r="B3" s="548"/>
      <c r="O3" s="1411" t="s">
        <v>400</v>
      </c>
      <c r="P3" s="1412"/>
      <c r="Q3" s="1413" t="s">
        <v>720</v>
      </c>
      <c r="R3" s="1414"/>
      <c r="S3" s="1415"/>
    </row>
    <row r="4" spans="2:24" ht="22.5" customHeight="1" x14ac:dyDescent="0.35">
      <c r="B4" s="548"/>
      <c r="O4" s="1411" t="s">
        <v>651</v>
      </c>
      <c r="P4" s="1412"/>
      <c r="Q4" s="1416">
        <f>'Input data'!Q4</f>
        <v>82000</v>
      </c>
      <c r="R4" s="1417"/>
      <c r="S4" s="1418"/>
    </row>
    <row r="5" spans="2:24" ht="22.5" customHeight="1" x14ac:dyDescent="0.35">
      <c r="B5" s="548"/>
      <c r="O5" s="1411" t="s">
        <v>401</v>
      </c>
      <c r="P5" s="1412"/>
      <c r="Q5" s="1408">
        <f>'Input data'!R4</f>
        <v>2</v>
      </c>
      <c r="R5" s="1409"/>
      <c r="S5" s="1410"/>
    </row>
    <row r="6" spans="2:24" ht="22.5" customHeight="1" x14ac:dyDescent="0.35">
      <c r="B6" s="548"/>
      <c r="O6" s="1411" t="s">
        <v>716</v>
      </c>
      <c r="P6" s="1412"/>
      <c r="Q6" s="1408">
        <f>'Input data'!S4</f>
        <v>20000</v>
      </c>
      <c r="R6" s="1409"/>
      <c r="S6" s="1410"/>
    </row>
    <row r="7" spans="2:24" ht="22.5" customHeight="1" x14ac:dyDescent="0.35">
      <c r="B7" s="548"/>
      <c r="O7" s="1411" t="s">
        <v>402</v>
      </c>
      <c r="P7" s="1412"/>
      <c r="Q7" s="1408">
        <f>'Input data'!T4</f>
        <v>2000</v>
      </c>
      <c r="R7" s="1409"/>
      <c r="S7" s="1410"/>
    </row>
    <row r="8" spans="2:24" ht="22.5" customHeight="1" x14ac:dyDescent="0.35">
      <c r="B8" s="548"/>
      <c r="O8" s="1407" t="s">
        <v>403</v>
      </c>
      <c r="P8" s="1407"/>
      <c r="Q8" s="1420">
        <f>SUM(D64:AC64)/1000</f>
        <v>129.12031897658392</v>
      </c>
      <c r="R8" s="1421"/>
      <c r="S8" s="1422"/>
    </row>
    <row r="9" spans="2:24" ht="22.5" customHeight="1" x14ac:dyDescent="0.35">
      <c r="B9" s="548"/>
      <c r="O9" s="1423"/>
      <c r="P9" s="1423"/>
      <c r="Q9" s="1423"/>
      <c r="R9" s="1423"/>
      <c r="S9" s="1423"/>
    </row>
    <row r="10" spans="2:24" ht="22.5" customHeight="1" x14ac:dyDescent="0.35">
      <c r="B10" s="548"/>
      <c r="O10" s="1424"/>
      <c r="P10" s="1424"/>
      <c r="Q10" s="1424"/>
      <c r="R10" s="1424"/>
      <c r="S10" s="1424"/>
    </row>
    <row r="11" spans="2:24" ht="22.5" customHeight="1" x14ac:dyDescent="0.35">
      <c r="B11" s="548"/>
      <c r="O11" s="1424"/>
      <c r="P11" s="1424"/>
      <c r="Q11" s="1424"/>
      <c r="R11" s="1424"/>
      <c r="S11" s="1424"/>
    </row>
    <row r="12" spans="2:24" ht="22.5" customHeight="1" x14ac:dyDescent="0.35">
      <c r="B12" s="548"/>
      <c r="O12" s="1424"/>
      <c r="P12" s="1424"/>
      <c r="Q12" s="1424"/>
      <c r="R12" s="1424"/>
      <c r="S12" s="1424"/>
    </row>
    <row r="13" spans="2:24" ht="22.5" customHeight="1" x14ac:dyDescent="0.35">
      <c r="B13" s="548"/>
      <c r="O13" s="1424"/>
      <c r="P13" s="1424"/>
      <c r="Q13" s="1424"/>
      <c r="R13" s="1424"/>
      <c r="S13" s="1424"/>
    </row>
    <row r="14" spans="2:24" ht="22.5" customHeight="1" x14ac:dyDescent="0.35">
      <c r="B14" s="548"/>
      <c r="O14" s="1424"/>
      <c r="P14" s="1424"/>
      <c r="Q14" s="1424"/>
      <c r="R14" s="1424"/>
      <c r="S14" s="1424"/>
    </row>
    <row r="15" spans="2:24" ht="22.5" customHeight="1" x14ac:dyDescent="0.35">
      <c r="B15" s="548"/>
      <c r="O15" s="1424"/>
      <c r="P15" s="1424"/>
      <c r="Q15" s="1424"/>
      <c r="R15" s="1424"/>
      <c r="S15" s="1424"/>
    </row>
    <row r="16" spans="2:24" hidden="1" x14ac:dyDescent="0.2">
      <c r="B16" s="1425" t="s">
        <v>404</v>
      </c>
      <c r="C16" s="1425"/>
      <c r="D16" s="549" t="e">
        <f>MONTH(Q3)</f>
        <v>#VALUE!</v>
      </c>
      <c r="E16" s="549" t="e">
        <f>D16+1</f>
        <v>#VALUE!</v>
      </c>
      <c r="F16" s="549" t="e">
        <f t="shared" ref="F16:T16" si="0">E16+1</f>
        <v>#VALUE!</v>
      </c>
      <c r="G16" s="549" t="e">
        <f t="shared" si="0"/>
        <v>#VALUE!</v>
      </c>
      <c r="H16" s="549" t="e">
        <f t="shared" si="0"/>
        <v>#VALUE!</v>
      </c>
      <c r="I16" s="549" t="e">
        <f t="shared" si="0"/>
        <v>#VALUE!</v>
      </c>
      <c r="J16" s="549" t="e">
        <f t="shared" si="0"/>
        <v>#VALUE!</v>
      </c>
      <c r="K16" s="549" t="e">
        <f t="shared" si="0"/>
        <v>#VALUE!</v>
      </c>
      <c r="L16" s="549" t="e">
        <f t="shared" si="0"/>
        <v>#VALUE!</v>
      </c>
      <c r="M16" s="549" t="e">
        <f t="shared" si="0"/>
        <v>#VALUE!</v>
      </c>
      <c r="N16" s="549" t="e">
        <f t="shared" si="0"/>
        <v>#VALUE!</v>
      </c>
      <c r="O16" s="549" t="e">
        <f t="shared" si="0"/>
        <v>#VALUE!</v>
      </c>
      <c r="P16" s="549" t="e">
        <f t="shared" si="0"/>
        <v>#VALUE!</v>
      </c>
      <c r="Q16" s="549" t="e">
        <f t="shared" si="0"/>
        <v>#VALUE!</v>
      </c>
      <c r="R16" s="549" t="e">
        <f t="shared" si="0"/>
        <v>#VALUE!</v>
      </c>
      <c r="S16" s="549" t="e">
        <f t="shared" si="0"/>
        <v>#VALUE!</v>
      </c>
      <c r="T16" s="549" t="e">
        <f t="shared" si="0"/>
        <v>#VALUE!</v>
      </c>
      <c r="U16" s="549" t="e">
        <f>T16+1</f>
        <v>#VALUE!</v>
      </c>
      <c r="V16" s="549" t="e">
        <f>U16+1</f>
        <v>#VALUE!</v>
      </c>
      <c r="W16" s="549" t="e">
        <f>V16+1</f>
        <v>#VALUE!</v>
      </c>
      <c r="X16" s="549" t="e">
        <f>W16+1</f>
        <v>#VALUE!</v>
      </c>
    </row>
    <row r="17" spans="2:29" s="8" customFormat="1" ht="15" customHeight="1" x14ac:dyDescent="0.2">
      <c r="B17" s="550" t="s">
        <v>405</v>
      </c>
      <c r="C17" s="550"/>
      <c r="D17" s="550" t="s">
        <v>166</v>
      </c>
      <c r="E17" s="550" t="s">
        <v>167</v>
      </c>
      <c r="F17" s="550" t="s">
        <v>168</v>
      </c>
      <c r="G17" s="550" t="s">
        <v>169</v>
      </c>
      <c r="H17" s="550" t="s">
        <v>170</v>
      </c>
      <c r="I17" s="550" t="s">
        <v>171</v>
      </c>
      <c r="J17" s="550" t="s">
        <v>172</v>
      </c>
      <c r="K17" s="550" t="s">
        <v>173</v>
      </c>
      <c r="L17" s="550" t="s">
        <v>174</v>
      </c>
      <c r="M17" s="550" t="s">
        <v>175</v>
      </c>
      <c r="N17" s="550" t="s">
        <v>176</v>
      </c>
      <c r="O17" s="550" t="s">
        <v>177</v>
      </c>
      <c r="P17" s="550" t="s">
        <v>166</v>
      </c>
      <c r="Q17" s="550" t="s">
        <v>167</v>
      </c>
      <c r="R17" s="550" t="s">
        <v>168</v>
      </c>
      <c r="S17" s="550" t="s">
        <v>169</v>
      </c>
      <c r="T17" s="550" t="s">
        <v>170</v>
      </c>
      <c r="U17" s="550" t="s">
        <v>171</v>
      </c>
      <c r="V17" s="550" t="s">
        <v>172</v>
      </c>
      <c r="W17" s="550" t="s">
        <v>173</v>
      </c>
      <c r="X17" s="550" t="s">
        <v>174</v>
      </c>
      <c r="Y17" s="550" t="s">
        <v>175</v>
      </c>
      <c r="Z17" s="550" t="s">
        <v>176</v>
      </c>
      <c r="AA17" s="550" t="s">
        <v>177</v>
      </c>
      <c r="AB17" s="550" t="s">
        <v>166</v>
      </c>
      <c r="AC17" s="550" t="s">
        <v>167</v>
      </c>
    </row>
    <row r="18" spans="2:29" ht="12.75" customHeight="1" x14ac:dyDescent="0.2">
      <c r="B18" s="285" t="s">
        <v>406</v>
      </c>
      <c r="C18" s="285"/>
      <c r="D18" s="285">
        <f>VLOOKUP(D17,'Input data'!$N$5:$P$16,3,FALSE)</f>
        <v>31</v>
      </c>
      <c r="E18" s="285">
        <f>VLOOKUP(E17,'Input data'!$N$5:$P$16,3,FALSE)</f>
        <v>31</v>
      </c>
      <c r="F18" s="285">
        <f>VLOOKUP(F17,'Input data'!$N$5:$P$16,3,FALSE)</f>
        <v>30</v>
      </c>
      <c r="G18" s="285">
        <f>VLOOKUP(G17,'Input data'!$N$5:$P$16,3,FALSE)</f>
        <v>31</v>
      </c>
      <c r="H18" s="285">
        <f>VLOOKUP(H17,'Input data'!$N$5:$P$16,3,FALSE)</f>
        <v>30</v>
      </c>
      <c r="I18" s="285">
        <f>VLOOKUP(I17,'Input data'!$N$5:$P$16,3,FALSE)</f>
        <v>31</v>
      </c>
      <c r="J18" s="285">
        <f>VLOOKUP(J17,'Input data'!$N$5:$P$16,3,FALSE)</f>
        <v>31</v>
      </c>
      <c r="K18" s="285">
        <f>VLOOKUP(K17,'Input data'!$N$5:$P$16,3,FALSE)</f>
        <v>28</v>
      </c>
      <c r="L18" s="285">
        <f>VLOOKUP(L17,'Input data'!$N$5:$P$16,3,FALSE)</f>
        <v>31</v>
      </c>
      <c r="M18" s="285">
        <f>VLOOKUP(M17,'Input data'!$N$5:$P$16,3,FALSE)</f>
        <v>30</v>
      </c>
      <c r="N18" s="285">
        <f>VLOOKUP(N17,'Input data'!$N$5:$P$16,3,FALSE)</f>
        <v>31</v>
      </c>
      <c r="O18" s="285">
        <f>VLOOKUP(O17,'Input data'!$N$5:$P$16,3,FALSE)</f>
        <v>30</v>
      </c>
      <c r="P18" s="285">
        <f>VLOOKUP(P17,'Input data'!$N$5:$P$16,3,FALSE)</f>
        <v>31</v>
      </c>
      <c r="Q18" s="285">
        <f>VLOOKUP(Q17,'Input data'!$N$5:$P$16,3,FALSE)</f>
        <v>31</v>
      </c>
      <c r="R18" s="285">
        <f>VLOOKUP(R17,'Input data'!$N$5:$P$16,3,FALSE)</f>
        <v>30</v>
      </c>
      <c r="S18" s="285">
        <f>VLOOKUP(S17,'Input data'!$N$5:$P$16,3,FALSE)</f>
        <v>31</v>
      </c>
      <c r="T18" s="285">
        <f>VLOOKUP(T17,'Input data'!$N$5:$P$16,3,FALSE)</f>
        <v>30</v>
      </c>
      <c r="U18" s="285">
        <f>VLOOKUP(U17,'Input data'!$N$5:$P$16,3,FALSE)</f>
        <v>31</v>
      </c>
      <c r="V18" s="285">
        <f>VLOOKUP(V17,'Input data'!$N$5:$P$16,3,FALSE)</f>
        <v>31</v>
      </c>
      <c r="W18" s="285">
        <f>VLOOKUP(W17,'Input data'!$N$5:$P$16,3,FALSE)</f>
        <v>28</v>
      </c>
      <c r="X18" s="285">
        <f>VLOOKUP(X17,'Input data'!$N$5:$P$16,3,FALSE)</f>
        <v>31</v>
      </c>
      <c r="Y18" s="285">
        <f>VLOOKUP(Y17,'Input data'!$N$5:$P$16,3,FALSE)</f>
        <v>30</v>
      </c>
      <c r="Z18" s="285">
        <f>VLOOKUP(Z17,'Input data'!$N$5:$P$16,3,FALSE)</f>
        <v>31</v>
      </c>
      <c r="AA18" s="285">
        <f>VLOOKUP(AA17,'Input data'!$N$5:$P$16,3,FALSE)</f>
        <v>30</v>
      </c>
      <c r="AB18" s="285">
        <f>VLOOKUP(AB17,'Input data'!$N$5:$P$16,3,FALSE)</f>
        <v>31</v>
      </c>
      <c r="AC18" s="285">
        <f>VLOOKUP(AC17,'Input data'!$N$5:$P$16,3,FALSE)</f>
        <v>31</v>
      </c>
    </row>
    <row r="19" spans="2:29" ht="12.75" customHeight="1" x14ac:dyDescent="0.2">
      <c r="B19" s="285" t="s">
        <v>407</v>
      </c>
      <c r="C19" s="285"/>
      <c r="D19" s="285">
        <f>VLOOKUP(D17,'Input data'!$N$5:$P$16,2,FALSE)</f>
        <v>18</v>
      </c>
      <c r="E19" s="285">
        <f>VLOOKUP(E17,'Input data'!$N$5:$P$16,2,FALSE)</f>
        <v>18</v>
      </c>
      <c r="F19" s="285">
        <f>VLOOKUP(F17,'Input data'!$N$5:$P$16,2,FALSE)</f>
        <v>20</v>
      </c>
      <c r="G19" s="285">
        <f>VLOOKUP(G17,'Input data'!$N$5:$P$16,2,FALSE)</f>
        <v>21</v>
      </c>
      <c r="H19" s="285">
        <f>VLOOKUP(H17,'Input data'!$N$5:$P$16,2,FALSE)</f>
        <v>23</v>
      </c>
      <c r="I19" s="285">
        <f>VLOOKUP(I17,'Input data'!$N$5:$P$16,2,FALSE)</f>
        <v>24</v>
      </c>
      <c r="J19" s="285">
        <f>VLOOKUP(J17,'Input data'!$N$5:$P$16,2,FALSE)</f>
        <v>24</v>
      </c>
      <c r="K19" s="285">
        <f>VLOOKUP(K17,'Input data'!$N$5:$P$16,2,FALSE)</f>
        <v>24</v>
      </c>
      <c r="L19" s="285">
        <f>VLOOKUP(L17,'Input data'!$N$5:$P$16,2,FALSE)</f>
        <v>22</v>
      </c>
      <c r="M19" s="285">
        <f>VLOOKUP(M17,'Input data'!$N$5:$P$16,2,FALSE)</f>
        <v>20</v>
      </c>
      <c r="N19" s="285">
        <f>VLOOKUP(N17,'Input data'!$N$5:$P$16,2,FALSE)</f>
        <v>19</v>
      </c>
      <c r="O19" s="285">
        <f>VLOOKUP(O17,'Input data'!$N$5:$P$16,2,FALSE)</f>
        <v>18</v>
      </c>
      <c r="P19" s="285">
        <f>VLOOKUP(P17,'Input data'!$N$5:$P$16,2,FALSE)</f>
        <v>18</v>
      </c>
      <c r="Q19" s="285">
        <f>VLOOKUP(Q17,'Input data'!$N$5:$P$16,2,FALSE)</f>
        <v>18</v>
      </c>
      <c r="R19" s="285">
        <f>VLOOKUP(R17,'Input data'!$N$5:$P$16,2,FALSE)</f>
        <v>20</v>
      </c>
      <c r="S19" s="285">
        <f>VLOOKUP(S17,'Input data'!$N$5:$P$16,2,FALSE)</f>
        <v>21</v>
      </c>
      <c r="T19" s="285">
        <f>VLOOKUP(T17,'Input data'!$N$5:$P$16,2,FALSE)</f>
        <v>23</v>
      </c>
      <c r="U19" s="285">
        <f>VLOOKUP(U17,'Input data'!$N$5:$P$16,2,FALSE)</f>
        <v>24</v>
      </c>
      <c r="V19" s="285">
        <f>VLOOKUP(V17,'Input data'!$N$5:$P$16,2,FALSE)</f>
        <v>24</v>
      </c>
      <c r="W19" s="285">
        <f>VLOOKUP(W17,'Input data'!$N$5:$P$16,2,FALSE)</f>
        <v>24</v>
      </c>
      <c r="X19" s="285">
        <f>VLOOKUP(X17,'Input data'!$N$5:$P$16,2,FALSE)</f>
        <v>22</v>
      </c>
      <c r="Y19" s="285">
        <f>VLOOKUP(Y17,'Input data'!$N$5:$P$16,2,FALSE)</f>
        <v>20</v>
      </c>
      <c r="Z19" s="285">
        <f>VLOOKUP(Z17,'Input data'!$N$5:$P$16,2,FALSE)</f>
        <v>19</v>
      </c>
      <c r="AA19" s="285">
        <f>VLOOKUP(AA17,'Input data'!$N$5:$P$16,2,FALSE)</f>
        <v>18</v>
      </c>
      <c r="AB19" s="285">
        <f>VLOOKUP(AB17,'Input data'!$N$5:$P$16,2,FALSE)</f>
        <v>18</v>
      </c>
      <c r="AC19" s="285">
        <f>VLOOKUP(AC17,'Input data'!$N$5:$P$16,2,FALSE)</f>
        <v>18</v>
      </c>
    </row>
    <row r="20" spans="2:29" ht="12.75" customHeight="1" x14ac:dyDescent="0.2">
      <c r="B20" s="285" t="s">
        <v>408</v>
      </c>
      <c r="C20" s="285"/>
      <c r="D20" s="285">
        <v>1</v>
      </c>
      <c r="E20" s="285">
        <f>D20+1</f>
        <v>2</v>
      </c>
      <c r="F20" s="285">
        <f>E20+1</f>
        <v>3</v>
      </c>
      <c r="G20" s="285">
        <f t="shared" ref="G20:X20" si="1">F20+1</f>
        <v>4</v>
      </c>
      <c r="H20" s="285">
        <f t="shared" si="1"/>
        <v>5</v>
      </c>
      <c r="I20" s="285">
        <f t="shared" si="1"/>
        <v>6</v>
      </c>
      <c r="J20" s="285">
        <f t="shared" si="1"/>
        <v>7</v>
      </c>
      <c r="K20" s="285">
        <f t="shared" si="1"/>
        <v>8</v>
      </c>
      <c r="L20" s="285">
        <f t="shared" si="1"/>
        <v>9</v>
      </c>
      <c r="M20" s="285">
        <f t="shared" si="1"/>
        <v>10</v>
      </c>
      <c r="N20" s="285">
        <f t="shared" si="1"/>
        <v>11</v>
      </c>
      <c r="O20" s="285">
        <f t="shared" si="1"/>
        <v>12</v>
      </c>
      <c r="P20" s="285">
        <f t="shared" si="1"/>
        <v>13</v>
      </c>
      <c r="Q20" s="285">
        <f t="shared" si="1"/>
        <v>14</v>
      </c>
      <c r="R20" s="285">
        <f t="shared" si="1"/>
        <v>15</v>
      </c>
      <c r="S20" s="285">
        <f t="shared" si="1"/>
        <v>16</v>
      </c>
      <c r="T20" s="285">
        <f t="shared" si="1"/>
        <v>17</v>
      </c>
      <c r="U20" s="285">
        <f t="shared" si="1"/>
        <v>18</v>
      </c>
      <c r="V20" s="285">
        <f t="shared" si="1"/>
        <v>19</v>
      </c>
      <c r="W20" s="285">
        <f t="shared" si="1"/>
        <v>20</v>
      </c>
      <c r="X20" s="210">
        <f t="shared" si="1"/>
        <v>21</v>
      </c>
      <c r="Y20" s="210">
        <f t="shared" ref="Y20" si="2">X20+1</f>
        <v>22</v>
      </c>
      <c r="Z20" s="210">
        <f t="shared" ref="Z20" si="3">Y20+1</f>
        <v>23</v>
      </c>
      <c r="AA20" s="210">
        <f t="shared" ref="AA20:AC20" si="4">Z20+1</f>
        <v>24</v>
      </c>
      <c r="AB20" s="210">
        <f t="shared" si="4"/>
        <v>25</v>
      </c>
      <c r="AC20" s="210">
        <f t="shared" si="4"/>
        <v>26</v>
      </c>
    </row>
    <row r="21" spans="2:29" ht="3" customHeight="1" x14ac:dyDescent="0.2"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776"/>
    </row>
    <row r="22" spans="2:29" ht="15" hidden="1" customHeight="1" x14ac:dyDescent="0.25">
      <c r="B22" s="551" t="s">
        <v>409</v>
      </c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</row>
    <row r="23" spans="2:29" ht="15" hidden="1" customHeight="1" x14ac:dyDescent="0.2">
      <c r="B23" s="550" t="s">
        <v>410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</row>
    <row r="24" spans="2:29" ht="12.75" hidden="1" customHeight="1" x14ac:dyDescent="0.2">
      <c r="B24" s="552" t="s">
        <v>411</v>
      </c>
      <c r="C24" s="552"/>
      <c r="D24" s="553">
        <f>Q4</f>
        <v>82000</v>
      </c>
      <c r="E24" s="552">
        <f t="shared" ref="E24:X24" si="5">D31</f>
        <v>82000</v>
      </c>
      <c r="F24" s="552">
        <f t="shared" si="5"/>
        <v>82000</v>
      </c>
      <c r="G24" s="552">
        <f t="shared" si="5"/>
        <v>82000</v>
      </c>
      <c r="H24" s="552">
        <f t="shared" si="5"/>
        <v>82000</v>
      </c>
      <c r="I24" s="552">
        <f t="shared" si="5"/>
        <v>82000</v>
      </c>
      <c r="J24" s="552">
        <f t="shared" si="5"/>
        <v>82000</v>
      </c>
      <c r="K24" s="552">
        <f t="shared" si="5"/>
        <v>82000</v>
      </c>
      <c r="L24" s="552">
        <f t="shared" si="5"/>
        <v>82000</v>
      </c>
      <c r="M24" s="552">
        <f t="shared" si="5"/>
        <v>82000</v>
      </c>
      <c r="N24" s="552">
        <f t="shared" si="5"/>
        <v>82000</v>
      </c>
      <c r="O24" s="552">
        <f t="shared" si="5"/>
        <v>82000</v>
      </c>
      <c r="P24" s="552">
        <f t="shared" si="5"/>
        <v>82000</v>
      </c>
      <c r="Q24" s="552">
        <f t="shared" si="5"/>
        <v>82000</v>
      </c>
      <c r="R24" s="552">
        <f t="shared" si="5"/>
        <v>82000</v>
      </c>
      <c r="S24" s="552">
        <f t="shared" si="5"/>
        <v>82000</v>
      </c>
      <c r="T24" s="552">
        <f t="shared" si="5"/>
        <v>82000</v>
      </c>
      <c r="U24" s="552">
        <f t="shared" si="5"/>
        <v>82000</v>
      </c>
      <c r="V24" s="552">
        <f t="shared" si="5"/>
        <v>82000</v>
      </c>
      <c r="W24" s="552">
        <f t="shared" si="5"/>
        <v>82000</v>
      </c>
      <c r="X24" s="552">
        <f t="shared" si="5"/>
        <v>82000</v>
      </c>
    </row>
    <row r="25" spans="2:29" ht="12.75" hidden="1" customHeight="1" x14ac:dyDescent="0.2">
      <c r="B25" s="553" t="s">
        <v>412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</row>
    <row r="26" spans="2:29" s="265" customFormat="1" ht="12.75" hidden="1" customHeight="1" x14ac:dyDescent="0.2">
      <c r="B26" s="553" t="s">
        <v>413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</row>
    <row r="27" spans="2:29" s="265" customFormat="1" ht="15" hidden="1" customHeight="1" x14ac:dyDescent="0.2">
      <c r="B27" s="552" t="s">
        <v>414</v>
      </c>
      <c r="C27" s="552"/>
      <c r="D27" s="552">
        <f>D26</f>
        <v>0</v>
      </c>
      <c r="E27" s="552">
        <f t="shared" ref="E27:X27" si="6">D27+E26</f>
        <v>0</v>
      </c>
      <c r="F27" s="552">
        <f t="shared" si="6"/>
        <v>0</v>
      </c>
      <c r="G27" s="552">
        <f t="shared" si="6"/>
        <v>0</v>
      </c>
      <c r="H27" s="552">
        <f t="shared" si="6"/>
        <v>0</v>
      </c>
      <c r="I27" s="552">
        <f t="shared" si="6"/>
        <v>0</v>
      </c>
      <c r="J27" s="552">
        <f t="shared" si="6"/>
        <v>0</v>
      </c>
      <c r="K27" s="552">
        <f t="shared" si="6"/>
        <v>0</v>
      </c>
      <c r="L27" s="552">
        <f t="shared" si="6"/>
        <v>0</v>
      </c>
      <c r="M27" s="552">
        <f t="shared" si="6"/>
        <v>0</v>
      </c>
      <c r="N27" s="552">
        <f t="shared" si="6"/>
        <v>0</v>
      </c>
      <c r="O27" s="552">
        <f t="shared" si="6"/>
        <v>0</v>
      </c>
      <c r="P27" s="552">
        <f t="shared" si="6"/>
        <v>0</v>
      </c>
      <c r="Q27" s="552">
        <f t="shared" si="6"/>
        <v>0</v>
      </c>
      <c r="R27" s="552">
        <f t="shared" si="6"/>
        <v>0</v>
      </c>
      <c r="S27" s="552">
        <f t="shared" si="6"/>
        <v>0</v>
      </c>
      <c r="T27" s="552">
        <f t="shared" si="6"/>
        <v>0</v>
      </c>
      <c r="U27" s="552">
        <f t="shared" si="6"/>
        <v>0</v>
      </c>
      <c r="V27" s="552">
        <f t="shared" si="6"/>
        <v>0</v>
      </c>
      <c r="W27" s="552">
        <f t="shared" si="6"/>
        <v>0</v>
      </c>
      <c r="X27" s="552">
        <f t="shared" si="6"/>
        <v>0</v>
      </c>
    </row>
    <row r="28" spans="2:29" s="265" customFormat="1" ht="15" hidden="1" customHeight="1" x14ac:dyDescent="0.2">
      <c r="B28" s="552" t="s">
        <v>415</v>
      </c>
      <c r="C28" s="552"/>
      <c r="D28" s="552">
        <f t="shared" ref="D28:X28" si="7">IF(D26&gt;0,(D26/D24),(0))</f>
        <v>0</v>
      </c>
      <c r="E28" s="552">
        <f t="shared" si="7"/>
        <v>0</v>
      </c>
      <c r="F28" s="552">
        <f t="shared" si="7"/>
        <v>0</v>
      </c>
      <c r="G28" s="552">
        <f t="shared" si="7"/>
        <v>0</v>
      </c>
      <c r="H28" s="552">
        <f t="shared" si="7"/>
        <v>0</v>
      </c>
      <c r="I28" s="552">
        <f t="shared" si="7"/>
        <v>0</v>
      </c>
      <c r="J28" s="552">
        <f t="shared" si="7"/>
        <v>0</v>
      </c>
      <c r="K28" s="552">
        <f t="shared" si="7"/>
        <v>0</v>
      </c>
      <c r="L28" s="552">
        <f t="shared" si="7"/>
        <v>0</v>
      </c>
      <c r="M28" s="552">
        <f t="shared" si="7"/>
        <v>0</v>
      </c>
      <c r="N28" s="552">
        <f t="shared" si="7"/>
        <v>0</v>
      </c>
      <c r="O28" s="552">
        <f t="shared" si="7"/>
        <v>0</v>
      </c>
      <c r="P28" s="552">
        <f t="shared" si="7"/>
        <v>0</v>
      </c>
      <c r="Q28" s="552">
        <f t="shared" si="7"/>
        <v>0</v>
      </c>
      <c r="R28" s="552">
        <f t="shared" si="7"/>
        <v>0</v>
      </c>
      <c r="S28" s="552">
        <f t="shared" si="7"/>
        <v>0</v>
      </c>
      <c r="T28" s="552">
        <f t="shared" si="7"/>
        <v>0</v>
      </c>
      <c r="U28" s="552">
        <f t="shared" si="7"/>
        <v>0</v>
      </c>
      <c r="V28" s="552">
        <f t="shared" si="7"/>
        <v>0</v>
      </c>
      <c r="W28" s="552">
        <f t="shared" si="7"/>
        <v>0</v>
      </c>
      <c r="X28" s="552">
        <f t="shared" si="7"/>
        <v>0</v>
      </c>
    </row>
    <row r="29" spans="2:29" s="265" customFormat="1" ht="15" hidden="1" customHeight="1" x14ac:dyDescent="0.2">
      <c r="B29" s="552" t="s">
        <v>416</v>
      </c>
      <c r="C29" s="552"/>
      <c r="D29" s="552">
        <f t="shared" ref="D29:X29" si="8">D27/$D24</f>
        <v>0</v>
      </c>
      <c r="E29" s="552">
        <f t="shared" si="8"/>
        <v>0</v>
      </c>
      <c r="F29" s="552">
        <f t="shared" si="8"/>
        <v>0</v>
      </c>
      <c r="G29" s="552">
        <f t="shared" si="8"/>
        <v>0</v>
      </c>
      <c r="H29" s="552">
        <f t="shared" si="8"/>
        <v>0</v>
      </c>
      <c r="I29" s="552">
        <f t="shared" si="8"/>
        <v>0</v>
      </c>
      <c r="J29" s="552">
        <f t="shared" si="8"/>
        <v>0</v>
      </c>
      <c r="K29" s="552">
        <f t="shared" si="8"/>
        <v>0</v>
      </c>
      <c r="L29" s="552">
        <f t="shared" si="8"/>
        <v>0</v>
      </c>
      <c r="M29" s="552">
        <f t="shared" si="8"/>
        <v>0</v>
      </c>
      <c r="N29" s="552">
        <f t="shared" si="8"/>
        <v>0</v>
      </c>
      <c r="O29" s="552">
        <f t="shared" si="8"/>
        <v>0</v>
      </c>
      <c r="P29" s="552">
        <f t="shared" si="8"/>
        <v>0</v>
      </c>
      <c r="Q29" s="552">
        <f t="shared" si="8"/>
        <v>0</v>
      </c>
      <c r="R29" s="552">
        <f t="shared" si="8"/>
        <v>0</v>
      </c>
      <c r="S29" s="552">
        <f t="shared" si="8"/>
        <v>0</v>
      </c>
      <c r="T29" s="552">
        <f t="shared" si="8"/>
        <v>0</v>
      </c>
      <c r="U29" s="552">
        <f t="shared" si="8"/>
        <v>0</v>
      </c>
      <c r="V29" s="552">
        <f t="shared" si="8"/>
        <v>0</v>
      </c>
      <c r="W29" s="552">
        <f t="shared" si="8"/>
        <v>0</v>
      </c>
      <c r="X29" s="552">
        <f t="shared" si="8"/>
        <v>0</v>
      </c>
    </row>
    <row r="30" spans="2:29" hidden="1" x14ac:dyDescent="0.2">
      <c r="B30" s="553" t="s">
        <v>417</v>
      </c>
      <c r="C30" s="553"/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  <c r="M30" s="553">
        <v>0</v>
      </c>
      <c r="N30" s="553">
        <v>0</v>
      </c>
      <c r="O30" s="553">
        <v>0</v>
      </c>
      <c r="P30" s="553">
        <v>0</v>
      </c>
      <c r="Q30" s="553">
        <v>0</v>
      </c>
      <c r="R30" s="553">
        <v>0</v>
      </c>
      <c r="S30" s="553">
        <v>0</v>
      </c>
      <c r="T30" s="553">
        <v>0</v>
      </c>
      <c r="U30" s="553">
        <v>0</v>
      </c>
      <c r="V30" s="553">
        <v>0</v>
      </c>
      <c r="W30" s="553">
        <v>0</v>
      </c>
      <c r="X30" s="553">
        <v>0</v>
      </c>
    </row>
    <row r="31" spans="2:29" ht="15" hidden="1" customHeight="1" x14ac:dyDescent="0.2">
      <c r="B31" s="552" t="s">
        <v>418</v>
      </c>
      <c r="C31" s="552"/>
      <c r="D31" s="552">
        <f t="shared" ref="D31:X31" si="9">D24-D25-D26-D30</f>
        <v>82000</v>
      </c>
      <c r="E31" s="552">
        <f t="shared" si="9"/>
        <v>82000</v>
      </c>
      <c r="F31" s="552">
        <f t="shared" si="9"/>
        <v>82000</v>
      </c>
      <c r="G31" s="552">
        <f t="shared" si="9"/>
        <v>82000</v>
      </c>
      <c r="H31" s="552">
        <f t="shared" si="9"/>
        <v>82000</v>
      </c>
      <c r="I31" s="552">
        <f t="shared" si="9"/>
        <v>82000</v>
      </c>
      <c r="J31" s="552">
        <f t="shared" si="9"/>
        <v>82000</v>
      </c>
      <c r="K31" s="552">
        <f t="shared" si="9"/>
        <v>82000</v>
      </c>
      <c r="L31" s="552">
        <f t="shared" si="9"/>
        <v>82000</v>
      </c>
      <c r="M31" s="552">
        <f t="shared" si="9"/>
        <v>82000</v>
      </c>
      <c r="N31" s="552">
        <f t="shared" si="9"/>
        <v>82000</v>
      </c>
      <c r="O31" s="552">
        <f t="shared" si="9"/>
        <v>82000</v>
      </c>
      <c r="P31" s="552">
        <f t="shared" si="9"/>
        <v>82000</v>
      </c>
      <c r="Q31" s="552">
        <f t="shared" si="9"/>
        <v>82000</v>
      </c>
      <c r="R31" s="552">
        <f t="shared" si="9"/>
        <v>82000</v>
      </c>
      <c r="S31" s="552">
        <f t="shared" si="9"/>
        <v>82000</v>
      </c>
      <c r="T31" s="552">
        <f t="shared" si="9"/>
        <v>82000</v>
      </c>
      <c r="U31" s="552">
        <f t="shared" si="9"/>
        <v>82000</v>
      </c>
      <c r="V31" s="552">
        <f t="shared" si="9"/>
        <v>82000</v>
      </c>
      <c r="W31" s="552">
        <f t="shared" si="9"/>
        <v>82000</v>
      </c>
      <c r="X31" s="552">
        <f t="shared" si="9"/>
        <v>82000</v>
      </c>
    </row>
    <row r="32" spans="2:29" ht="15" hidden="1" customHeight="1" x14ac:dyDescent="0.2">
      <c r="B32" s="550" t="s">
        <v>419</v>
      </c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</row>
    <row r="33" spans="2:29" ht="12.75" hidden="1" customHeight="1" x14ac:dyDescent="0.2">
      <c r="B33" s="552" t="s">
        <v>420</v>
      </c>
      <c r="C33" s="552"/>
      <c r="D33" s="553">
        <f>Q5</f>
        <v>2</v>
      </c>
      <c r="E33" s="552">
        <f>D36</f>
        <v>0</v>
      </c>
      <c r="F33" s="552">
        <f>E36</f>
        <v>0</v>
      </c>
      <c r="G33" s="552">
        <f t="shared" ref="G33:S33" si="10">F36</f>
        <v>0</v>
      </c>
      <c r="H33" s="552">
        <f t="shared" si="10"/>
        <v>0</v>
      </c>
      <c r="I33" s="552">
        <f t="shared" si="10"/>
        <v>0</v>
      </c>
      <c r="J33" s="552">
        <f t="shared" si="10"/>
        <v>0</v>
      </c>
      <c r="K33" s="552">
        <f t="shared" si="10"/>
        <v>0</v>
      </c>
      <c r="L33" s="552">
        <f t="shared" si="10"/>
        <v>0</v>
      </c>
      <c r="M33" s="552">
        <f t="shared" si="10"/>
        <v>0</v>
      </c>
      <c r="N33" s="552">
        <f t="shared" si="10"/>
        <v>0</v>
      </c>
      <c r="O33" s="552">
        <f t="shared" si="10"/>
        <v>0</v>
      </c>
      <c r="P33" s="552">
        <f t="shared" si="10"/>
        <v>0</v>
      </c>
      <c r="Q33" s="552">
        <f t="shared" si="10"/>
        <v>0</v>
      </c>
      <c r="R33" s="552">
        <f t="shared" si="10"/>
        <v>0</v>
      </c>
      <c r="S33" s="552">
        <f t="shared" si="10"/>
        <v>0</v>
      </c>
      <c r="T33" s="552">
        <f>S36</f>
        <v>0</v>
      </c>
      <c r="U33" s="552">
        <f>T36</f>
        <v>0</v>
      </c>
      <c r="V33" s="552">
        <f>U36</f>
        <v>0</v>
      </c>
      <c r="W33" s="552">
        <f>V36</f>
        <v>0</v>
      </c>
      <c r="X33" s="552">
        <f>W36</f>
        <v>0</v>
      </c>
    </row>
    <row r="34" spans="2:29" ht="12.75" hidden="1" customHeight="1" x14ac:dyDescent="0.2">
      <c r="B34" s="552" t="s">
        <v>421</v>
      </c>
      <c r="C34" s="552"/>
      <c r="D34" s="552">
        <f t="shared" ref="D34:X34" si="11">(D24*D33)/1000</f>
        <v>164</v>
      </c>
      <c r="E34" s="552">
        <f t="shared" si="11"/>
        <v>0</v>
      </c>
      <c r="F34" s="552">
        <f t="shared" si="11"/>
        <v>0</v>
      </c>
      <c r="G34" s="552">
        <f t="shared" si="11"/>
        <v>0</v>
      </c>
      <c r="H34" s="552">
        <f t="shared" si="11"/>
        <v>0</v>
      </c>
      <c r="I34" s="552">
        <f t="shared" si="11"/>
        <v>0</v>
      </c>
      <c r="J34" s="552">
        <f t="shared" si="11"/>
        <v>0</v>
      </c>
      <c r="K34" s="552">
        <f t="shared" si="11"/>
        <v>0</v>
      </c>
      <c r="L34" s="552">
        <f t="shared" si="11"/>
        <v>0</v>
      </c>
      <c r="M34" s="552">
        <f t="shared" si="11"/>
        <v>0</v>
      </c>
      <c r="N34" s="552">
        <f t="shared" si="11"/>
        <v>0</v>
      </c>
      <c r="O34" s="552">
        <f t="shared" si="11"/>
        <v>0</v>
      </c>
      <c r="P34" s="552">
        <f t="shared" si="11"/>
        <v>0</v>
      </c>
      <c r="Q34" s="552">
        <f t="shared" si="11"/>
        <v>0</v>
      </c>
      <c r="R34" s="552">
        <f t="shared" si="11"/>
        <v>0</v>
      </c>
      <c r="S34" s="552">
        <f t="shared" si="11"/>
        <v>0</v>
      </c>
      <c r="T34" s="552">
        <f t="shared" si="11"/>
        <v>0</v>
      </c>
      <c r="U34" s="552">
        <f t="shared" si="11"/>
        <v>0</v>
      </c>
      <c r="V34" s="552">
        <f t="shared" si="11"/>
        <v>0</v>
      </c>
      <c r="W34" s="552">
        <f t="shared" si="11"/>
        <v>0</v>
      </c>
      <c r="X34" s="552">
        <f t="shared" si="11"/>
        <v>0</v>
      </c>
    </row>
    <row r="35" spans="2:29" ht="12.75" hidden="1" customHeight="1" x14ac:dyDescent="0.2">
      <c r="B35" s="552" t="s">
        <v>422</v>
      </c>
      <c r="C35" s="552"/>
      <c r="D35" s="552">
        <f t="shared" ref="D35:X35" si="12">((D36/D33)^(1/D18)-1)*100</f>
        <v>-100</v>
      </c>
      <c r="E35" s="552" t="e">
        <f t="shared" si="12"/>
        <v>#DIV/0!</v>
      </c>
      <c r="F35" s="552" t="e">
        <f t="shared" si="12"/>
        <v>#DIV/0!</v>
      </c>
      <c r="G35" s="552" t="e">
        <f t="shared" si="12"/>
        <v>#DIV/0!</v>
      </c>
      <c r="H35" s="552" t="e">
        <f t="shared" si="12"/>
        <v>#DIV/0!</v>
      </c>
      <c r="I35" s="552" t="e">
        <f t="shared" si="12"/>
        <v>#DIV/0!</v>
      </c>
      <c r="J35" s="552" t="e">
        <f t="shared" si="12"/>
        <v>#DIV/0!</v>
      </c>
      <c r="K35" s="552" t="e">
        <f t="shared" si="12"/>
        <v>#DIV/0!</v>
      </c>
      <c r="L35" s="552" t="e">
        <f t="shared" si="12"/>
        <v>#DIV/0!</v>
      </c>
      <c r="M35" s="552" t="e">
        <f t="shared" si="12"/>
        <v>#DIV/0!</v>
      </c>
      <c r="N35" s="552" t="e">
        <f t="shared" si="12"/>
        <v>#DIV/0!</v>
      </c>
      <c r="O35" s="552" t="e">
        <f t="shared" si="12"/>
        <v>#DIV/0!</v>
      </c>
      <c r="P35" s="552" t="e">
        <f t="shared" si="12"/>
        <v>#DIV/0!</v>
      </c>
      <c r="Q35" s="552" t="e">
        <f t="shared" si="12"/>
        <v>#DIV/0!</v>
      </c>
      <c r="R35" s="552" t="e">
        <f t="shared" si="12"/>
        <v>#DIV/0!</v>
      </c>
      <c r="S35" s="552" t="e">
        <f t="shared" si="12"/>
        <v>#DIV/0!</v>
      </c>
      <c r="T35" s="552" t="e">
        <f t="shared" si="12"/>
        <v>#DIV/0!</v>
      </c>
      <c r="U35" s="552" t="e">
        <f t="shared" si="12"/>
        <v>#DIV/0!</v>
      </c>
      <c r="V35" s="552" t="e">
        <f t="shared" si="12"/>
        <v>#DIV/0!</v>
      </c>
      <c r="W35" s="552" t="e">
        <f t="shared" si="12"/>
        <v>#DIV/0!</v>
      </c>
      <c r="X35" s="552" t="e">
        <f t="shared" si="12"/>
        <v>#DIV/0!</v>
      </c>
    </row>
    <row r="36" spans="2:29" ht="15" hidden="1" customHeight="1" x14ac:dyDescent="0.2">
      <c r="B36" s="553" t="s">
        <v>423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</row>
    <row r="37" spans="2:29" ht="15" hidden="1" customHeight="1" x14ac:dyDescent="0.2">
      <c r="B37" s="553" t="s">
        <v>424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</row>
    <row r="38" spans="2:29" ht="15" hidden="1" customHeight="1" x14ac:dyDescent="0.2">
      <c r="B38" s="553" t="s">
        <v>425</v>
      </c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</row>
    <row r="39" spans="2:29" ht="15" hidden="1" customHeight="1" x14ac:dyDescent="0.2">
      <c r="B39" s="552" t="s">
        <v>426</v>
      </c>
      <c r="C39" s="552"/>
      <c r="D39" s="552">
        <f t="shared" ref="D39:O39" si="13">(D31*D36)/1000</f>
        <v>0</v>
      </c>
      <c r="E39" s="552">
        <f t="shared" si="13"/>
        <v>0</v>
      </c>
      <c r="F39" s="552">
        <f t="shared" si="13"/>
        <v>0</v>
      </c>
      <c r="G39" s="552">
        <f t="shared" si="13"/>
        <v>0</v>
      </c>
      <c r="H39" s="552">
        <f t="shared" si="13"/>
        <v>0</v>
      </c>
      <c r="I39" s="552">
        <f t="shared" si="13"/>
        <v>0</v>
      </c>
      <c r="J39" s="552">
        <f t="shared" si="13"/>
        <v>0</v>
      </c>
      <c r="K39" s="552">
        <f t="shared" si="13"/>
        <v>0</v>
      </c>
      <c r="L39" s="552">
        <f t="shared" si="13"/>
        <v>0</v>
      </c>
      <c r="M39" s="552">
        <f t="shared" si="13"/>
        <v>0</v>
      </c>
      <c r="N39" s="552">
        <f t="shared" si="13"/>
        <v>0</v>
      </c>
      <c r="O39" s="552">
        <f t="shared" si="13"/>
        <v>0</v>
      </c>
      <c r="P39" s="552"/>
      <c r="Q39" s="552"/>
      <c r="R39" s="552"/>
      <c r="S39" s="552"/>
      <c r="T39" s="552"/>
      <c r="U39" s="552"/>
      <c r="V39" s="552"/>
      <c r="W39" s="552"/>
      <c r="X39" s="552"/>
    </row>
    <row r="40" spans="2:29" ht="15" hidden="1" customHeight="1" x14ac:dyDescent="0.2">
      <c r="B40" s="550" t="s">
        <v>427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0"/>
      <c r="X40" s="550"/>
    </row>
    <row r="41" spans="2:29" ht="12.75" hidden="1" customHeight="1" x14ac:dyDescent="0.2">
      <c r="B41" s="553" t="s">
        <v>428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</row>
    <row r="42" spans="2:29" ht="12.75" hidden="1" customHeight="1" x14ac:dyDescent="0.2">
      <c r="B42" s="552" t="s">
        <v>429</v>
      </c>
      <c r="C42" s="552"/>
      <c r="D42" s="552">
        <f t="shared" ref="D42:X42" si="14">IF(D41&gt;0,(D41/(D39-D34)),(0))</f>
        <v>0</v>
      </c>
      <c r="E42" s="552">
        <f t="shared" si="14"/>
        <v>0</v>
      </c>
      <c r="F42" s="552">
        <f t="shared" si="14"/>
        <v>0</v>
      </c>
      <c r="G42" s="552">
        <f t="shared" si="14"/>
        <v>0</v>
      </c>
      <c r="H42" s="552">
        <f t="shared" si="14"/>
        <v>0</v>
      </c>
      <c r="I42" s="552">
        <f t="shared" si="14"/>
        <v>0</v>
      </c>
      <c r="J42" s="552">
        <f t="shared" si="14"/>
        <v>0</v>
      </c>
      <c r="K42" s="552">
        <f t="shared" si="14"/>
        <v>0</v>
      </c>
      <c r="L42" s="552">
        <f t="shared" si="14"/>
        <v>0</v>
      </c>
      <c r="M42" s="552">
        <f t="shared" si="14"/>
        <v>0</v>
      </c>
      <c r="N42" s="552">
        <f t="shared" si="14"/>
        <v>0</v>
      </c>
      <c r="O42" s="552">
        <f t="shared" si="14"/>
        <v>0</v>
      </c>
      <c r="P42" s="552">
        <f t="shared" si="14"/>
        <v>0</v>
      </c>
      <c r="Q42" s="552">
        <f t="shared" si="14"/>
        <v>0</v>
      </c>
      <c r="R42" s="552">
        <f t="shared" si="14"/>
        <v>0</v>
      </c>
      <c r="S42" s="552">
        <f t="shared" si="14"/>
        <v>0</v>
      </c>
      <c r="T42" s="552">
        <f t="shared" si="14"/>
        <v>0</v>
      </c>
      <c r="U42" s="552">
        <f t="shared" si="14"/>
        <v>0</v>
      </c>
      <c r="V42" s="552">
        <f t="shared" si="14"/>
        <v>0</v>
      </c>
      <c r="W42" s="552">
        <f t="shared" si="14"/>
        <v>0</v>
      </c>
      <c r="X42" s="552">
        <f t="shared" si="14"/>
        <v>0</v>
      </c>
    </row>
    <row r="43" spans="2:29" s="265" customFormat="1" ht="12.75" hidden="1" customHeight="1" x14ac:dyDescent="0.2">
      <c r="B43" s="552" t="s">
        <v>430</v>
      </c>
      <c r="C43" s="552"/>
      <c r="D43" s="552">
        <f>D41</f>
        <v>0</v>
      </c>
      <c r="E43" s="552">
        <f>(D43+E41)</f>
        <v>0</v>
      </c>
      <c r="F43" s="552">
        <f>(E43+F41)</f>
        <v>0</v>
      </c>
      <c r="G43" s="552">
        <f t="shared" ref="G43:T43" si="15">(F43+G41)</f>
        <v>0</v>
      </c>
      <c r="H43" s="552">
        <f t="shared" si="15"/>
        <v>0</v>
      </c>
      <c r="I43" s="552">
        <f t="shared" si="15"/>
        <v>0</v>
      </c>
      <c r="J43" s="552">
        <f t="shared" si="15"/>
        <v>0</v>
      </c>
      <c r="K43" s="552">
        <f t="shared" si="15"/>
        <v>0</v>
      </c>
      <c r="L43" s="552">
        <f t="shared" si="15"/>
        <v>0</v>
      </c>
      <c r="M43" s="552">
        <f t="shared" si="15"/>
        <v>0</v>
      </c>
      <c r="N43" s="552">
        <f t="shared" si="15"/>
        <v>0</v>
      </c>
      <c r="O43" s="552">
        <f t="shared" si="15"/>
        <v>0</v>
      </c>
      <c r="P43" s="552">
        <f t="shared" si="15"/>
        <v>0</v>
      </c>
      <c r="Q43" s="552">
        <f t="shared" si="15"/>
        <v>0</v>
      </c>
      <c r="R43" s="552">
        <f t="shared" si="15"/>
        <v>0</v>
      </c>
      <c r="S43" s="552">
        <f t="shared" si="15"/>
        <v>0</v>
      </c>
      <c r="T43" s="552">
        <f t="shared" si="15"/>
        <v>0</v>
      </c>
      <c r="U43" s="552">
        <f>(T43+U41)</f>
        <v>0</v>
      </c>
      <c r="V43" s="552">
        <f>(U43+V41)</f>
        <v>0</v>
      </c>
      <c r="W43" s="552">
        <f>(V43+W41)</f>
        <v>0</v>
      </c>
      <c r="X43" s="552">
        <f>(W43+X41)</f>
        <v>0</v>
      </c>
    </row>
    <row r="44" spans="2:29" s="265" customFormat="1" ht="15" hidden="1" customHeight="1" x14ac:dyDescent="0.2">
      <c r="B44" s="552" t="s">
        <v>431</v>
      </c>
      <c r="C44" s="552"/>
      <c r="D44" s="552">
        <f>D42</f>
        <v>0</v>
      </c>
      <c r="E44" s="552">
        <f t="shared" ref="E44:X44" si="16">IF(E41&gt;0,(E43/(E39-$D34)),(0))</f>
        <v>0</v>
      </c>
      <c r="F44" s="552">
        <f t="shared" si="16"/>
        <v>0</v>
      </c>
      <c r="G44" s="552">
        <f t="shared" si="16"/>
        <v>0</v>
      </c>
      <c r="H44" s="552">
        <f t="shared" si="16"/>
        <v>0</v>
      </c>
      <c r="I44" s="552">
        <f t="shared" si="16"/>
        <v>0</v>
      </c>
      <c r="J44" s="552">
        <f t="shared" si="16"/>
        <v>0</v>
      </c>
      <c r="K44" s="552">
        <f t="shared" si="16"/>
        <v>0</v>
      </c>
      <c r="L44" s="552">
        <f t="shared" si="16"/>
        <v>0</v>
      </c>
      <c r="M44" s="552">
        <f t="shared" si="16"/>
        <v>0</v>
      </c>
      <c r="N44" s="552">
        <f t="shared" si="16"/>
        <v>0</v>
      </c>
      <c r="O44" s="552">
        <f t="shared" si="16"/>
        <v>0</v>
      </c>
      <c r="P44" s="552">
        <f t="shared" si="16"/>
        <v>0</v>
      </c>
      <c r="Q44" s="552">
        <f t="shared" si="16"/>
        <v>0</v>
      </c>
      <c r="R44" s="552">
        <f t="shared" si="16"/>
        <v>0</v>
      </c>
      <c r="S44" s="552">
        <f t="shared" si="16"/>
        <v>0</v>
      </c>
      <c r="T44" s="552">
        <f t="shared" si="16"/>
        <v>0</v>
      </c>
      <c r="U44" s="552">
        <f t="shared" si="16"/>
        <v>0</v>
      </c>
      <c r="V44" s="552">
        <f t="shared" si="16"/>
        <v>0</v>
      </c>
      <c r="W44" s="552">
        <f t="shared" si="16"/>
        <v>0</v>
      </c>
      <c r="X44" s="552">
        <f t="shared" si="16"/>
        <v>0</v>
      </c>
    </row>
    <row r="45" spans="2:29" ht="15" hidden="1" customHeight="1" x14ac:dyDescent="0.2"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</row>
    <row r="46" spans="2:29" s="198" customFormat="1" ht="13.5" hidden="1" thickBot="1" x14ac:dyDescent="0.25">
      <c r="B46" s="1419"/>
      <c r="C46" s="1419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5"/>
      <c r="U46" s="555"/>
      <c r="V46" s="555"/>
      <c r="W46" s="555"/>
      <c r="X46" s="555"/>
    </row>
    <row r="47" spans="2:29" ht="16.5" thickBot="1" x14ac:dyDescent="0.3">
      <c r="B47" s="5" t="s">
        <v>432</v>
      </c>
    </row>
    <row r="48" spans="2:29" ht="15" customHeight="1" thickBot="1" x14ac:dyDescent="0.3">
      <c r="B48" s="550" t="s">
        <v>466</v>
      </c>
      <c r="C48" s="550"/>
      <c r="D48" s="1400" t="s">
        <v>473</v>
      </c>
      <c r="E48" s="1401"/>
      <c r="F48" s="1402"/>
      <c r="G48" s="1403" t="s">
        <v>578</v>
      </c>
      <c r="H48" s="1404"/>
      <c r="I48" s="1404"/>
      <c r="J48" s="1404"/>
      <c r="K48" s="1404"/>
      <c r="L48" s="1404"/>
      <c r="M48" s="1404"/>
      <c r="N48" s="1404"/>
      <c r="O48" s="1404"/>
      <c r="P48" s="1404"/>
      <c r="Q48" s="1404"/>
      <c r="R48" s="1404"/>
      <c r="S48" s="1404"/>
      <c r="T48" s="1404"/>
      <c r="U48" s="1404"/>
      <c r="V48" s="1404"/>
      <c r="W48" s="1404"/>
      <c r="X48" s="1404"/>
      <c r="Y48" s="1404"/>
      <c r="Z48" s="1404"/>
      <c r="AA48" s="1404"/>
      <c r="AB48" s="1404"/>
      <c r="AC48" s="1426"/>
    </row>
    <row r="49" spans="2:29" ht="12.75" customHeight="1" x14ac:dyDescent="0.2">
      <c r="B49" s="552" t="s">
        <v>411</v>
      </c>
      <c r="C49" s="552"/>
      <c r="D49" s="784">
        <f>Q4</f>
        <v>82000</v>
      </c>
      <c r="E49" s="861">
        <f>D55</f>
        <v>77080</v>
      </c>
      <c r="F49" s="1067">
        <f>E55</f>
        <v>70219.88</v>
      </c>
      <c r="G49" s="1107">
        <f t="shared" ref="G49:S49" si="17">F55</f>
        <v>66006.6872</v>
      </c>
      <c r="H49" s="1108">
        <f t="shared" si="17"/>
        <v>63366.419712000003</v>
      </c>
      <c r="I49" s="1105">
        <f t="shared" si="17"/>
        <v>60831.76292352</v>
      </c>
      <c r="J49" s="1105">
        <f t="shared" si="17"/>
        <v>59554.295902126083</v>
      </c>
      <c r="K49" s="1105">
        <f t="shared" si="17"/>
        <v>58303.655688181432</v>
      </c>
      <c r="L49" s="1105">
        <f t="shared" si="17"/>
        <v>57604.011819923253</v>
      </c>
      <c r="M49" s="1105">
        <f t="shared" si="17"/>
        <v>57488.803796283406</v>
      </c>
      <c r="N49" s="1105">
        <f t="shared" si="17"/>
        <v>57373.826188690837</v>
      </c>
      <c r="O49" s="1105">
        <f t="shared" si="17"/>
        <v>57259.078536313456</v>
      </c>
      <c r="P49" s="1105">
        <f t="shared" si="17"/>
        <v>57144.560379240829</v>
      </c>
      <c r="Q49" s="1105">
        <f t="shared" si="17"/>
        <v>57030.271258482346</v>
      </c>
      <c r="R49" s="1105">
        <f t="shared" si="17"/>
        <v>56916.210715965382</v>
      </c>
      <c r="S49" s="1105">
        <f t="shared" si="17"/>
        <v>56802.378294533453</v>
      </c>
      <c r="T49" s="1105">
        <f>S55</f>
        <v>56688.773537944384</v>
      </c>
      <c r="U49" s="1105">
        <f>T55</f>
        <v>56575.395990868492</v>
      </c>
      <c r="V49" s="1105">
        <f t="shared" ref="V49:Y49" si="18">U55</f>
        <v>56462.245198886754</v>
      </c>
      <c r="W49" s="1105">
        <f t="shared" si="18"/>
        <v>56349.32070848898</v>
      </c>
      <c r="X49" s="1105">
        <f t="shared" si="18"/>
        <v>56236.622067071999</v>
      </c>
      <c r="Y49" s="1105">
        <f t="shared" si="18"/>
        <v>56124.148822937852</v>
      </c>
      <c r="Z49" s="1105">
        <f t="shared" ref="Z49" si="19">Y55</f>
        <v>56011.900525291974</v>
      </c>
      <c r="AA49" s="1105">
        <f t="shared" ref="AA49:AC49" si="20">Z55</f>
        <v>55899.876724241389</v>
      </c>
      <c r="AB49" s="1105">
        <f t="shared" si="20"/>
        <v>35788.076970792907</v>
      </c>
      <c r="AC49" s="1151">
        <f t="shared" si="20"/>
        <v>15716.500816851323</v>
      </c>
    </row>
    <row r="50" spans="2:29" s="265" customFormat="1" ht="12.75" customHeight="1" x14ac:dyDescent="0.2">
      <c r="B50" s="552" t="s">
        <v>413</v>
      </c>
      <c r="C50" s="552"/>
      <c r="D50" s="785">
        <f t="shared" ref="D50:Y50" si="21">D49*D52</f>
        <v>4920</v>
      </c>
      <c r="E50" s="772">
        <f t="shared" si="21"/>
        <v>6860.12</v>
      </c>
      <c r="F50" s="1068">
        <f t="shared" si="21"/>
        <v>4213.1927999999998</v>
      </c>
      <c r="G50" s="785">
        <f t="shared" si="21"/>
        <v>2640.267488</v>
      </c>
      <c r="H50" s="772">
        <f t="shared" si="21"/>
        <v>2534.6567884800002</v>
      </c>
      <c r="I50" s="552">
        <f t="shared" si="21"/>
        <v>1277.46702139392</v>
      </c>
      <c r="J50" s="552">
        <f t="shared" si="21"/>
        <v>1250.6402139446477</v>
      </c>
      <c r="K50" s="552">
        <f t="shared" si="21"/>
        <v>699.64386825817724</v>
      </c>
      <c r="L50" s="552">
        <f t="shared" si="21"/>
        <v>115.2080236398465</v>
      </c>
      <c r="M50" s="552">
        <f t="shared" si="21"/>
        <v>114.97760759256681</v>
      </c>
      <c r="N50" s="552">
        <f t="shared" si="21"/>
        <v>114.74765237738167</v>
      </c>
      <c r="O50" s="552">
        <f t="shared" si="21"/>
        <v>114.51815707262692</v>
      </c>
      <c r="P50" s="552">
        <f t="shared" si="21"/>
        <v>114.28912075848166</v>
      </c>
      <c r="Q50" s="552">
        <f t="shared" si="21"/>
        <v>114.06054251696469</v>
      </c>
      <c r="R50" s="552">
        <f t="shared" si="21"/>
        <v>113.83242143193077</v>
      </c>
      <c r="S50" s="552">
        <f t="shared" si="21"/>
        <v>113.60475658906691</v>
      </c>
      <c r="T50" s="552">
        <f t="shared" si="21"/>
        <v>113.37754707588877</v>
      </c>
      <c r="U50" s="552">
        <f t="shared" si="21"/>
        <v>113.15079198173699</v>
      </c>
      <c r="V50" s="552">
        <f t="shared" si="21"/>
        <v>112.92449039777351</v>
      </c>
      <c r="W50" s="552">
        <f t="shared" si="21"/>
        <v>112.69864141697796</v>
      </c>
      <c r="X50" s="552">
        <f t="shared" si="21"/>
        <v>112.473244134144</v>
      </c>
      <c r="Y50" s="552">
        <f t="shared" si="21"/>
        <v>112.24829764587571</v>
      </c>
      <c r="Z50" s="552">
        <f t="shared" ref="Z50:AA50" si="22">Z49*Z52</f>
        <v>112.02380105058396</v>
      </c>
      <c r="AA50" s="552">
        <f t="shared" si="22"/>
        <v>111.79975344848278</v>
      </c>
      <c r="AB50" s="552">
        <f t="shared" ref="AB50:AC50" si="23">AB49*AB52</f>
        <v>71.576153941585815</v>
      </c>
      <c r="AC50" s="863">
        <f t="shared" si="23"/>
        <v>31.433001633702649</v>
      </c>
    </row>
    <row r="51" spans="2:29" s="265" customFormat="1" ht="15" customHeight="1" x14ac:dyDescent="0.2">
      <c r="B51" s="552" t="s">
        <v>532</v>
      </c>
      <c r="C51" s="552"/>
      <c r="D51" s="785">
        <f>D50</f>
        <v>4920</v>
      </c>
      <c r="E51" s="772">
        <f>D51+E50</f>
        <v>11780.119999999999</v>
      </c>
      <c r="F51" s="1068">
        <f t="shared" ref="F51:S51" si="24">E51+F50</f>
        <v>15993.3128</v>
      </c>
      <c r="G51" s="785">
        <f t="shared" si="24"/>
        <v>18633.580288000001</v>
      </c>
      <c r="H51" s="772">
        <f t="shared" si="24"/>
        <v>21168.23707648</v>
      </c>
      <c r="I51" s="552">
        <f t="shared" si="24"/>
        <v>22445.704097873921</v>
      </c>
      <c r="J51" s="552">
        <f t="shared" si="24"/>
        <v>23696.344311818568</v>
      </c>
      <c r="K51" s="552">
        <f t="shared" si="24"/>
        <v>24395.988180076743</v>
      </c>
      <c r="L51" s="552">
        <f t="shared" si="24"/>
        <v>24511.19620371659</v>
      </c>
      <c r="M51" s="552">
        <f t="shared" si="24"/>
        <v>24626.173811309156</v>
      </c>
      <c r="N51" s="552">
        <f t="shared" si="24"/>
        <v>24740.921463686536</v>
      </c>
      <c r="O51" s="552">
        <f t="shared" si="24"/>
        <v>24855.439620759164</v>
      </c>
      <c r="P51" s="552">
        <f t="shared" si="24"/>
        <v>24969.728741517647</v>
      </c>
      <c r="Q51" s="552">
        <f t="shared" si="24"/>
        <v>25083.78928403461</v>
      </c>
      <c r="R51" s="552">
        <f t="shared" si="24"/>
        <v>25197.621705466539</v>
      </c>
      <c r="S51" s="552">
        <f t="shared" si="24"/>
        <v>25311.226462055605</v>
      </c>
      <c r="T51" s="552">
        <f>S51+T50</f>
        <v>25424.604009131494</v>
      </c>
      <c r="U51" s="552">
        <f>T51+U50</f>
        <v>25537.754801113231</v>
      </c>
      <c r="V51" s="552">
        <f t="shared" ref="V51:Y51" si="25">U51+V50</f>
        <v>25650.679291511005</v>
      </c>
      <c r="W51" s="552">
        <f t="shared" si="25"/>
        <v>25763.377932927982</v>
      </c>
      <c r="X51" s="552">
        <f t="shared" si="25"/>
        <v>25875.851177062126</v>
      </c>
      <c r="Y51" s="552">
        <f t="shared" si="25"/>
        <v>25988.099474708</v>
      </c>
      <c r="Z51" s="552">
        <f t="shared" ref="Z51" si="26">Y51+Z50</f>
        <v>26100.123275758586</v>
      </c>
      <c r="AA51" s="552">
        <f t="shared" ref="AA51:AC51" si="27">Z51+AA50</f>
        <v>26211.923029207068</v>
      </c>
      <c r="AB51" s="552">
        <f t="shared" si="27"/>
        <v>26283.499183148655</v>
      </c>
      <c r="AC51" s="863">
        <f t="shared" si="27"/>
        <v>26314.932184782359</v>
      </c>
    </row>
    <row r="52" spans="2:29" s="265" customFormat="1" ht="15" customHeight="1" x14ac:dyDescent="0.2">
      <c r="B52" s="552" t="s">
        <v>533</v>
      </c>
      <c r="C52" s="552"/>
      <c r="D52" s="786">
        <f>VLOOKUP(D58,'Input data'!$F$6:$H$51,3,FALSE)</f>
        <v>0.06</v>
      </c>
      <c r="E52" s="773">
        <f>VLOOKUP(E59,'Input data'!$F$6:$H$51,3,FALSE)</f>
        <v>8.8999999999999996E-2</v>
      </c>
      <c r="F52" s="1084">
        <f>VLOOKUP(F59,'Input data'!$F$6:$H$51,3,FALSE)</f>
        <v>0.06</v>
      </c>
      <c r="G52" s="786">
        <f>VLOOKUP(G59,'Input data'!$F$6:$H$51,3,FALSE)</f>
        <v>0.04</v>
      </c>
      <c r="H52" s="773">
        <f>VLOOKUP(H59,'Input data'!$F$6:$H$51,3,FALSE)</f>
        <v>0.04</v>
      </c>
      <c r="I52" s="556">
        <f>VLOOKUP(I59,'Input data'!$F$6:$H$51,3,FALSE)</f>
        <v>2.1000000000000001E-2</v>
      </c>
      <c r="J52" s="556">
        <f>VLOOKUP(J59,'Input data'!$F$6:$H$51,3,FALSE)</f>
        <v>2.1000000000000001E-2</v>
      </c>
      <c r="K52" s="556">
        <f>VLOOKUP(K59,'Input data'!$F$6:$H$51,3,FALSE)</f>
        <v>1.2E-2</v>
      </c>
      <c r="L52" s="556">
        <f>VLOOKUP(L59,'Input data'!$F$6:$H$51,3,FALSE)</f>
        <v>2E-3</v>
      </c>
      <c r="M52" s="556">
        <f>VLOOKUP(M59,'Input data'!$F$6:$H$51,3,FALSE)</f>
        <v>2E-3</v>
      </c>
      <c r="N52" s="556">
        <f>VLOOKUP(N59,'Input data'!$F$6:$H$51,3,FALSE)</f>
        <v>2E-3</v>
      </c>
      <c r="O52" s="556">
        <f>VLOOKUP(O59,'Input data'!$F$6:$H$51,3,FALSE)</f>
        <v>2E-3</v>
      </c>
      <c r="P52" s="556">
        <f>VLOOKUP(P59,'Input data'!$F$6:$H$51,3,FALSE)</f>
        <v>2E-3</v>
      </c>
      <c r="Q52" s="556">
        <f>VLOOKUP(Q59,'Input data'!$F$6:$H$51,3,FALSE)</f>
        <v>2E-3</v>
      </c>
      <c r="R52" s="556">
        <f>VLOOKUP(R59,'Input data'!$F$6:$H$51,3,FALSE)</f>
        <v>2E-3</v>
      </c>
      <c r="S52" s="556">
        <f>VLOOKUP(S59,'Input data'!$F$6:$H$51,3,FALSE)</f>
        <v>2E-3</v>
      </c>
      <c r="T52" s="556">
        <f>VLOOKUP(T59,'Input data'!$F$6:$H$51,3,FALSE)</f>
        <v>2E-3</v>
      </c>
      <c r="U52" s="556">
        <f>VLOOKUP(U59,'Input data'!$F$6:$H$51,3,FALSE)</f>
        <v>2E-3</v>
      </c>
      <c r="V52" s="556">
        <f>VLOOKUP(V59,'Input data'!$F$6:$H$51,3,FALSE)</f>
        <v>2E-3</v>
      </c>
      <c r="W52" s="556">
        <f>VLOOKUP(W59,'Input data'!$F$6:$H$51,3,FALSE)</f>
        <v>2E-3</v>
      </c>
      <c r="X52" s="556">
        <f>VLOOKUP(X59,'Input data'!$F$6:$H$51,3,FALSE)</f>
        <v>2E-3</v>
      </c>
      <c r="Y52" s="556">
        <f>VLOOKUP(Y59,'Input data'!$F$6:$H$51,3,FALSE)</f>
        <v>2E-3</v>
      </c>
      <c r="Z52" s="556">
        <f>VLOOKUP(Z59,'Input data'!$F$6:$H$51,3,FALSE)</f>
        <v>2E-3</v>
      </c>
      <c r="AA52" s="556">
        <f>VLOOKUP(AA59,'Input data'!$F$6:$H$51,3,FALSE)</f>
        <v>2E-3</v>
      </c>
      <c r="AB52" s="556">
        <f>VLOOKUP(AB59,'Input data'!$F$6:$H$51,3,FALSE)</f>
        <v>2E-3</v>
      </c>
      <c r="AC52" s="864">
        <f>VLOOKUP(AC59,'Input data'!$F$6:$H$51,3,FALSE)</f>
        <v>2E-3</v>
      </c>
    </row>
    <row r="53" spans="2:29" s="265" customFormat="1" ht="15" customHeight="1" x14ac:dyDescent="0.2">
      <c r="B53" s="552" t="s">
        <v>416</v>
      </c>
      <c r="C53" s="552"/>
      <c r="D53" s="787">
        <f t="shared" ref="D53:Y53" si="28">D51/$D49</f>
        <v>0.06</v>
      </c>
      <c r="E53" s="774">
        <f t="shared" si="28"/>
        <v>0.14365999999999998</v>
      </c>
      <c r="F53" s="1070">
        <f t="shared" si="28"/>
        <v>0.1950404</v>
      </c>
      <c r="G53" s="787">
        <f t="shared" si="28"/>
        <v>0.227238784</v>
      </c>
      <c r="H53" s="774">
        <f t="shared" si="28"/>
        <v>0.25814923264</v>
      </c>
      <c r="I53" s="651">
        <f t="shared" si="28"/>
        <v>0.27372809875456</v>
      </c>
      <c r="J53" s="651">
        <f t="shared" si="28"/>
        <v>0.28897980868071427</v>
      </c>
      <c r="K53" s="651">
        <f t="shared" si="28"/>
        <v>0.29751205097654565</v>
      </c>
      <c r="L53" s="651">
        <f t="shared" si="28"/>
        <v>0.29891702687459254</v>
      </c>
      <c r="M53" s="651">
        <f t="shared" si="28"/>
        <v>0.30031919282084335</v>
      </c>
      <c r="N53" s="651">
        <f t="shared" si="28"/>
        <v>0.30171855443520168</v>
      </c>
      <c r="O53" s="651">
        <f t="shared" si="28"/>
        <v>0.30311511732633128</v>
      </c>
      <c r="P53" s="651">
        <f t="shared" si="28"/>
        <v>0.30450888709167862</v>
      </c>
      <c r="Q53" s="651">
        <f t="shared" si="28"/>
        <v>0.30589986931749524</v>
      </c>
      <c r="R53" s="651">
        <f t="shared" si="28"/>
        <v>0.30728806957886023</v>
      </c>
      <c r="S53" s="651">
        <f t="shared" si="28"/>
        <v>0.30867349343970252</v>
      </c>
      <c r="T53" s="651">
        <f t="shared" si="28"/>
        <v>0.31005614645282309</v>
      </c>
      <c r="U53" s="651">
        <f t="shared" si="28"/>
        <v>0.31143603415991744</v>
      </c>
      <c r="V53" s="651">
        <f t="shared" si="28"/>
        <v>0.31281316209159765</v>
      </c>
      <c r="W53" s="651">
        <f t="shared" si="28"/>
        <v>0.31418753576741443</v>
      </c>
      <c r="X53" s="651">
        <f t="shared" si="28"/>
        <v>0.31555916069587958</v>
      </c>
      <c r="Y53" s="651">
        <f t="shared" si="28"/>
        <v>0.3169280423744878</v>
      </c>
      <c r="Z53" s="651">
        <f t="shared" ref="Z53:AA53" si="29">Z51/$D49</f>
        <v>0.31829418628973888</v>
      </c>
      <c r="AA53" s="651">
        <f t="shared" si="29"/>
        <v>0.31965759791715936</v>
      </c>
      <c r="AB53" s="651">
        <f t="shared" ref="AB53:AC53" si="30">AB51/$D49</f>
        <v>0.32053047784327626</v>
      </c>
      <c r="AC53" s="865">
        <f t="shared" si="30"/>
        <v>0.3209138071314922</v>
      </c>
    </row>
    <row r="54" spans="2:29" x14ac:dyDescent="0.2">
      <c r="B54" s="552" t="s">
        <v>417</v>
      </c>
      <c r="C54" s="552"/>
      <c r="D54" s="785">
        <f t="shared" ref="D54:Y54" si="31">IF(D57&gt;$Q$7,IF(D49&gt;$Q$6,$Q$6,D49-D50),0)</f>
        <v>0</v>
      </c>
      <c r="E54" s="772">
        <f t="shared" si="31"/>
        <v>0</v>
      </c>
      <c r="F54" s="1068">
        <f t="shared" si="31"/>
        <v>0</v>
      </c>
      <c r="G54" s="785">
        <f t="shared" si="31"/>
        <v>0</v>
      </c>
      <c r="H54" s="772">
        <f t="shared" si="31"/>
        <v>0</v>
      </c>
      <c r="I54" s="552">
        <f t="shared" si="31"/>
        <v>0</v>
      </c>
      <c r="J54" s="552">
        <f t="shared" si="31"/>
        <v>0</v>
      </c>
      <c r="K54" s="552">
        <f t="shared" si="31"/>
        <v>0</v>
      </c>
      <c r="L54" s="552">
        <f t="shared" si="31"/>
        <v>0</v>
      </c>
      <c r="M54" s="552">
        <f t="shared" si="31"/>
        <v>0</v>
      </c>
      <c r="N54" s="552">
        <f t="shared" si="31"/>
        <v>0</v>
      </c>
      <c r="O54" s="552">
        <f t="shared" si="31"/>
        <v>0</v>
      </c>
      <c r="P54" s="552">
        <f t="shared" si="31"/>
        <v>0</v>
      </c>
      <c r="Q54" s="552">
        <f t="shared" si="31"/>
        <v>0</v>
      </c>
      <c r="R54" s="552">
        <f t="shared" si="31"/>
        <v>0</v>
      </c>
      <c r="S54" s="552">
        <f t="shared" si="31"/>
        <v>0</v>
      </c>
      <c r="T54" s="552">
        <f t="shared" si="31"/>
        <v>0</v>
      </c>
      <c r="U54" s="552">
        <f t="shared" si="31"/>
        <v>0</v>
      </c>
      <c r="V54" s="552">
        <f t="shared" si="31"/>
        <v>0</v>
      </c>
      <c r="W54" s="552">
        <f t="shared" si="31"/>
        <v>0</v>
      </c>
      <c r="X54" s="552">
        <f t="shared" si="31"/>
        <v>0</v>
      </c>
      <c r="Y54" s="552">
        <f t="shared" si="31"/>
        <v>0</v>
      </c>
      <c r="Z54" s="552">
        <f t="shared" ref="Z54:AA54" si="32">IF(Z57&gt;$Q$7,IF(Z49&gt;$Q$6,$Q$6,Z49-Z50),0)</f>
        <v>0</v>
      </c>
      <c r="AA54" s="552">
        <f t="shared" si="32"/>
        <v>20000</v>
      </c>
      <c r="AB54" s="552">
        <f t="shared" ref="AB54:AC54" si="33">IF(AB57&gt;$Q$7,IF(AB49&gt;$Q$6,$Q$6,AB49-AB50),0)</f>
        <v>20000</v>
      </c>
      <c r="AC54" s="863">
        <f t="shared" si="33"/>
        <v>15685.067815217621</v>
      </c>
    </row>
    <row r="55" spans="2:29" ht="15" customHeight="1" x14ac:dyDescent="0.2">
      <c r="B55" s="552" t="s">
        <v>418</v>
      </c>
      <c r="C55" s="552"/>
      <c r="D55" s="785">
        <f>D49-D50-D54</f>
        <v>77080</v>
      </c>
      <c r="E55" s="772">
        <f t="shared" ref="E55:Y55" si="34">E49-E50-E54</f>
        <v>70219.88</v>
      </c>
      <c r="F55" s="1068">
        <f t="shared" si="34"/>
        <v>66006.6872</v>
      </c>
      <c r="G55" s="785">
        <f t="shared" si="34"/>
        <v>63366.419712000003</v>
      </c>
      <c r="H55" s="772">
        <f t="shared" si="34"/>
        <v>60831.76292352</v>
      </c>
      <c r="I55" s="552">
        <f t="shared" si="34"/>
        <v>59554.295902126083</v>
      </c>
      <c r="J55" s="552">
        <f t="shared" si="34"/>
        <v>58303.655688181432</v>
      </c>
      <c r="K55" s="552">
        <f t="shared" si="34"/>
        <v>57604.011819923253</v>
      </c>
      <c r="L55" s="552">
        <f t="shared" si="34"/>
        <v>57488.803796283406</v>
      </c>
      <c r="M55" s="552">
        <f t="shared" si="34"/>
        <v>57373.826188690837</v>
      </c>
      <c r="N55" s="552">
        <f t="shared" si="34"/>
        <v>57259.078536313456</v>
      </c>
      <c r="O55" s="552">
        <f t="shared" si="34"/>
        <v>57144.560379240829</v>
      </c>
      <c r="P55" s="552">
        <f t="shared" si="34"/>
        <v>57030.271258482346</v>
      </c>
      <c r="Q55" s="552">
        <f t="shared" si="34"/>
        <v>56916.210715965382</v>
      </c>
      <c r="R55" s="552">
        <f t="shared" si="34"/>
        <v>56802.378294533453</v>
      </c>
      <c r="S55" s="552">
        <f t="shared" si="34"/>
        <v>56688.773537944384</v>
      </c>
      <c r="T55" s="552">
        <f t="shared" si="34"/>
        <v>56575.395990868492</v>
      </c>
      <c r="U55" s="552">
        <f t="shared" si="34"/>
        <v>56462.245198886754</v>
      </c>
      <c r="V55" s="552">
        <f t="shared" si="34"/>
        <v>56349.32070848898</v>
      </c>
      <c r="W55" s="552">
        <f t="shared" si="34"/>
        <v>56236.622067071999</v>
      </c>
      <c r="X55" s="552">
        <f t="shared" si="34"/>
        <v>56124.148822937852</v>
      </c>
      <c r="Y55" s="656">
        <f t="shared" si="34"/>
        <v>56011.900525291974</v>
      </c>
      <c r="Z55" s="171">
        <f t="shared" ref="Z55:AA55" si="35">Z49-Z50-Z54</f>
        <v>55899.876724241389</v>
      </c>
      <c r="AA55" s="171">
        <f t="shared" si="35"/>
        <v>35788.076970792907</v>
      </c>
      <c r="AB55" s="171">
        <f t="shared" ref="AB55:AC55" si="36">AB49-AB50-AB54</f>
        <v>15716.500816851323</v>
      </c>
      <c r="AC55" s="1089">
        <f t="shared" si="36"/>
        <v>0</v>
      </c>
    </row>
    <row r="56" spans="2:29" ht="15" customHeight="1" x14ac:dyDescent="0.2">
      <c r="B56" s="550" t="s">
        <v>433</v>
      </c>
      <c r="C56" s="550"/>
      <c r="D56" s="788"/>
      <c r="E56" s="771"/>
      <c r="F56" s="1071"/>
      <c r="G56" s="788"/>
      <c r="H56" s="771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887"/>
      <c r="Z56" s="887"/>
      <c r="AA56" s="887"/>
      <c r="AB56" s="887"/>
      <c r="AC56" s="1087"/>
    </row>
    <row r="57" spans="2:29" ht="12.75" customHeight="1" x14ac:dyDescent="0.2">
      <c r="B57" s="552" t="s">
        <v>434</v>
      </c>
      <c r="C57" s="552"/>
      <c r="D57" s="785">
        <f>Q5</f>
        <v>2</v>
      </c>
      <c r="E57" s="772">
        <f>D61</f>
        <v>5.0105549604983279</v>
      </c>
      <c r="F57" s="1068">
        <f>E61</f>
        <v>12.00433650362322</v>
      </c>
      <c r="G57" s="785">
        <f t="shared" ref="G57:L57" si="37">F61</f>
        <v>27.696597177894684</v>
      </c>
      <c r="H57" s="772">
        <f t="shared" si="37"/>
        <v>48.927036184200283</v>
      </c>
      <c r="I57" s="552">
        <f t="shared" si="37"/>
        <v>84.859351642601453</v>
      </c>
      <c r="J57" s="552">
        <f t="shared" si="37"/>
        <v>136.83850964762811</v>
      </c>
      <c r="K57" s="552">
        <f t="shared" si="37"/>
        <v>201.80574464279528</v>
      </c>
      <c r="L57" s="552">
        <f t="shared" si="37"/>
        <v>267.5140463540427</v>
      </c>
      <c r="M57" s="552">
        <f>L61</f>
        <v>334.00299316988247</v>
      </c>
      <c r="N57" s="552">
        <f t="shared" ref="N57:U57" si="38">M61</f>
        <v>396.09910637725773</v>
      </c>
      <c r="O57" s="552">
        <f t="shared" si="38"/>
        <v>472.41732547714628</v>
      </c>
      <c r="P57" s="552">
        <f t="shared" si="38"/>
        <v>550.79866905869687</v>
      </c>
      <c r="Q57" s="552">
        <f t="shared" si="38"/>
        <v>629.83879774970785</v>
      </c>
      <c r="R57" s="552">
        <f t="shared" si="38"/>
        <v>717.39226277489354</v>
      </c>
      <c r="S57" s="552">
        <f t="shared" si="38"/>
        <v>813.70939294707239</v>
      </c>
      <c r="T57" s="552">
        <f t="shared" si="38"/>
        <v>926.84204073273042</v>
      </c>
      <c r="U57" s="552">
        <f t="shared" si="38"/>
        <v>1049.2582889300579</v>
      </c>
      <c r="V57" s="552">
        <f t="shared" ref="V57" si="39">U61</f>
        <v>1190.4200208359991</v>
      </c>
      <c r="W57" s="552">
        <f t="shared" ref="W57" si="40">V61</f>
        <v>1350.5729151324747</v>
      </c>
      <c r="X57" s="552">
        <f t="shared" ref="X57" si="41">W61</f>
        <v>1503.571040736296</v>
      </c>
      <c r="Y57" s="552">
        <f t="shared" ref="Y57" si="42">X61</f>
        <v>1680.754119552749</v>
      </c>
      <c r="Z57" s="552">
        <f t="shared" ref="Z57" si="43">Y61</f>
        <v>1872.0772414985552</v>
      </c>
      <c r="AA57" s="552">
        <f t="shared" ref="AA57:AC57" si="44">Z61</f>
        <v>2089.0526710733375</v>
      </c>
      <c r="AB57" s="552">
        <f t="shared" si="44"/>
        <v>2322.9438151896043</v>
      </c>
      <c r="AC57" s="863">
        <f t="shared" si="44"/>
        <v>2606.3253109854604</v>
      </c>
    </row>
    <row r="58" spans="2:29" ht="12.75" customHeight="1" x14ac:dyDescent="0.2">
      <c r="B58" s="552" t="s">
        <v>435</v>
      </c>
      <c r="C58" s="552"/>
      <c r="D58" s="785">
        <f>ROUNDUP(D57*1.1,0)</f>
        <v>3</v>
      </c>
      <c r="E58" s="772">
        <f t="shared" ref="E58:U58" si="45">ROUNDUP(E57*1.1,0)</f>
        <v>6</v>
      </c>
      <c r="F58" s="1068">
        <f t="shared" si="45"/>
        <v>14</v>
      </c>
      <c r="G58" s="785">
        <f t="shared" si="45"/>
        <v>31</v>
      </c>
      <c r="H58" s="772">
        <f t="shared" si="45"/>
        <v>54</v>
      </c>
      <c r="I58" s="552">
        <f t="shared" si="45"/>
        <v>94</v>
      </c>
      <c r="J58" s="552">
        <f t="shared" si="45"/>
        <v>151</v>
      </c>
      <c r="K58" s="552">
        <f t="shared" si="45"/>
        <v>222</v>
      </c>
      <c r="L58" s="552">
        <f t="shared" si="45"/>
        <v>295</v>
      </c>
      <c r="M58" s="552">
        <f t="shared" si="45"/>
        <v>368</v>
      </c>
      <c r="N58" s="552">
        <f t="shared" si="45"/>
        <v>436</v>
      </c>
      <c r="O58" s="552">
        <f t="shared" si="45"/>
        <v>520</v>
      </c>
      <c r="P58" s="552">
        <f t="shared" si="45"/>
        <v>606</v>
      </c>
      <c r="Q58" s="552">
        <f t="shared" si="45"/>
        <v>693</v>
      </c>
      <c r="R58" s="552">
        <f t="shared" si="45"/>
        <v>790</v>
      </c>
      <c r="S58" s="552">
        <f t="shared" si="45"/>
        <v>896</v>
      </c>
      <c r="T58" s="552">
        <f t="shared" si="45"/>
        <v>1020</v>
      </c>
      <c r="U58" s="552">
        <f t="shared" si="45"/>
        <v>1155</v>
      </c>
      <c r="V58" s="552">
        <f t="shared" ref="V58:Y58" si="46">ROUNDUP(V57*1.1,0)</f>
        <v>1310</v>
      </c>
      <c r="W58" s="552">
        <f t="shared" si="46"/>
        <v>1486</v>
      </c>
      <c r="X58" s="552">
        <f t="shared" si="46"/>
        <v>1654</v>
      </c>
      <c r="Y58" s="552">
        <f t="shared" si="46"/>
        <v>1849</v>
      </c>
      <c r="Z58" s="552">
        <f t="shared" ref="Z58:AA58" si="47">ROUNDUP(Z57*1.1,0)</f>
        <v>2060</v>
      </c>
      <c r="AA58" s="552">
        <f t="shared" si="47"/>
        <v>2298</v>
      </c>
      <c r="AB58" s="552">
        <f t="shared" ref="AB58:AC58" si="48">ROUNDUP(AB57*1.1,0)</f>
        <v>2556</v>
      </c>
      <c r="AC58" s="863">
        <f t="shared" si="48"/>
        <v>2867</v>
      </c>
    </row>
    <row r="59" spans="2:29" ht="12.75" customHeight="1" x14ac:dyDescent="0.2">
      <c r="B59" s="552" t="s">
        <v>436</v>
      </c>
      <c r="C59" s="552"/>
      <c r="D59" s="785">
        <v>1</v>
      </c>
      <c r="E59" s="772">
        <f>IF(E58&gt;0,(VLOOKUP(E58,'Input data'!$J$5:$K$3154,2,FALSE)),(0))</f>
        <v>2</v>
      </c>
      <c r="F59" s="1068">
        <f>IF(F58&gt;0,(VLOOKUP(F58,'Input data'!$J$5:$K$3154,2,FALSE)),(0))</f>
        <v>3</v>
      </c>
      <c r="G59" s="785">
        <f>IF(G58&gt;0,(VLOOKUP(G58,'Input data'!$J$5:$K$3154,2,FALSE)),(0))</f>
        <v>4</v>
      </c>
      <c r="H59" s="772">
        <f>IF(H58&gt;0,(VLOOKUP(H58,'Input data'!$J$5:$K$3154,2,FALSE)),(0))</f>
        <v>4</v>
      </c>
      <c r="I59" s="552">
        <f>IF(I58&gt;0,(VLOOKUP(I58,'Input data'!$J$5:$K$3154,2,FALSE)),(0))</f>
        <v>5</v>
      </c>
      <c r="J59" s="552">
        <f>IF(J58&gt;0,(VLOOKUP(J58,'Input data'!$J$5:$K$3154,2,FALSE)),(0))</f>
        <v>6</v>
      </c>
      <c r="K59" s="552">
        <f>IF(K58&gt;0,(VLOOKUP(K58,'Input data'!$J$5:$K$3154,2,FALSE)),(0))</f>
        <v>7</v>
      </c>
      <c r="L59" s="552">
        <f>IF(L58&gt;0,(VLOOKUP(L58,'Input data'!$J$5:$K$3154,2,FALSE)),(0))</f>
        <v>8</v>
      </c>
      <c r="M59" s="552">
        <f>IF(M58&gt;0,(VLOOKUP(M58,'Input data'!$J$5:$K$3154,2,FALSE)),(0))</f>
        <v>9</v>
      </c>
      <c r="N59" s="552">
        <f>IF(N58&gt;0,(VLOOKUP(N58,'Input data'!$J$5:$K$3154,2,FALSE)),(0))</f>
        <v>9</v>
      </c>
      <c r="O59" s="552">
        <f>IF(O58&gt;0,(VLOOKUP(O58,'Input data'!$J$5:$K$3154,2,FALSE)),(0))</f>
        <v>10</v>
      </c>
      <c r="P59" s="552">
        <f>IF(P58&gt;0,(VLOOKUP(P58,'Input data'!$J$5:$K$3154,2,FALSE)),(0))</f>
        <v>11</v>
      </c>
      <c r="Q59" s="552">
        <f>IF(Q58&gt;0,(VLOOKUP(Q58,'Input data'!$J$5:$K$3154,2,FALSE)),(0))</f>
        <v>12</v>
      </c>
      <c r="R59" s="552">
        <f>IF(R58&gt;0,(VLOOKUP(R58,'Input data'!$J$5:$K$3154,2,FALSE)),(0))</f>
        <v>13</v>
      </c>
      <c r="S59" s="552">
        <f>IF(S58&gt;0,(VLOOKUP(S58,'Input data'!$J$5:$K$3154,2,FALSE)),(0))</f>
        <v>13</v>
      </c>
      <c r="T59" s="552">
        <f>IF(T58&gt;0,(VLOOKUP(T58,'Input data'!$J$5:$K$3154,2,FALSE)),(0))</f>
        <v>14</v>
      </c>
      <c r="U59" s="552">
        <f>IF(U58&gt;0,(VLOOKUP(U58,'Input data'!$J$5:$K$3154,2,FALSE)),(0))</f>
        <v>15</v>
      </c>
      <c r="V59" s="552">
        <f>IF(V58&gt;0,(VLOOKUP(V58,'Input data'!$J$5:$K$3154,2,FALSE)),(0))</f>
        <v>15</v>
      </c>
      <c r="W59" s="552">
        <f>IF(W58&gt;0,(VLOOKUP(W58,'Input data'!$J$5:$K$3154,2,FALSE)),(0))</f>
        <v>16</v>
      </c>
      <c r="X59" s="552">
        <f>IF(X58&gt;0,(VLOOKUP(X58,'Input data'!$J$5:$K$3154,2,FALSE)),(0))</f>
        <v>17</v>
      </c>
      <c r="Y59" s="552">
        <f>IF(Y58&gt;0,(VLOOKUP(Y58,'Input data'!$J$5:$K$3154,2,FALSE)),(0))</f>
        <v>17</v>
      </c>
      <c r="Z59" s="552">
        <f>IF(Z58&gt;0,(VLOOKUP(Z58,'Input data'!$J$5:$K$3154,2,FALSE)),(0))</f>
        <v>18</v>
      </c>
      <c r="AA59" s="552">
        <f>IF(AA58&gt;0,(VLOOKUP(AA58,'Input data'!$J$5:$K$3154,2,FALSE)),(0))</f>
        <v>18</v>
      </c>
      <c r="AB59" s="552">
        <f>IF(AB58&gt;0,(VLOOKUP(AB58,'Input data'!$J$5:$K$3154,2,FALSE)),(0))</f>
        <v>19</v>
      </c>
      <c r="AC59" s="863">
        <f>IF(AC58&gt;0,(VLOOKUP(AC58,'Input data'!$J$5:$K$3154,2,FALSE)),(0))</f>
        <v>20</v>
      </c>
    </row>
    <row r="60" spans="2:29" ht="12.75" customHeight="1" x14ac:dyDescent="0.2">
      <c r="B60" s="552" t="s">
        <v>422</v>
      </c>
      <c r="C60" s="552"/>
      <c r="D60" s="960">
        <f>VLOOKUP(D59,'Input data'!$C$6:$D$26,2,FALSE)</f>
        <v>3.0068999999999999</v>
      </c>
      <c r="E60" s="961">
        <f>VLOOKUP(E59,'Input data'!$C$6:$D$26,2,FALSE)</f>
        <v>2.8585499999999997</v>
      </c>
      <c r="F60" s="1072">
        <f>VLOOKUP(F59,'Input data'!$C$6:$D$26,2,FALSE)</f>
        <v>2.8260000000000001</v>
      </c>
      <c r="G60" s="960">
        <f>VLOOKUP(G59,'Input data'!$C$6:$D$26,2,FALSE)</f>
        <v>1.8524999999999998</v>
      </c>
      <c r="H60" s="961">
        <f>VLOOKUP(H59,'Input data'!$C$6:$D$26,2,FALSE)</f>
        <v>1.8524999999999998</v>
      </c>
      <c r="I60" s="967">
        <f>VLOOKUP(I59,'Input data'!$C$6:$D$26,2,FALSE)</f>
        <v>1.55325</v>
      </c>
      <c r="J60" s="967">
        <f>VLOOKUP(J59,'Input data'!$C$6:$D$26,2,FALSE)</f>
        <v>1.2611249999999998</v>
      </c>
      <c r="K60" s="967">
        <f>VLOOKUP(K59,'Input data'!$C$6:$D$26,2,FALSE)</f>
        <v>1.0117499999999999</v>
      </c>
      <c r="L60" s="967">
        <f>VLOOKUP(L59,'Input data'!$C$6:$D$26,2,FALSE)</f>
        <v>0.71862749999999997</v>
      </c>
      <c r="M60" s="967">
        <f>VLOOKUP(M59,'Input data'!$C$6:$D$26,2,FALSE)</f>
        <v>0.56999999999999995</v>
      </c>
      <c r="N60" s="967">
        <f>VLOOKUP(N59,'Input data'!$C$6:$D$26,2,FALSE)</f>
        <v>0.56999999999999995</v>
      </c>
      <c r="O60" s="967">
        <f>VLOOKUP(O59,'Input data'!$C$6:$D$26,2,FALSE)</f>
        <v>0.51300000000000001</v>
      </c>
      <c r="P60" s="967">
        <f>VLOOKUP(P59,'Input data'!$C$6:$D$26,2,FALSE)</f>
        <v>0.4335</v>
      </c>
      <c r="Q60" s="967">
        <f>VLOOKUP(Q59,'Input data'!$C$6:$D$26,2,FALSE)</f>
        <v>0.42075000000000001</v>
      </c>
      <c r="R60" s="967">
        <f>VLOOKUP(R59,'Input data'!$C$6:$D$26,2,FALSE)</f>
        <v>0.42081800000000003</v>
      </c>
      <c r="S60" s="967">
        <f>VLOOKUP(S59,'Input data'!$C$6:$D$26,2,FALSE)</f>
        <v>0.42081800000000003</v>
      </c>
      <c r="T60" s="967">
        <f>VLOOKUP(T59,'Input data'!$C$6:$D$26,2,FALSE)</f>
        <v>0.41437499999999999</v>
      </c>
      <c r="U60" s="967">
        <f>VLOOKUP(U59,'Input data'!$C$6:$D$26,2,FALSE)</f>
        <v>0.40799999999999997</v>
      </c>
      <c r="V60" s="967">
        <f>VLOOKUP(V59,'Input data'!$C$6:$D$26,2,FALSE)</f>
        <v>0.40799999999999997</v>
      </c>
      <c r="W60" s="967">
        <f>VLOOKUP(W59,'Input data'!$C$6:$D$26,2,FALSE)</f>
        <v>0.38400000000000001</v>
      </c>
      <c r="X60" s="967">
        <f>VLOOKUP(X59,'Input data'!$C$6:$D$26,2,FALSE)</f>
        <v>0.36</v>
      </c>
      <c r="Y60" s="967">
        <f>VLOOKUP(Y59,'Input data'!$C$6:$D$26,2,FALSE)</f>
        <v>0.36</v>
      </c>
      <c r="Z60" s="967">
        <f>VLOOKUP(Z59,'Input data'!$C$6:$D$26,2,FALSE)</f>
        <v>0.354375</v>
      </c>
      <c r="AA60" s="967">
        <f>VLOOKUP(AA59,'Input data'!$C$6:$D$26,2,FALSE)</f>
        <v>0.354375</v>
      </c>
      <c r="AB60" s="967">
        <f>VLOOKUP(AB59,'Input data'!$C$6:$D$26,2,FALSE)</f>
        <v>0.37200000000000005</v>
      </c>
      <c r="AC60" s="962">
        <f>VLOOKUP(AC59,'Input data'!$C$6:$D$26,2,FALSE)</f>
        <v>0.37200000000000005</v>
      </c>
    </row>
    <row r="61" spans="2:29" ht="15" customHeight="1" x14ac:dyDescent="0.2">
      <c r="B61" s="552" t="s">
        <v>437</v>
      </c>
      <c r="C61" s="552"/>
      <c r="D61" s="785">
        <f t="shared" ref="D61:Y61" si="49">IF(D49&gt;0,D57*(1+(D60/100))^D18,D57)</f>
        <v>5.0105549604983279</v>
      </c>
      <c r="E61" s="772">
        <f t="shared" si="49"/>
        <v>12.00433650362322</v>
      </c>
      <c r="F61" s="1068">
        <f t="shared" si="49"/>
        <v>27.696597177894684</v>
      </c>
      <c r="G61" s="785">
        <f t="shared" si="49"/>
        <v>48.927036184200283</v>
      </c>
      <c r="H61" s="772">
        <f t="shared" si="49"/>
        <v>84.859351642601453</v>
      </c>
      <c r="I61" s="552">
        <f t="shared" si="49"/>
        <v>136.83850964762811</v>
      </c>
      <c r="J61" s="552">
        <f t="shared" si="49"/>
        <v>201.80574464279528</v>
      </c>
      <c r="K61" s="552">
        <f t="shared" si="49"/>
        <v>267.5140463540427</v>
      </c>
      <c r="L61" s="552">
        <f t="shared" si="49"/>
        <v>334.00299316988247</v>
      </c>
      <c r="M61" s="552">
        <f t="shared" si="49"/>
        <v>396.09910637725773</v>
      </c>
      <c r="N61" s="552">
        <f t="shared" si="49"/>
        <v>472.41732547714628</v>
      </c>
      <c r="O61" s="552">
        <f t="shared" si="49"/>
        <v>550.79866905869687</v>
      </c>
      <c r="P61" s="552">
        <f t="shared" si="49"/>
        <v>629.83879774970785</v>
      </c>
      <c r="Q61" s="552">
        <f t="shared" si="49"/>
        <v>717.39226277489354</v>
      </c>
      <c r="R61" s="552">
        <f t="shared" si="49"/>
        <v>813.70939294707239</v>
      </c>
      <c r="S61" s="552">
        <f t="shared" si="49"/>
        <v>926.84204073273042</v>
      </c>
      <c r="T61" s="552">
        <f t="shared" si="49"/>
        <v>1049.2582889300579</v>
      </c>
      <c r="U61" s="552">
        <f t="shared" si="49"/>
        <v>1190.4200208359991</v>
      </c>
      <c r="V61" s="552">
        <f t="shared" si="49"/>
        <v>1350.5729151324747</v>
      </c>
      <c r="W61" s="552">
        <f t="shared" si="49"/>
        <v>1503.571040736296</v>
      </c>
      <c r="X61" s="552">
        <f t="shared" si="49"/>
        <v>1680.754119552749</v>
      </c>
      <c r="Y61" s="552">
        <f t="shared" si="49"/>
        <v>1872.0772414985552</v>
      </c>
      <c r="Z61" s="552">
        <f t="shared" ref="Z61:AA61" si="50">IF(Z49&gt;0,Z57*(1+(Z60/100))^Z18,Z57)</f>
        <v>2089.0526710733375</v>
      </c>
      <c r="AA61" s="552">
        <f t="shared" si="50"/>
        <v>2322.9438151896043</v>
      </c>
      <c r="AB61" s="552">
        <f t="shared" ref="AB61:AC61" si="51">IF(AB49&gt;0,AB57*(1+(AB60/100))^AB18,AB57)</f>
        <v>2606.3253109854604</v>
      </c>
      <c r="AC61" s="863">
        <f t="shared" si="51"/>
        <v>2924.277196144325</v>
      </c>
    </row>
    <row r="62" spans="2:29" ht="12.75" customHeight="1" x14ac:dyDescent="0.2">
      <c r="B62" s="552" t="s">
        <v>438</v>
      </c>
      <c r="C62" s="552"/>
      <c r="D62" s="785">
        <f t="shared" ref="D62:Y62" si="52">(D49*D57)/1000</f>
        <v>164</v>
      </c>
      <c r="E62" s="772">
        <f t="shared" si="52"/>
        <v>386.21357635521116</v>
      </c>
      <c r="F62" s="1068">
        <f t="shared" si="52"/>
        <v>842.9430687640421</v>
      </c>
      <c r="G62" s="785">
        <f t="shared" si="52"/>
        <v>1828.1606264256973</v>
      </c>
      <c r="H62" s="772">
        <f t="shared" si="52"/>
        <v>3100.3311101122463</v>
      </c>
      <c r="I62" s="552">
        <f t="shared" si="52"/>
        <v>5162.1439609663485</v>
      </c>
      <c r="J62" s="552">
        <f t="shared" si="52"/>
        <v>8149.3210943607801</v>
      </c>
      <c r="K62" s="552">
        <f t="shared" si="52"/>
        <v>11766.0126515506</v>
      </c>
      <c r="L62" s="552">
        <f t="shared" si="52"/>
        <v>15409.882288173772</v>
      </c>
      <c r="M62" s="552">
        <f t="shared" si="52"/>
        <v>19201.432541714763</v>
      </c>
      <c r="N62" s="552">
        <f t="shared" si="52"/>
        <v>22725.721282784547</v>
      </c>
      <c r="O62" s="552">
        <f t="shared" si="52"/>
        <v>27050.180741411074</v>
      </c>
      <c r="P62" s="552">
        <f t="shared" si="52"/>
        <v>31475.147800830189</v>
      </c>
      <c r="Q62" s="552">
        <f t="shared" si="52"/>
        <v>35919.877484782242</v>
      </c>
      <c r="R62" s="552">
        <f t="shared" si="52"/>
        <v>40831.249194099044</v>
      </c>
      <c r="S62" s="552">
        <f t="shared" si="52"/>
        <v>46220.628759994775</v>
      </c>
      <c r="T62" s="552">
        <f t="shared" si="52"/>
        <v>52541.538552543985</v>
      </c>
      <c r="U62" s="552">
        <f t="shared" si="52"/>
        <v>59362.203192919136</v>
      </c>
      <c r="V62" s="552">
        <f t="shared" si="52"/>
        <v>67213.787106106058</v>
      </c>
      <c r="W62" s="552">
        <f t="shared" si="52"/>
        <v>76103.866334998689</v>
      </c>
      <c r="X62" s="552">
        <f t="shared" si="52"/>
        <v>84555.756368881193</v>
      </c>
      <c r="Y62" s="552">
        <f t="shared" si="52"/>
        <v>94330.894340544357</v>
      </c>
      <c r="Z62" s="552">
        <f t="shared" ref="Z62:AA62" si="53">(Z49*Z57)/1000</f>
        <v>104858.60422648006</v>
      </c>
      <c r="AA62" s="552">
        <f t="shared" si="53"/>
        <v>116777.78678344676</v>
      </c>
      <c r="AB62" s="552">
        <f t="shared" ref="AB62:AC62" si="54">(AB49*AB57)/1000</f>
        <v>83133.692056832893</v>
      </c>
      <c r="AC62" s="863">
        <f t="shared" si="54"/>
        <v>40962.313879083267</v>
      </c>
    </row>
    <row r="63" spans="2:29" ht="15" customHeight="1" x14ac:dyDescent="0.2">
      <c r="B63" s="552" t="s">
        <v>439</v>
      </c>
      <c r="C63" s="552"/>
      <c r="D63" s="785">
        <f t="shared" ref="D63:S63" si="55">(D50*D58)/1000</f>
        <v>14.76</v>
      </c>
      <c r="E63" s="772">
        <f t="shared" si="55"/>
        <v>41.160719999999998</v>
      </c>
      <c r="F63" s="1068">
        <f t="shared" si="55"/>
        <v>58.984699199999994</v>
      </c>
      <c r="G63" s="785">
        <f t="shared" si="55"/>
        <v>81.848292127999997</v>
      </c>
      <c r="H63" s="772">
        <f t="shared" si="55"/>
        <v>136.87146657792002</v>
      </c>
      <c r="I63" s="552">
        <f t="shared" si="55"/>
        <v>120.08190001102848</v>
      </c>
      <c r="J63" s="552">
        <f t="shared" si="55"/>
        <v>188.84667230564182</v>
      </c>
      <c r="K63" s="552">
        <f t="shared" si="55"/>
        <v>155.32093875331535</v>
      </c>
      <c r="L63" s="552">
        <f t="shared" si="55"/>
        <v>33.98636697375472</v>
      </c>
      <c r="M63" s="552">
        <f t="shared" si="55"/>
        <v>42.311759594064583</v>
      </c>
      <c r="N63" s="552">
        <f t="shared" si="55"/>
        <v>50.029976436538412</v>
      </c>
      <c r="O63" s="552">
        <f t="shared" si="55"/>
        <v>59.549441677765998</v>
      </c>
      <c r="P63" s="552">
        <f t="shared" si="55"/>
        <v>69.259207179639887</v>
      </c>
      <c r="Q63" s="552">
        <f t="shared" si="55"/>
        <v>79.043955964256526</v>
      </c>
      <c r="R63" s="552">
        <f t="shared" si="55"/>
        <v>89.927612931225298</v>
      </c>
      <c r="S63" s="552">
        <f t="shared" si="55"/>
        <v>101.78986190380395</v>
      </c>
      <c r="T63" s="552">
        <f>(T50*T58)/1000</f>
        <v>115.64509801740655</v>
      </c>
      <c r="U63" s="552">
        <f t="shared" ref="U63" si="56">(U50*U58)/1000</f>
        <v>130.68916473890621</v>
      </c>
      <c r="V63" s="552">
        <f t="shared" ref="V63:Y63" si="57">(V50*V58)/1000</f>
        <v>147.93108242108329</v>
      </c>
      <c r="W63" s="552">
        <f t="shared" si="57"/>
        <v>167.47018114562925</v>
      </c>
      <c r="X63" s="552">
        <f t="shared" si="57"/>
        <v>186.03074579787418</v>
      </c>
      <c r="Y63" s="552">
        <f t="shared" si="57"/>
        <v>207.54710234722418</v>
      </c>
      <c r="Z63" s="552">
        <f t="shared" ref="Z63:AA63" si="58">(Z50*Z58)/1000</f>
        <v>230.76903016420295</v>
      </c>
      <c r="AA63" s="552">
        <f t="shared" si="58"/>
        <v>256.91583342461342</v>
      </c>
      <c r="AB63" s="552">
        <f t="shared" ref="AB63:AC63" si="59">(AB50*AB58)/1000</f>
        <v>182.94864947469335</v>
      </c>
      <c r="AC63" s="863">
        <f t="shared" si="59"/>
        <v>90.118415683825503</v>
      </c>
    </row>
    <row r="64" spans="2:29" ht="15" customHeight="1" x14ac:dyDescent="0.2">
      <c r="B64" s="552" t="s">
        <v>440</v>
      </c>
      <c r="C64" s="552"/>
      <c r="D64" s="785">
        <f t="shared" ref="D64:S64" si="60">(D54*D57)/1000</f>
        <v>0</v>
      </c>
      <c r="E64" s="772">
        <f t="shared" si="60"/>
        <v>0</v>
      </c>
      <c r="F64" s="1068">
        <f t="shared" si="60"/>
        <v>0</v>
      </c>
      <c r="G64" s="785">
        <f t="shared" si="60"/>
        <v>0</v>
      </c>
      <c r="H64" s="772">
        <f t="shared" si="60"/>
        <v>0</v>
      </c>
      <c r="I64" s="552">
        <f t="shared" si="60"/>
        <v>0</v>
      </c>
      <c r="J64" s="552">
        <f t="shared" si="60"/>
        <v>0</v>
      </c>
      <c r="K64" s="552">
        <f t="shared" si="60"/>
        <v>0</v>
      </c>
      <c r="L64" s="552">
        <f t="shared" si="60"/>
        <v>0</v>
      </c>
      <c r="M64" s="552">
        <f t="shared" si="60"/>
        <v>0</v>
      </c>
      <c r="N64" s="552">
        <f t="shared" si="60"/>
        <v>0</v>
      </c>
      <c r="O64" s="552">
        <f t="shared" si="60"/>
        <v>0</v>
      </c>
      <c r="P64" s="552">
        <f t="shared" si="60"/>
        <v>0</v>
      </c>
      <c r="Q64" s="552">
        <f t="shared" si="60"/>
        <v>0</v>
      </c>
      <c r="R64" s="552">
        <f t="shared" si="60"/>
        <v>0</v>
      </c>
      <c r="S64" s="552">
        <f t="shared" si="60"/>
        <v>0</v>
      </c>
      <c r="T64" s="552">
        <f>(T54*T57)/1000</f>
        <v>0</v>
      </c>
      <c r="U64" s="552">
        <f>(U54*U57)/1000</f>
        <v>0</v>
      </c>
      <c r="V64" s="552">
        <f t="shared" ref="V64:X64" si="61">(V54*V57)/1000</f>
        <v>0</v>
      </c>
      <c r="W64" s="552">
        <f t="shared" si="61"/>
        <v>0</v>
      </c>
      <c r="X64" s="552">
        <f t="shared" si="61"/>
        <v>0</v>
      </c>
      <c r="Y64" s="552">
        <f>(Y54*Y57)/1000</f>
        <v>0</v>
      </c>
      <c r="Z64" s="552">
        <f t="shared" ref="Z64:AA64" si="62">(Z54*Z57)/1000</f>
        <v>0</v>
      </c>
      <c r="AA64" s="552">
        <f t="shared" si="62"/>
        <v>41781.05342146675</v>
      </c>
      <c r="AB64" s="552">
        <f t="shared" ref="AB64:AC64" si="63">(AB54*AB57)/1000</f>
        <v>46458.87630379208</v>
      </c>
      <c r="AC64" s="863">
        <f t="shared" si="63"/>
        <v>40880.389251325098</v>
      </c>
    </row>
    <row r="65" spans="2:29" ht="15" customHeight="1" x14ac:dyDescent="0.2">
      <c r="B65" s="552" t="s">
        <v>441</v>
      </c>
      <c r="C65" s="552"/>
      <c r="D65" s="785">
        <f t="shared" ref="D65:S65" si="64">(D55*D61)/1000</f>
        <v>386.21357635521116</v>
      </c>
      <c r="E65" s="772">
        <f t="shared" si="64"/>
        <v>842.9430687640421</v>
      </c>
      <c r="F65" s="1068">
        <f t="shared" si="64"/>
        <v>1828.1606264256973</v>
      </c>
      <c r="G65" s="785">
        <f t="shared" si="64"/>
        <v>3100.3311101122463</v>
      </c>
      <c r="H65" s="772">
        <f t="shared" si="64"/>
        <v>5162.1439609663485</v>
      </c>
      <c r="I65" s="552">
        <f t="shared" si="64"/>
        <v>8149.3210943607801</v>
      </c>
      <c r="J65" s="552">
        <f t="shared" si="64"/>
        <v>11766.0126515506</v>
      </c>
      <c r="K65" s="552">
        <f t="shared" si="64"/>
        <v>15409.882288173772</v>
      </c>
      <c r="L65" s="552">
        <f t="shared" si="64"/>
        <v>19201.432541714763</v>
      </c>
      <c r="M65" s="552">
        <f t="shared" si="64"/>
        <v>22725.721282784547</v>
      </c>
      <c r="N65" s="552">
        <f t="shared" si="64"/>
        <v>27050.180741411074</v>
      </c>
      <c r="O65" s="552">
        <f t="shared" si="64"/>
        <v>31475.147800830189</v>
      </c>
      <c r="P65" s="552">
        <f t="shared" si="64"/>
        <v>35919.877484782242</v>
      </c>
      <c r="Q65" s="552">
        <f t="shared" si="64"/>
        <v>40831.249194099044</v>
      </c>
      <c r="R65" s="552">
        <f t="shared" si="64"/>
        <v>46220.628759994775</v>
      </c>
      <c r="S65" s="552">
        <f t="shared" si="64"/>
        <v>52541.538552543985</v>
      </c>
      <c r="T65" s="552">
        <f>(T55*T61)/1000</f>
        <v>59362.203192919136</v>
      </c>
      <c r="U65" s="552">
        <f>(U55*U61)/1000</f>
        <v>67213.787106106058</v>
      </c>
      <c r="V65" s="552">
        <f t="shared" ref="V65:Y65" si="65">(V55*V61)/1000</f>
        <v>76103.866334998689</v>
      </c>
      <c r="W65" s="552">
        <f t="shared" si="65"/>
        <v>84555.756368881193</v>
      </c>
      <c r="X65" s="552">
        <f t="shared" si="65"/>
        <v>94330.894340544357</v>
      </c>
      <c r="Y65" s="968">
        <f t="shared" si="65"/>
        <v>104858.60422648006</v>
      </c>
      <c r="Z65" s="968">
        <f t="shared" ref="Z65:AA65" si="66">(Z55*Z61)/1000</f>
        <v>116777.78678344676</v>
      </c>
      <c r="AA65" s="968">
        <f t="shared" si="66"/>
        <v>83133.692056832893</v>
      </c>
      <c r="AB65" s="968">
        <f t="shared" ref="AB65:AC65" si="67">(AB55*AB61)/1000</f>
        <v>40962.313879083267</v>
      </c>
      <c r="AC65" s="1153">
        <f t="shared" si="67"/>
        <v>0</v>
      </c>
    </row>
    <row r="66" spans="2:29" ht="15" customHeight="1" x14ac:dyDescent="0.2">
      <c r="B66" s="550" t="s">
        <v>467</v>
      </c>
      <c r="C66" s="550"/>
      <c r="D66" s="788"/>
      <c r="E66" s="771"/>
      <c r="F66" s="1071"/>
      <c r="G66" s="788"/>
      <c r="H66" s="771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887"/>
      <c r="Z66" s="887"/>
      <c r="AA66" s="887"/>
      <c r="AB66" s="887"/>
      <c r="AC66" s="1087"/>
    </row>
    <row r="67" spans="2:29" s="350" customFormat="1" ht="15" customHeight="1" x14ac:dyDescent="0.2">
      <c r="B67" s="552" t="s">
        <v>442</v>
      </c>
      <c r="C67" s="552"/>
      <c r="D67" s="789">
        <f>VLOOKUP(D59,'Input data'!$F$6:$G$51,2,FALSE)</f>
        <v>1.3</v>
      </c>
      <c r="E67" s="775">
        <f>VLOOKUP(E59,'Input data'!$F$6:$G$51,2,FALSE)</f>
        <v>1.3</v>
      </c>
      <c r="F67" s="1073">
        <f>VLOOKUP(F59,'Input data'!$F$6:$G$51,2,FALSE)</f>
        <v>1.3</v>
      </c>
      <c r="G67" s="789">
        <f>VLOOKUP(G59,'Input data'!$F$6:$G$51,2,FALSE)</f>
        <v>1.3120000000000001</v>
      </c>
      <c r="H67" s="775">
        <f>VLOOKUP(H59,'Input data'!$F$6:$G$51,2,FALSE)</f>
        <v>1.3120000000000001</v>
      </c>
      <c r="I67" s="557">
        <f>VLOOKUP(I59,'Input data'!$F$6:$G$51,2,FALSE)</f>
        <v>1.3120000000000001</v>
      </c>
      <c r="J67" s="557">
        <f>VLOOKUP(J59,'Input data'!$F$6:$G$51,2,FALSE)</f>
        <v>1.3120000000000001</v>
      </c>
      <c r="K67" s="557">
        <f>VLOOKUP(K59,'Input data'!$F$6:$G$51,2,FALSE)</f>
        <v>1.3120000000000001</v>
      </c>
      <c r="L67" s="557">
        <f>VLOOKUP(L59,'Input data'!$F$6:$G$51,2,FALSE)</f>
        <v>1.3120000000000001</v>
      </c>
      <c r="M67" s="557">
        <f>VLOOKUP(M59,'Input data'!$F$6:$G$51,2,FALSE)</f>
        <v>1.3120000000000001</v>
      </c>
      <c r="N67" s="557">
        <f>VLOOKUP(N59,'Input data'!$F$6:$G$51,2,FALSE)</f>
        <v>1.3120000000000001</v>
      </c>
      <c r="O67" s="557">
        <f>VLOOKUP(O59,'Input data'!$F$6:$G$51,2,FALSE)</f>
        <v>1.3120000000000001</v>
      </c>
      <c r="P67" s="557">
        <f>VLOOKUP(P59,'Input data'!$F$6:$G$51,2,FALSE)</f>
        <v>1.3120000000000001</v>
      </c>
      <c r="Q67" s="557">
        <f>VLOOKUP(Q59,'Input data'!$F$6:$G$51,2,FALSE)</f>
        <v>1.36</v>
      </c>
      <c r="R67" s="557">
        <f>VLOOKUP(R59,'Input data'!$F$6:$G$51,2,FALSE)</f>
        <v>1.36</v>
      </c>
      <c r="S67" s="557">
        <f>VLOOKUP(S59,'Input data'!$F$6:$G$51,2,FALSE)</f>
        <v>1.36</v>
      </c>
      <c r="T67" s="557">
        <f>VLOOKUP(T59,'Input data'!$F$6:$G$51,2,FALSE)</f>
        <v>1.36</v>
      </c>
      <c r="U67" s="557">
        <f>VLOOKUP(U59,'Input data'!$F$6:$G$51,2,FALSE)</f>
        <v>1.36</v>
      </c>
      <c r="V67" s="557">
        <f>VLOOKUP(V59,'Input data'!$F$6:$G$51,2,FALSE)</f>
        <v>1.36</v>
      </c>
      <c r="W67" s="557">
        <f>VLOOKUP(W59,'Input data'!$F$6:$G$51,2,FALSE)</f>
        <v>1.4400000000000002</v>
      </c>
      <c r="X67" s="557">
        <f>VLOOKUP(X59,'Input data'!$F$6:$G$51,2,FALSE)</f>
        <v>1.4400000000000002</v>
      </c>
      <c r="Y67" s="557">
        <f>VLOOKUP(Y59,'Input data'!$F$6:$G$51,2,FALSE)</f>
        <v>1.4400000000000002</v>
      </c>
      <c r="Z67" s="557">
        <f>VLOOKUP(Z59,'Input data'!$F$6:$G$51,2,FALSE)</f>
        <v>1.6</v>
      </c>
      <c r="AA67" s="557">
        <f>VLOOKUP(AA59,'Input data'!$F$6:$G$51,2,FALSE)</f>
        <v>1.6</v>
      </c>
      <c r="AB67" s="557">
        <f>VLOOKUP(AB59,'Input data'!$F$6:$G$51,2,FALSE)</f>
        <v>1.6</v>
      </c>
      <c r="AC67" s="867">
        <f>VLOOKUP(AC59,'Input data'!$F$6:$G$51,2,FALSE)</f>
        <v>1.6</v>
      </c>
    </row>
    <row r="68" spans="2:29" s="350" customFormat="1" ht="15" customHeight="1" x14ac:dyDescent="0.2">
      <c r="B68" s="552" t="s">
        <v>443</v>
      </c>
      <c r="C68" s="552"/>
      <c r="D68" s="785">
        <f t="shared" ref="D68:O68" si="68">IF(D54=0,(((D65+D64)-D62)*D67),(0))</f>
        <v>288.87764926177454</v>
      </c>
      <c r="E68" s="772">
        <f t="shared" si="68"/>
        <v>593.74834013148029</v>
      </c>
      <c r="F68" s="1068">
        <f t="shared" si="68"/>
        <v>1280.7828249601519</v>
      </c>
      <c r="G68" s="785">
        <f t="shared" si="68"/>
        <v>1669.0876745967523</v>
      </c>
      <c r="H68" s="772">
        <f t="shared" si="68"/>
        <v>2705.098460320582</v>
      </c>
      <c r="I68" s="552">
        <f t="shared" si="68"/>
        <v>3919.1763990134946</v>
      </c>
      <c r="J68" s="552">
        <f t="shared" si="68"/>
        <v>4745.0993230330441</v>
      </c>
      <c r="K68" s="552">
        <f t="shared" si="68"/>
        <v>4780.7569632496024</v>
      </c>
      <c r="L68" s="552">
        <f t="shared" si="68"/>
        <v>4974.5139326457802</v>
      </c>
      <c r="M68" s="552">
        <f t="shared" si="68"/>
        <v>4623.866828283557</v>
      </c>
      <c r="N68" s="552">
        <f t="shared" si="68"/>
        <v>5673.690809718003</v>
      </c>
      <c r="O68" s="552">
        <f t="shared" si="68"/>
        <v>5805.55678195788</v>
      </c>
      <c r="P68" s="552">
        <f>IF(P54&gt;=0,(((P65+P64)-P62)*P67),(0))</f>
        <v>5831.4853453450942</v>
      </c>
      <c r="Q68" s="552">
        <f t="shared" ref="Q68:R68" si="69">IF(Q54&gt;=0,(((Q65+Q64)-Q62)*Q67),(0))</f>
        <v>6679.4655246708508</v>
      </c>
      <c r="R68" s="552">
        <f t="shared" si="69"/>
        <v>7329.5562096181957</v>
      </c>
      <c r="S68" s="552">
        <f>IF(S54&gt;=0,(((S65+S64)-S62)*S67),(0))</f>
        <v>8596.4373178669266</v>
      </c>
      <c r="T68" s="552">
        <f>IF(T54&gt;=0,(((T65+T64)-T62)*T67),(0))</f>
        <v>9276.1039109102057</v>
      </c>
      <c r="U68" s="552">
        <f t="shared" ref="U68:V68" si="70">IF(U54=0,(((U65+U64)-U62)*U67),(0))</f>
        <v>10678.154121934214</v>
      </c>
      <c r="V68" s="552">
        <f t="shared" si="70"/>
        <v>12090.507751293979</v>
      </c>
      <c r="W68" s="552">
        <f t="shared" ref="W68:AB68" si="71">IF(W54&gt;=0,(((W65+W64)-W62)*W67),(0))</f>
        <v>12170.721648790808</v>
      </c>
      <c r="X68" s="552">
        <f t="shared" si="71"/>
        <v>14076.198679194957</v>
      </c>
      <c r="Y68" s="552">
        <f t="shared" si="71"/>
        <v>15159.902235747419</v>
      </c>
      <c r="Z68" s="552">
        <f t="shared" si="71"/>
        <v>19070.692091146717</v>
      </c>
      <c r="AA68" s="552">
        <f t="shared" si="71"/>
        <v>13019.133911764622</v>
      </c>
      <c r="AB68" s="552">
        <f t="shared" si="71"/>
        <v>6859.9970016679263</v>
      </c>
      <c r="AC68" s="863">
        <f t="shared" ref="AC68" si="72">IF(AC54=0,(((AC65+AC64)-AC62)*AC67),(0))</f>
        <v>0</v>
      </c>
    </row>
    <row r="69" spans="2:29" s="350" customFormat="1" ht="15" customHeight="1" x14ac:dyDescent="0.2">
      <c r="B69" s="552" t="s">
        <v>734</v>
      </c>
      <c r="C69" s="552"/>
      <c r="D69" s="785">
        <f>D68+D62</f>
        <v>452.87764926177454</v>
      </c>
      <c r="E69" s="772">
        <f>D69+E68</f>
        <v>1046.6259893932547</v>
      </c>
      <c r="F69" s="1068">
        <f>E69+F68</f>
        <v>2327.4088143534063</v>
      </c>
      <c r="G69" s="785">
        <f t="shared" ref="G69:U69" si="73">F69+G68</f>
        <v>3996.4964889501589</v>
      </c>
      <c r="H69" s="772">
        <f t="shared" si="73"/>
        <v>6701.5949492707405</v>
      </c>
      <c r="I69" s="552">
        <f t="shared" si="73"/>
        <v>10620.771348284236</v>
      </c>
      <c r="J69" s="552">
        <f t="shared" si="73"/>
        <v>15365.87067131728</v>
      </c>
      <c r="K69" s="552">
        <f t="shared" si="73"/>
        <v>20146.627634566881</v>
      </c>
      <c r="L69" s="552">
        <f t="shared" si="73"/>
        <v>25121.14156721266</v>
      </c>
      <c r="M69" s="552">
        <f t="shared" si="73"/>
        <v>29745.008395496217</v>
      </c>
      <c r="N69" s="552">
        <f t="shared" si="73"/>
        <v>35418.699205214223</v>
      </c>
      <c r="O69" s="552">
        <f t="shared" si="73"/>
        <v>41224.255987172102</v>
      </c>
      <c r="P69" s="552">
        <f t="shared" si="73"/>
        <v>47055.741332517195</v>
      </c>
      <c r="Q69" s="552">
        <f t="shared" si="73"/>
        <v>53735.206857188045</v>
      </c>
      <c r="R69" s="552">
        <f t="shared" si="73"/>
        <v>61064.763066806241</v>
      </c>
      <c r="S69" s="552">
        <f t="shared" si="73"/>
        <v>69661.200384673168</v>
      </c>
      <c r="T69" s="552">
        <f t="shared" si="73"/>
        <v>78937.304295583366</v>
      </c>
      <c r="U69" s="552">
        <f t="shared" si="73"/>
        <v>89615.458417517584</v>
      </c>
      <c r="V69" s="552">
        <f t="shared" ref="V69" si="74">U69+V68</f>
        <v>101705.96616881156</v>
      </c>
      <c r="W69" s="552">
        <f t="shared" ref="W69" si="75">V69+W68</f>
        <v>113876.68781760236</v>
      </c>
      <c r="X69" s="552">
        <f t="shared" ref="X69" si="76">W69+X68</f>
        <v>127952.88649679732</v>
      </c>
      <c r="Y69" s="552">
        <f t="shared" ref="Y69" si="77">X69+Y68</f>
        <v>143112.78873254475</v>
      </c>
      <c r="Z69" s="552">
        <f t="shared" ref="Z69" si="78">Y69+Z68</f>
        <v>162183.48082369147</v>
      </c>
      <c r="AA69" s="552">
        <f t="shared" ref="AA69:AC69" si="79">Z69+AA68</f>
        <v>175202.6147354561</v>
      </c>
      <c r="AB69" s="552">
        <f t="shared" si="79"/>
        <v>182062.61173712401</v>
      </c>
      <c r="AC69" s="863">
        <f t="shared" si="79"/>
        <v>182062.61173712401</v>
      </c>
    </row>
    <row r="70" spans="2:29" s="350" customFormat="1" ht="15" customHeight="1" thickBot="1" x14ac:dyDescent="0.25">
      <c r="B70" s="552" t="s">
        <v>735</v>
      </c>
      <c r="C70" s="552"/>
      <c r="D70" s="790">
        <f>IF(D64=0,(D69/D65),(D69/SUM($D64:$X64)))</f>
        <v>1.1726093461956673</v>
      </c>
      <c r="E70" s="862">
        <f t="shared" ref="E70:U70" si="80">IF(E64=0,(E69/E65),(E69/SUM($D64:$X64)))</f>
        <v>1.2416330689187123</v>
      </c>
      <c r="F70" s="1074">
        <f t="shared" si="80"/>
        <v>1.2730877039529109</v>
      </c>
      <c r="G70" s="790">
        <f t="shared" si="80"/>
        <v>1.2890547322235744</v>
      </c>
      <c r="H70" s="862">
        <f t="shared" si="80"/>
        <v>1.2982193057661662</v>
      </c>
      <c r="I70" s="1090">
        <f t="shared" si="80"/>
        <v>1.3032706927738638</v>
      </c>
      <c r="J70" s="1090">
        <f t="shared" si="80"/>
        <v>1.3059539477286104</v>
      </c>
      <c r="K70" s="1090">
        <f t="shared" si="80"/>
        <v>1.3073836164230987</v>
      </c>
      <c r="L70" s="1090">
        <f t="shared" si="80"/>
        <v>1.3082951760311341</v>
      </c>
      <c r="M70" s="1090">
        <f t="shared" si="80"/>
        <v>1.3088697175050281</v>
      </c>
      <c r="N70" s="1090">
        <f t="shared" si="80"/>
        <v>1.3093701496416177</v>
      </c>
      <c r="O70" s="1090">
        <f t="shared" si="80"/>
        <v>1.3097398699454168</v>
      </c>
      <c r="P70" s="1090">
        <f t="shared" si="80"/>
        <v>1.3100195386928242</v>
      </c>
      <c r="Q70" s="1090">
        <f t="shared" si="80"/>
        <v>1.3160314199976495</v>
      </c>
      <c r="R70" s="1090">
        <f t="shared" si="80"/>
        <v>1.3211582080350122</v>
      </c>
      <c r="S70" s="1090">
        <f t="shared" si="80"/>
        <v>1.3258309958892567</v>
      </c>
      <c r="T70" s="1090">
        <f t="shared" si="80"/>
        <v>1.3297569842387384</v>
      </c>
      <c r="U70" s="1090">
        <f t="shared" si="80"/>
        <v>1.3332898245422098</v>
      </c>
      <c r="V70" s="1090">
        <f t="shared" ref="V70:X70" si="81">IF(V64=0,(V69/V65),(V69/SUM($D64:$X64)))</f>
        <v>1.3364099758232515</v>
      </c>
      <c r="W70" s="1090">
        <f t="shared" si="81"/>
        <v>1.34676446297525</v>
      </c>
      <c r="X70" s="1090">
        <f t="shared" si="81"/>
        <v>1.3564260933949599</v>
      </c>
      <c r="Y70" s="1090">
        <f>IF(Y64=0,(Y69/Y65),(Y69/SUM($D64:$AA64)))</f>
        <v>1.3648168387158859</v>
      </c>
      <c r="Z70" s="1090">
        <f>IF(Z64=0,(Z69/Z65),(Z69/SUM($D64:$AA64)))</f>
        <v>1.3888213271625469</v>
      </c>
      <c r="AA70" s="1090">
        <f>IF(AA64=0,(AA69/AA65),(AA69/SUM($D64:$AA64)))</f>
        <v>4.1933508226347991</v>
      </c>
      <c r="AB70" s="1090">
        <f>IF(AB64=0,(AB69/AB65),(AB69/SUM($D64:$AA64)))</f>
        <v>4.3575400050488389</v>
      </c>
      <c r="AC70" s="868">
        <f>IF(AC64=0,(AC69/AC65),(AC69/SUM($D64:$AA64)))</f>
        <v>4.3575400050488389</v>
      </c>
    </row>
    <row r="71" spans="2:29" ht="15" customHeight="1" x14ac:dyDescent="0.2">
      <c r="B71" s="550"/>
      <c r="C71" s="550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6"/>
    </row>
  </sheetData>
  <mergeCells count="21">
    <mergeCell ref="B46:C46"/>
    <mergeCell ref="O7:P7"/>
    <mergeCell ref="Q7:S7"/>
    <mergeCell ref="O8:P8"/>
    <mergeCell ref="Q8:S8"/>
    <mergeCell ref="O9:S15"/>
    <mergeCell ref="B16:C16"/>
    <mergeCell ref="D48:F48"/>
    <mergeCell ref="G48:AC48"/>
    <mergeCell ref="O4:P4"/>
    <mergeCell ref="Q4:S4"/>
    <mergeCell ref="O5:P5"/>
    <mergeCell ref="Q5:S5"/>
    <mergeCell ref="O6:P6"/>
    <mergeCell ref="Q6:S6"/>
    <mergeCell ref="O1:P1"/>
    <mergeCell ref="Q1:S1"/>
    <mergeCell ref="O2:P2"/>
    <mergeCell ref="Q2:S2"/>
    <mergeCell ref="O3:P3"/>
    <mergeCell ref="Q3:S3"/>
  </mergeCells>
  <conditionalFormatting sqref="D28:N28">
    <cfRule type="cellIs" dxfId="7" priority="4" operator="greaterThan">
      <formula>2%</formula>
    </cfRule>
  </conditionalFormatting>
  <conditionalFormatting sqref="O28:X28">
    <cfRule type="cellIs" dxfId="6" priority="3" operator="greaterThan">
      <formula>2%</formula>
    </cfRule>
  </conditionalFormatting>
  <conditionalFormatting sqref="O43:X43">
    <cfRule type="cellIs" dxfId="5" priority="1" operator="greaterThan">
      <formula>2%</formula>
    </cfRule>
  </conditionalFormatting>
  <conditionalFormatting sqref="D43:N43">
    <cfRule type="cellIs" dxfId="4" priority="2" operator="greaterThan">
      <formula>2%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A37"/>
  </sheetPr>
  <dimension ref="B1:AC71"/>
  <sheetViews>
    <sheetView zoomScale="55" zoomScaleNormal="55" workbookViewId="0">
      <selection activeCell="U15" sqref="U15"/>
    </sheetView>
  </sheetViews>
  <sheetFormatPr defaultColWidth="9.140625" defaultRowHeight="12.75" x14ac:dyDescent="0.2"/>
  <cols>
    <col min="1" max="1" width="1.85546875" style="2" customWidth="1"/>
    <col min="2" max="2" width="9.140625" style="2"/>
    <col min="3" max="3" width="16.140625" style="2" customWidth="1"/>
    <col min="4" max="4" width="9.7109375" style="2" bestFit="1" customWidth="1"/>
    <col min="5" max="15" width="9.140625" style="2"/>
    <col min="16" max="16" width="8.5703125" style="2" bestFit="1" customWidth="1"/>
    <col min="17" max="17" width="9.7109375" style="2" bestFit="1" customWidth="1"/>
    <col min="18" max="16384" width="9.140625" style="2"/>
  </cols>
  <sheetData>
    <row r="1" spans="2:24" ht="22.5" customHeight="1" x14ac:dyDescent="0.35">
      <c r="B1" s="548"/>
      <c r="O1" s="1407" t="s">
        <v>399</v>
      </c>
      <c r="P1" s="1407"/>
      <c r="Q1" s="1408" t="s">
        <v>381</v>
      </c>
      <c r="R1" s="1409"/>
      <c r="S1" s="1410"/>
    </row>
    <row r="2" spans="2:24" ht="22.5" customHeight="1" x14ac:dyDescent="0.35">
      <c r="B2" s="548"/>
      <c r="O2" s="1407" t="s">
        <v>714</v>
      </c>
      <c r="P2" s="1407"/>
      <c r="Q2" s="1408" t="s">
        <v>472</v>
      </c>
      <c r="R2" s="1409"/>
      <c r="S2" s="1410"/>
    </row>
    <row r="3" spans="2:24" ht="22.5" customHeight="1" x14ac:dyDescent="0.35">
      <c r="B3" s="548"/>
      <c r="O3" s="1411" t="s">
        <v>400</v>
      </c>
      <c r="P3" s="1412"/>
      <c r="Q3" s="1413" t="s">
        <v>1386</v>
      </c>
      <c r="R3" s="1414"/>
      <c r="S3" s="1415"/>
    </row>
    <row r="4" spans="2:24" ht="22.5" customHeight="1" x14ac:dyDescent="0.35">
      <c r="B4" s="548"/>
      <c r="O4" s="1411" t="s">
        <v>651</v>
      </c>
      <c r="P4" s="1412"/>
      <c r="Q4" s="1416">
        <f>'Input data'!Q4</f>
        <v>82000</v>
      </c>
      <c r="R4" s="1417"/>
      <c r="S4" s="1418"/>
    </row>
    <row r="5" spans="2:24" ht="22.5" customHeight="1" x14ac:dyDescent="0.35">
      <c r="B5" s="548"/>
      <c r="O5" s="1411" t="s">
        <v>401</v>
      </c>
      <c r="P5" s="1412"/>
      <c r="Q5" s="1408">
        <f>'Input data'!R4</f>
        <v>2</v>
      </c>
      <c r="R5" s="1409"/>
      <c r="S5" s="1410"/>
    </row>
    <row r="6" spans="2:24" ht="22.5" customHeight="1" x14ac:dyDescent="0.35">
      <c r="B6" s="548"/>
      <c r="O6" s="1411" t="s">
        <v>716</v>
      </c>
      <c r="P6" s="1412"/>
      <c r="Q6" s="1408">
        <f>'Input data'!S4</f>
        <v>20000</v>
      </c>
      <c r="R6" s="1409"/>
      <c r="S6" s="1410"/>
    </row>
    <row r="7" spans="2:24" ht="22.5" customHeight="1" x14ac:dyDescent="0.35">
      <c r="B7" s="548"/>
      <c r="O7" s="1411" t="s">
        <v>402</v>
      </c>
      <c r="P7" s="1412"/>
      <c r="Q7" s="1408">
        <f>'Input data'!T4</f>
        <v>2000</v>
      </c>
      <c r="R7" s="1409"/>
      <c r="S7" s="1410"/>
    </row>
    <row r="8" spans="2:24" ht="22.5" customHeight="1" x14ac:dyDescent="0.35">
      <c r="B8" s="548"/>
      <c r="O8" s="1407" t="s">
        <v>403</v>
      </c>
      <c r="P8" s="1407"/>
      <c r="Q8" s="1420">
        <f>SUM(D64:AC64)/1000</f>
        <v>126.59736581423259</v>
      </c>
      <c r="R8" s="1421"/>
      <c r="S8" s="1422"/>
    </row>
    <row r="9" spans="2:24" ht="22.5" customHeight="1" x14ac:dyDescent="0.35">
      <c r="B9" s="548"/>
      <c r="O9" s="1423"/>
      <c r="P9" s="1423"/>
      <c r="Q9" s="1423"/>
      <c r="R9" s="1423"/>
      <c r="S9" s="1423"/>
    </row>
    <row r="10" spans="2:24" ht="22.5" customHeight="1" x14ac:dyDescent="0.35">
      <c r="B10" s="548"/>
      <c r="O10" s="1424"/>
      <c r="P10" s="1424"/>
      <c r="Q10" s="1424"/>
      <c r="R10" s="1424"/>
      <c r="S10" s="1424"/>
    </row>
    <row r="11" spans="2:24" ht="22.5" customHeight="1" x14ac:dyDescent="0.35">
      <c r="B11" s="548"/>
      <c r="O11" s="1424"/>
      <c r="P11" s="1424"/>
      <c r="Q11" s="1424"/>
      <c r="R11" s="1424"/>
      <c r="S11" s="1424"/>
    </row>
    <row r="12" spans="2:24" ht="22.5" customHeight="1" x14ac:dyDescent="0.35">
      <c r="B12" s="548"/>
      <c r="O12" s="1424"/>
      <c r="P12" s="1424"/>
      <c r="Q12" s="1424"/>
      <c r="R12" s="1424"/>
      <c r="S12" s="1424"/>
    </row>
    <row r="13" spans="2:24" ht="22.5" customHeight="1" x14ac:dyDescent="0.35">
      <c r="B13" s="548"/>
      <c r="O13" s="1424"/>
      <c r="P13" s="1424"/>
      <c r="Q13" s="1424"/>
      <c r="R13" s="1424"/>
      <c r="S13" s="1424"/>
    </row>
    <row r="14" spans="2:24" ht="22.5" customHeight="1" x14ac:dyDescent="0.35">
      <c r="B14" s="548"/>
      <c r="O14" s="1424"/>
      <c r="P14" s="1424"/>
      <c r="Q14" s="1424"/>
      <c r="R14" s="1424"/>
      <c r="S14" s="1424"/>
    </row>
    <row r="15" spans="2:24" ht="22.5" customHeight="1" x14ac:dyDescent="0.35">
      <c r="B15" s="548"/>
      <c r="O15" s="1424"/>
      <c r="P15" s="1424"/>
      <c r="Q15" s="1424"/>
      <c r="R15" s="1424"/>
      <c r="S15" s="1424"/>
    </row>
    <row r="16" spans="2:24" hidden="1" x14ac:dyDescent="0.2">
      <c r="B16" s="1425" t="s">
        <v>404</v>
      </c>
      <c r="C16" s="1425"/>
      <c r="D16" s="549" t="e">
        <f>MONTH(Q3)</f>
        <v>#VALUE!</v>
      </c>
      <c r="E16" s="549" t="e">
        <f>D16+1</f>
        <v>#VALUE!</v>
      </c>
      <c r="F16" s="549" t="e">
        <f t="shared" ref="F16:T16" si="0">E16+1</f>
        <v>#VALUE!</v>
      </c>
      <c r="G16" s="549" t="e">
        <f t="shared" si="0"/>
        <v>#VALUE!</v>
      </c>
      <c r="H16" s="549" t="e">
        <f t="shared" si="0"/>
        <v>#VALUE!</v>
      </c>
      <c r="I16" s="549" t="e">
        <f t="shared" si="0"/>
        <v>#VALUE!</v>
      </c>
      <c r="J16" s="549" t="e">
        <f t="shared" si="0"/>
        <v>#VALUE!</v>
      </c>
      <c r="K16" s="549" t="e">
        <f t="shared" si="0"/>
        <v>#VALUE!</v>
      </c>
      <c r="L16" s="549" t="e">
        <f t="shared" si="0"/>
        <v>#VALUE!</v>
      </c>
      <c r="M16" s="549" t="e">
        <f t="shared" si="0"/>
        <v>#VALUE!</v>
      </c>
      <c r="N16" s="549" t="e">
        <f t="shared" si="0"/>
        <v>#VALUE!</v>
      </c>
      <c r="O16" s="549" t="e">
        <f t="shared" si="0"/>
        <v>#VALUE!</v>
      </c>
      <c r="P16" s="549" t="e">
        <f t="shared" si="0"/>
        <v>#VALUE!</v>
      </c>
      <c r="Q16" s="549" t="e">
        <f t="shared" si="0"/>
        <v>#VALUE!</v>
      </c>
      <c r="R16" s="549" t="e">
        <f t="shared" si="0"/>
        <v>#VALUE!</v>
      </c>
      <c r="S16" s="549" t="e">
        <f t="shared" si="0"/>
        <v>#VALUE!</v>
      </c>
      <c r="T16" s="549" t="e">
        <f t="shared" si="0"/>
        <v>#VALUE!</v>
      </c>
      <c r="U16" s="549" t="e">
        <f>T16+1</f>
        <v>#VALUE!</v>
      </c>
      <c r="V16" s="549" t="e">
        <f>U16+1</f>
        <v>#VALUE!</v>
      </c>
      <c r="W16" s="549" t="e">
        <f>V16+1</f>
        <v>#VALUE!</v>
      </c>
      <c r="X16" s="549" t="e">
        <f>W16+1</f>
        <v>#VALUE!</v>
      </c>
    </row>
    <row r="17" spans="2:29" s="8" customFormat="1" ht="15" customHeight="1" x14ac:dyDescent="0.2">
      <c r="B17" s="550" t="s">
        <v>405</v>
      </c>
      <c r="C17" s="550"/>
      <c r="D17" s="550" t="s">
        <v>169</v>
      </c>
      <c r="E17" s="550" t="s">
        <v>170</v>
      </c>
      <c r="F17" s="550" t="s">
        <v>171</v>
      </c>
      <c r="G17" s="550" t="s">
        <v>172</v>
      </c>
      <c r="H17" s="550" t="s">
        <v>173</v>
      </c>
      <c r="I17" s="550" t="s">
        <v>174</v>
      </c>
      <c r="J17" s="550" t="s">
        <v>175</v>
      </c>
      <c r="K17" s="550" t="s">
        <v>176</v>
      </c>
      <c r="L17" s="550" t="s">
        <v>177</v>
      </c>
      <c r="M17" s="550" t="s">
        <v>166</v>
      </c>
      <c r="N17" s="550" t="s">
        <v>167</v>
      </c>
      <c r="O17" s="550" t="s">
        <v>168</v>
      </c>
      <c r="P17" s="550" t="s">
        <v>169</v>
      </c>
      <c r="Q17" s="550" t="s">
        <v>170</v>
      </c>
      <c r="R17" s="550" t="s">
        <v>171</v>
      </c>
      <c r="S17" s="550" t="s">
        <v>172</v>
      </c>
      <c r="T17" s="550" t="s">
        <v>173</v>
      </c>
      <c r="U17" s="550" t="s">
        <v>174</v>
      </c>
      <c r="V17" s="550" t="s">
        <v>175</v>
      </c>
      <c r="W17" s="550" t="s">
        <v>176</v>
      </c>
      <c r="X17" s="550" t="s">
        <v>177</v>
      </c>
      <c r="Y17" s="550" t="s">
        <v>166</v>
      </c>
      <c r="Z17" s="550" t="s">
        <v>167</v>
      </c>
      <c r="AA17" s="550" t="s">
        <v>168</v>
      </c>
      <c r="AB17" s="550" t="s">
        <v>169</v>
      </c>
      <c r="AC17" s="550" t="s">
        <v>170</v>
      </c>
    </row>
    <row r="18" spans="2:29" ht="12.75" customHeight="1" x14ac:dyDescent="0.2">
      <c r="B18" s="285" t="s">
        <v>406</v>
      </c>
      <c r="C18" s="285"/>
      <c r="D18" s="285">
        <f>VLOOKUP(D17,'Input data'!$N$5:$P$16,3,FALSE)</f>
        <v>31</v>
      </c>
      <c r="E18" s="285">
        <f>VLOOKUP(E17,'Input data'!$N$5:$P$16,3,FALSE)</f>
        <v>30</v>
      </c>
      <c r="F18" s="285">
        <f>VLOOKUP(F17,'Input data'!$N$5:$P$16,3,FALSE)</f>
        <v>31</v>
      </c>
      <c r="G18" s="285">
        <f>VLOOKUP(G17,'Input data'!$N$5:$P$16,3,FALSE)</f>
        <v>31</v>
      </c>
      <c r="H18" s="285">
        <f>VLOOKUP(H17,'Input data'!$N$5:$P$16,3,FALSE)</f>
        <v>28</v>
      </c>
      <c r="I18" s="285">
        <f>VLOOKUP(I17,'Input data'!$N$5:$P$16,3,FALSE)</f>
        <v>31</v>
      </c>
      <c r="J18" s="285">
        <f>VLOOKUP(J17,'Input data'!$N$5:$P$16,3,FALSE)</f>
        <v>30</v>
      </c>
      <c r="K18" s="285">
        <f>VLOOKUP(K17,'Input data'!$N$5:$P$16,3,FALSE)</f>
        <v>31</v>
      </c>
      <c r="L18" s="285">
        <f>VLOOKUP(L17,'Input data'!$N$5:$P$16,3,FALSE)</f>
        <v>30</v>
      </c>
      <c r="M18" s="285">
        <f>VLOOKUP(M17,'Input data'!$N$5:$P$16,3,FALSE)</f>
        <v>31</v>
      </c>
      <c r="N18" s="285">
        <f>VLOOKUP(N17,'Input data'!$N$5:$P$16,3,FALSE)</f>
        <v>31</v>
      </c>
      <c r="O18" s="285">
        <f>VLOOKUP(O17,'Input data'!$N$5:$P$16,3,FALSE)</f>
        <v>30</v>
      </c>
      <c r="P18" s="285">
        <f>VLOOKUP(P17,'Input data'!$N$5:$P$16,3,FALSE)</f>
        <v>31</v>
      </c>
      <c r="Q18" s="285">
        <f>VLOOKUP(Q17,'Input data'!$N$5:$P$16,3,FALSE)</f>
        <v>30</v>
      </c>
      <c r="R18" s="285">
        <f>VLOOKUP(R17,'Input data'!$N$5:$P$16,3,FALSE)</f>
        <v>31</v>
      </c>
      <c r="S18" s="285">
        <f>VLOOKUP(S17,'Input data'!$N$5:$P$16,3,FALSE)</f>
        <v>31</v>
      </c>
      <c r="T18" s="285">
        <f>VLOOKUP(T17,'Input data'!$N$5:$P$16,3,FALSE)</f>
        <v>28</v>
      </c>
      <c r="U18" s="285">
        <f>VLOOKUP(U17,'Input data'!$N$5:$P$16,3,FALSE)</f>
        <v>31</v>
      </c>
      <c r="V18" s="285">
        <f>VLOOKUP(V17,'Input data'!$N$5:$P$16,3,FALSE)</f>
        <v>30</v>
      </c>
      <c r="W18" s="285">
        <f>VLOOKUP(W17,'Input data'!$N$5:$P$16,3,FALSE)</f>
        <v>31</v>
      </c>
      <c r="X18" s="285">
        <f>VLOOKUP(X17,'Input data'!$N$5:$P$16,3,FALSE)</f>
        <v>30</v>
      </c>
      <c r="Y18" s="285">
        <f>VLOOKUP(Y17,'Input data'!$N$5:$P$16,3,FALSE)</f>
        <v>31</v>
      </c>
      <c r="Z18" s="285">
        <f>VLOOKUP(Z17,'Input data'!$N$5:$P$16,3,FALSE)</f>
        <v>31</v>
      </c>
      <c r="AA18" s="285">
        <f>VLOOKUP(AA17,'Input data'!$N$5:$P$16,3,FALSE)</f>
        <v>30</v>
      </c>
      <c r="AB18" s="285">
        <f>VLOOKUP(AB17,'Input data'!$N$5:$P$16,3,FALSE)</f>
        <v>31</v>
      </c>
      <c r="AC18" s="285">
        <f>VLOOKUP(AC17,'Input data'!$N$5:$P$16,3,FALSE)</f>
        <v>30</v>
      </c>
    </row>
    <row r="19" spans="2:29" ht="12.75" customHeight="1" x14ac:dyDescent="0.2">
      <c r="B19" s="285" t="s">
        <v>407</v>
      </c>
      <c r="C19" s="285"/>
      <c r="D19" s="285">
        <f>VLOOKUP(D17,'Input data'!$N$5:$P$16,2,FALSE)</f>
        <v>21</v>
      </c>
      <c r="E19" s="285">
        <f>VLOOKUP(E17,'Input data'!$N$5:$P$16,2,FALSE)</f>
        <v>23</v>
      </c>
      <c r="F19" s="285">
        <f>VLOOKUP(F17,'Input data'!$N$5:$P$16,2,FALSE)</f>
        <v>24</v>
      </c>
      <c r="G19" s="285">
        <f>VLOOKUP(G17,'Input data'!$N$5:$P$16,2,FALSE)</f>
        <v>24</v>
      </c>
      <c r="H19" s="285">
        <f>VLOOKUP(H17,'Input data'!$N$5:$P$16,2,FALSE)</f>
        <v>24</v>
      </c>
      <c r="I19" s="285">
        <f>VLOOKUP(I17,'Input data'!$N$5:$P$16,2,FALSE)</f>
        <v>22</v>
      </c>
      <c r="J19" s="285">
        <f>VLOOKUP(J17,'Input data'!$N$5:$P$16,2,FALSE)</f>
        <v>20</v>
      </c>
      <c r="K19" s="285">
        <f>VLOOKUP(K17,'Input data'!$N$5:$P$16,2,FALSE)</f>
        <v>19</v>
      </c>
      <c r="L19" s="285">
        <f>VLOOKUP(L17,'Input data'!$N$5:$P$16,2,FALSE)</f>
        <v>18</v>
      </c>
      <c r="M19" s="285">
        <f>VLOOKUP(M17,'Input data'!$N$5:$P$16,2,FALSE)</f>
        <v>18</v>
      </c>
      <c r="N19" s="285">
        <f>VLOOKUP(N17,'Input data'!$N$5:$P$16,2,FALSE)</f>
        <v>18</v>
      </c>
      <c r="O19" s="285">
        <f>VLOOKUP(O17,'Input data'!$N$5:$P$16,2,FALSE)</f>
        <v>20</v>
      </c>
      <c r="P19" s="285">
        <f>VLOOKUP(P17,'Input data'!$N$5:$P$16,2,FALSE)</f>
        <v>21</v>
      </c>
      <c r="Q19" s="285">
        <f>VLOOKUP(Q17,'Input data'!$N$5:$P$16,2,FALSE)</f>
        <v>23</v>
      </c>
      <c r="R19" s="285">
        <f>VLOOKUP(R17,'Input data'!$N$5:$P$16,2,FALSE)</f>
        <v>24</v>
      </c>
      <c r="S19" s="285">
        <f>VLOOKUP(S17,'Input data'!$N$5:$P$16,2,FALSE)</f>
        <v>24</v>
      </c>
      <c r="T19" s="285">
        <f>VLOOKUP(T17,'Input data'!$N$5:$P$16,2,FALSE)</f>
        <v>24</v>
      </c>
      <c r="U19" s="285">
        <f>VLOOKUP(U17,'Input data'!$N$5:$P$16,2,FALSE)</f>
        <v>22</v>
      </c>
      <c r="V19" s="285">
        <f>VLOOKUP(V17,'Input data'!$N$5:$P$16,2,FALSE)</f>
        <v>20</v>
      </c>
      <c r="W19" s="285">
        <f>VLOOKUP(W17,'Input data'!$N$5:$P$16,2,FALSE)</f>
        <v>19</v>
      </c>
      <c r="X19" s="285">
        <f>VLOOKUP(X17,'Input data'!$N$5:$P$16,2,FALSE)</f>
        <v>18</v>
      </c>
      <c r="Y19" s="285">
        <f>VLOOKUP(Y17,'Input data'!$N$5:$P$16,2,FALSE)</f>
        <v>18</v>
      </c>
      <c r="Z19" s="285">
        <f>VLOOKUP(Z17,'Input data'!$N$5:$P$16,2,FALSE)</f>
        <v>18</v>
      </c>
      <c r="AA19" s="285">
        <f>VLOOKUP(AA17,'Input data'!$N$5:$P$16,2,FALSE)</f>
        <v>20</v>
      </c>
      <c r="AB19" s="285">
        <f>VLOOKUP(AB17,'Input data'!$N$5:$P$16,2,FALSE)</f>
        <v>21</v>
      </c>
      <c r="AC19" s="285">
        <f>VLOOKUP(AC17,'Input data'!$N$5:$P$16,2,FALSE)</f>
        <v>23</v>
      </c>
    </row>
    <row r="20" spans="2:29" ht="12.75" customHeight="1" x14ac:dyDescent="0.2">
      <c r="B20" s="285" t="s">
        <v>408</v>
      </c>
      <c r="C20" s="285"/>
      <c r="D20" s="285">
        <v>1</v>
      </c>
      <c r="E20" s="285">
        <f>D20+1</f>
        <v>2</v>
      </c>
      <c r="F20" s="285">
        <f>E20+1</f>
        <v>3</v>
      </c>
      <c r="G20" s="285">
        <f t="shared" ref="G20:X20" si="1">F20+1</f>
        <v>4</v>
      </c>
      <c r="H20" s="285">
        <f t="shared" si="1"/>
        <v>5</v>
      </c>
      <c r="I20" s="285">
        <f t="shared" si="1"/>
        <v>6</v>
      </c>
      <c r="J20" s="285">
        <f t="shared" si="1"/>
        <v>7</v>
      </c>
      <c r="K20" s="285">
        <f t="shared" si="1"/>
        <v>8</v>
      </c>
      <c r="L20" s="285">
        <f t="shared" si="1"/>
        <v>9</v>
      </c>
      <c r="M20" s="285">
        <f t="shared" si="1"/>
        <v>10</v>
      </c>
      <c r="N20" s="285">
        <f t="shared" si="1"/>
        <v>11</v>
      </c>
      <c r="O20" s="285">
        <f t="shared" si="1"/>
        <v>12</v>
      </c>
      <c r="P20" s="285">
        <f t="shared" si="1"/>
        <v>13</v>
      </c>
      <c r="Q20" s="285">
        <f t="shared" si="1"/>
        <v>14</v>
      </c>
      <c r="R20" s="285">
        <f t="shared" si="1"/>
        <v>15</v>
      </c>
      <c r="S20" s="285">
        <f t="shared" si="1"/>
        <v>16</v>
      </c>
      <c r="T20" s="285">
        <f t="shared" si="1"/>
        <v>17</v>
      </c>
      <c r="U20" s="285">
        <f t="shared" si="1"/>
        <v>18</v>
      </c>
      <c r="V20" s="285">
        <f t="shared" si="1"/>
        <v>19</v>
      </c>
      <c r="W20" s="285">
        <f t="shared" si="1"/>
        <v>20</v>
      </c>
      <c r="X20" s="285">
        <f t="shared" si="1"/>
        <v>21</v>
      </c>
      <c r="Y20" s="186">
        <f t="shared" ref="Y20" si="2">X20+1</f>
        <v>22</v>
      </c>
      <c r="Z20" s="210">
        <f t="shared" ref="Z20" si="3">Y20+1</f>
        <v>23</v>
      </c>
      <c r="AA20" s="210">
        <f t="shared" ref="AA20:AC20" si="4">Z20+1</f>
        <v>24</v>
      </c>
      <c r="AB20" s="210">
        <f t="shared" si="4"/>
        <v>25</v>
      </c>
      <c r="AC20" s="210">
        <f t="shared" si="4"/>
        <v>26</v>
      </c>
    </row>
    <row r="21" spans="2:29" ht="3" customHeight="1" x14ac:dyDescent="0.2"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</row>
    <row r="22" spans="2:29" ht="15" hidden="1" customHeight="1" x14ac:dyDescent="0.25">
      <c r="B22" s="551" t="s">
        <v>409</v>
      </c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</row>
    <row r="23" spans="2:29" ht="15" hidden="1" customHeight="1" x14ac:dyDescent="0.2">
      <c r="B23" s="550" t="s">
        <v>410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</row>
    <row r="24" spans="2:29" ht="12.75" hidden="1" customHeight="1" x14ac:dyDescent="0.2">
      <c r="B24" s="552" t="s">
        <v>411</v>
      </c>
      <c r="C24" s="552"/>
      <c r="D24" s="553">
        <f>Q4</f>
        <v>82000</v>
      </c>
      <c r="E24" s="552">
        <f t="shared" ref="E24:X24" si="5">D31</f>
        <v>82000</v>
      </c>
      <c r="F24" s="552">
        <f t="shared" si="5"/>
        <v>82000</v>
      </c>
      <c r="G24" s="552">
        <f t="shared" si="5"/>
        <v>82000</v>
      </c>
      <c r="H24" s="552">
        <f t="shared" si="5"/>
        <v>82000</v>
      </c>
      <c r="I24" s="552">
        <f t="shared" si="5"/>
        <v>82000</v>
      </c>
      <c r="J24" s="552">
        <f t="shared" si="5"/>
        <v>82000</v>
      </c>
      <c r="K24" s="552">
        <f t="shared" si="5"/>
        <v>82000</v>
      </c>
      <c r="L24" s="552">
        <f t="shared" si="5"/>
        <v>82000</v>
      </c>
      <c r="M24" s="552">
        <f t="shared" si="5"/>
        <v>82000</v>
      </c>
      <c r="N24" s="552">
        <f t="shared" si="5"/>
        <v>82000</v>
      </c>
      <c r="O24" s="552">
        <f t="shared" si="5"/>
        <v>82000</v>
      </c>
      <c r="P24" s="552">
        <f t="shared" si="5"/>
        <v>82000</v>
      </c>
      <c r="Q24" s="552">
        <f t="shared" si="5"/>
        <v>82000</v>
      </c>
      <c r="R24" s="552">
        <f t="shared" si="5"/>
        <v>82000</v>
      </c>
      <c r="S24" s="552">
        <f t="shared" si="5"/>
        <v>82000</v>
      </c>
      <c r="T24" s="552">
        <f t="shared" si="5"/>
        <v>82000</v>
      </c>
      <c r="U24" s="552">
        <f t="shared" si="5"/>
        <v>82000</v>
      </c>
      <c r="V24" s="552">
        <f t="shared" si="5"/>
        <v>82000</v>
      </c>
      <c r="W24" s="552">
        <f t="shared" si="5"/>
        <v>82000</v>
      </c>
      <c r="X24" s="552">
        <f t="shared" si="5"/>
        <v>82000</v>
      </c>
    </row>
    <row r="25" spans="2:29" ht="12.75" hidden="1" customHeight="1" x14ac:dyDescent="0.2">
      <c r="B25" s="553" t="s">
        <v>412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</row>
    <row r="26" spans="2:29" s="265" customFormat="1" ht="12.75" hidden="1" customHeight="1" x14ac:dyDescent="0.2">
      <c r="B26" s="553" t="s">
        <v>413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</row>
    <row r="27" spans="2:29" s="265" customFormat="1" ht="15" hidden="1" customHeight="1" x14ac:dyDescent="0.2">
      <c r="B27" s="552" t="s">
        <v>414</v>
      </c>
      <c r="C27" s="552"/>
      <c r="D27" s="552">
        <f>D26</f>
        <v>0</v>
      </c>
      <c r="E27" s="552">
        <f t="shared" ref="E27:X27" si="6">D27+E26</f>
        <v>0</v>
      </c>
      <c r="F27" s="552">
        <f t="shared" si="6"/>
        <v>0</v>
      </c>
      <c r="G27" s="552">
        <f t="shared" si="6"/>
        <v>0</v>
      </c>
      <c r="H27" s="552">
        <f t="shared" si="6"/>
        <v>0</v>
      </c>
      <c r="I27" s="552">
        <f t="shared" si="6"/>
        <v>0</v>
      </c>
      <c r="J27" s="552">
        <f t="shared" si="6"/>
        <v>0</v>
      </c>
      <c r="K27" s="552">
        <f t="shared" si="6"/>
        <v>0</v>
      </c>
      <c r="L27" s="552">
        <f t="shared" si="6"/>
        <v>0</v>
      </c>
      <c r="M27" s="552">
        <f t="shared" si="6"/>
        <v>0</v>
      </c>
      <c r="N27" s="552">
        <f t="shared" si="6"/>
        <v>0</v>
      </c>
      <c r="O27" s="552">
        <f t="shared" si="6"/>
        <v>0</v>
      </c>
      <c r="P27" s="552">
        <f t="shared" si="6"/>
        <v>0</v>
      </c>
      <c r="Q27" s="552">
        <f t="shared" si="6"/>
        <v>0</v>
      </c>
      <c r="R27" s="552">
        <f t="shared" si="6"/>
        <v>0</v>
      </c>
      <c r="S27" s="552">
        <f t="shared" si="6"/>
        <v>0</v>
      </c>
      <c r="T27" s="552">
        <f t="shared" si="6"/>
        <v>0</v>
      </c>
      <c r="U27" s="552">
        <f t="shared" si="6"/>
        <v>0</v>
      </c>
      <c r="V27" s="552">
        <f t="shared" si="6"/>
        <v>0</v>
      </c>
      <c r="W27" s="552">
        <f t="shared" si="6"/>
        <v>0</v>
      </c>
      <c r="X27" s="552">
        <f t="shared" si="6"/>
        <v>0</v>
      </c>
    </row>
    <row r="28" spans="2:29" s="265" customFormat="1" ht="15" hidden="1" customHeight="1" x14ac:dyDescent="0.2">
      <c r="B28" s="552" t="s">
        <v>415</v>
      </c>
      <c r="C28" s="552"/>
      <c r="D28" s="552">
        <f t="shared" ref="D28:X28" si="7">IF(D26&gt;0,(D26/D24),(0))</f>
        <v>0</v>
      </c>
      <c r="E28" s="552">
        <f t="shared" si="7"/>
        <v>0</v>
      </c>
      <c r="F28" s="552">
        <f t="shared" si="7"/>
        <v>0</v>
      </c>
      <c r="G28" s="552">
        <f t="shared" si="7"/>
        <v>0</v>
      </c>
      <c r="H28" s="552">
        <f t="shared" si="7"/>
        <v>0</v>
      </c>
      <c r="I28" s="552">
        <f t="shared" si="7"/>
        <v>0</v>
      </c>
      <c r="J28" s="552">
        <f t="shared" si="7"/>
        <v>0</v>
      </c>
      <c r="K28" s="552">
        <f t="shared" si="7"/>
        <v>0</v>
      </c>
      <c r="L28" s="552">
        <f t="shared" si="7"/>
        <v>0</v>
      </c>
      <c r="M28" s="552">
        <f t="shared" si="7"/>
        <v>0</v>
      </c>
      <c r="N28" s="552">
        <f t="shared" si="7"/>
        <v>0</v>
      </c>
      <c r="O28" s="552">
        <f t="shared" si="7"/>
        <v>0</v>
      </c>
      <c r="P28" s="552">
        <f t="shared" si="7"/>
        <v>0</v>
      </c>
      <c r="Q28" s="552">
        <f t="shared" si="7"/>
        <v>0</v>
      </c>
      <c r="R28" s="552">
        <f t="shared" si="7"/>
        <v>0</v>
      </c>
      <c r="S28" s="552">
        <f t="shared" si="7"/>
        <v>0</v>
      </c>
      <c r="T28" s="552">
        <f t="shared" si="7"/>
        <v>0</v>
      </c>
      <c r="U28" s="552">
        <f t="shared" si="7"/>
        <v>0</v>
      </c>
      <c r="V28" s="552">
        <f t="shared" si="7"/>
        <v>0</v>
      </c>
      <c r="W28" s="552">
        <f t="shared" si="7"/>
        <v>0</v>
      </c>
      <c r="X28" s="552">
        <f t="shared" si="7"/>
        <v>0</v>
      </c>
    </row>
    <row r="29" spans="2:29" s="265" customFormat="1" ht="15" hidden="1" customHeight="1" x14ac:dyDescent="0.2">
      <c r="B29" s="552" t="s">
        <v>416</v>
      </c>
      <c r="C29" s="552"/>
      <c r="D29" s="552">
        <f t="shared" ref="D29:X29" si="8">D27/$D24</f>
        <v>0</v>
      </c>
      <c r="E29" s="552">
        <f t="shared" si="8"/>
        <v>0</v>
      </c>
      <c r="F29" s="552">
        <f t="shared" si="8"/>
        <v>0</v>
      </c>
      <c r="G29" s="552">
        <f t="shared" si="8"/>
        <v>0</v>
      </c>
      <c r="H29" s="552">
        <f t="shared" si="8"/>
        <v>0</v>
      </c>
      <c r="I29" s="552">
        <f t="shared" si="8"/>
        <v>0</v>
      </c>
      <c r="J29" s="552">
        <f t="shared" si="8"/>
        <v>0</v>
      </c>
      <c r="K29" s="552">
        <f t="shared" si="8"/>
        <v>0</v>
      </c>
      <c r="L29" s="552">
        <f t="shared" si="8"/>
        <v>0</v>
      </c>
      <c r="M29" s="552">
        <f t="shared" si="8"/>
        <v>0</v>
      </c>
      <c r="N29" s="552">
        <f t="shared" si="8"/>
        <v>0</v>
      </c>
      <c r="O29" s="552">
        <f t="shared" si="8"/>
        <v>0</v>
      </c>
      <c r="P29" s="552">
        <f t="shared" si="8"/>
        <v>0</v>
      </c>
      <c r="Q29" s="552">
        <f t="shared" si="8"/>
        <v>0</v>
      </c>
      <c r="R29" s="552">
        <f t="shared" si="8"/>
        <v>0</v>
      </c>
      <c r="S29" s="552">
        <f t="shared" si="8"/>
        <v>0</v>
      </c>
      <c r="T29" s="552">
        <f t="shared" si="8"/>
        <v>0</v>
      </c>
      <c r="U29" s="552">
        <f t="shared" si="8"/>
        <v>0</v>
      </c>
      <c r="V29" s="552">
        <f t="shared" si="8"/>
        <v>0</v>
      </c>
      <c r="W29" s="552">
        <f t="shared" si="8"/>
        <v>0</v>
      </c>
      <c r="X29" s="552">
        <f t="shared" si="8"/>
        <v>0</v>
      </c>
    </row>
    <row r="30" spans="2:29" hidden="1" x14ac:dyDescent="0.2">
      <c r="B30" s="553" t="s">
        <v>417</v>
      </c>
      <c r="C30" s="553"/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  <c r="M30" s="553">
        <v>0</v>
      </c>
      <c r="N30" s="553">
        <v>0</v>
      </c>
      <c r="O30" s="553">
        <v>0</v>
      </c>
      <c r="P30" s="553">
        <v>0</v>
      </c>
      <c r="Q30" s="553">
        <v>0</v>
      </c>
      <c r="R30" s="553">
        <v>0</v>
      </c>
      <c r="S30" s="553">
        <v>0</v>
      </c>
      <c r="T30" s="553">
        <v>0</v>
      </c>
      <c r="U30" s="553">
        <v>0</v>
      </c>
      <c r="V30" s="553">
        <v>0</v>
      </c>
      <c r="W30" s="553">
        <v>0</v>
      </c>
      <c r="X30" s="553">
        <v>0</v>
      </c>
    </row>
    <row r="31" spans="2:29" ht="15" hidden="1" customHeight="1" x14ac:dyDescent="0.2">
      <c r="B31" s="552" t="s">
        <v>418</v>
      </c>
      <c r="C31" s="552"/>
      <c r="D31" s="552">
        <f t="shared" ref="D31:X31" si="9">D24-D25-D26-D30</f>
        <v>82000</v>
      </c>
      <c r="E31" s="552">
        <f t="shared" si="9"/>
        <v>82000</v>
      </c>
      <c r="F31" s="552">
        <f t="shared" si="9"/>
        <v>82000</v>
      </c>
      <c r="G31" s="552">
        <f t="shared" si="9"/>
        <v>82000</v>
      </c>
      <c r="H31" s="552">
        <f t="shared" si="9"/>
        <v>82000</v>
      </c>
      <c r="I31" s="552">
        <f t="shared" si="9"/>
        <v>82000</v>
      </c>
      <c r="J31" s="552">
        <f t="shared" si="9"/>
        <v>82000</v>
      </c>
      <c r="K31" s="552">
        <f t="shared" si="9"/>
        <v>82000</v>
      </c>
      <c r="L31" s="552">
        <f t="shared" si="9"/>
        <v>82000</v>
      </c>
      <c r="M31" s="552">
        <f t="shared" si="9"/>
        <v>82000</v>
      </c>
      <c r="N31" s="552">
        <f t="shared" si="9"/>
        <v>82000</v>
      </c>
      <c r="O31" s="552">
        <f t="shared" si="9"/>
        <v>82000</v>
      </c>
      <c r="P31" s="552">
        <f t="shared" si="9"/>
        <v>82000</v>
      </c>
      <c r="Q31" s="552">
        <f t="shared" si="9"/>
        <v>82000</v>
      </c>
      <c r="R31" s="552">
        <f t="shared" si="9"/>
        <v>82000</v>
      </c>
      <c r="S31" s="552">
        <f t="shared" si="9"/>
        <v>82000</v>
      </c>
      <c r="T31" s="552">
        <f t="shared" si="9"/>
        <v>82000</v>
      </c>
      <c r="U31" s="552">
        <f t="shared" si="9"/>
        <v>82000</v>
      </c>
      <c r="V31" s="552">
        <f t="shared" si="9"/>
        <v>82000</v>
      </c>
      <c r="W31" s="552">
        <f t="shared" si="9"/>
        <v>82000</v>
      </c>
      <c r="X31" s="552">
        <f t="shared" si="9"/>
        <v>82000</v>
      </c>
    </row>
    <row r="32" spans="2:29" ht="15" hidden="1" customHeight="1" x14ac:dyDescent="0.2">
      <c r="B32" s="550" t="s">
        <v>419</v>
      </c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</row>
    <row r="33" spans="2:29" ht="12.75" hidden="1" customHeight="1" x14ac:dyDescent="0.2">
      <c r="B33" s="552" t="s">
        <v>420</v>
      </c>
      <c r="C33" s="552"/>
      <c r="D33" s="553">
        <f>Q5</f>
        <v>2</v>
      </c>
      <c r="E33" s="552">
        <f>D36</f>
        <v>0</v>
      </c>
      <c r="F33" s="552">
        <f>E36</f>
        <v>0</v>
      </c>
      <c r="G33" s="552">
        <f t="shared" ref="G33:S33" si="10">F36</f>
        <v>0</v>
      </c>
      <c r="H33" s="552">
        <f t="shared" si="10"/>
        <v>0</v>
      </c>
      <c r="I33" s="552">
        <f t="shared" si="10"/>
        <v>0</v>
      </c>
      <c r="J33" s="552">
        <f t="shared" si="10"/>
        <v>0</v>
      </c>
      <c r="K33" s="552">
        <f t="shared" si="10"/>
        <v>0</v>
      </c>
      <c r="L33" s="552">
        <f t="shared" si="10"/>
        <v>0</v>
      </c>
      <c r="M33" s="552">
        <f t="shared" si="10"/>
        <v>0</v>
      </c>
      <c r="N33" s="552">
        <f t="shared" si="10"/>
        <v>0</v>
      </c>
      <c r="O33" s="552">
        <f t="shared" si="10"/>
        <v>0</v>
      </c>
      <c r="P33" s="552">
        <f t="shared" si="10"/>
        <v>0</v>
      </c>
      <c r="Q33" s="552">
        <f t="shared" si="10"/>
        <v>0</v>
      </c>
      <c r="R33" s="552">
        <f t="shared" si="10"/>
        <v>0</v>
      </c>
      <c r="S33" s="552">
        <f t="shared" si="10"/>
        <v>0</v>
      </c>
      <c r="T33" s="552">
        <f>S36</f>
        <v>0</v>
      </c>
      <c r="U33" s="552">
        <f>T36</f>
        <v>0</v>
      </c>
      <c r="V33" s="552">
        <f>U36</f>
        <v>0</v>
      </c>
      <c r="W33" s="552">
        <f>V36</f>
        <v>0</v>
      </c>
      <c r="X33" s="552">
        <f>W36</f>
        <v>0</v>
      </c>
    </row>
    <row r="34" spans="2:29" ht="12.75" hidden="1" customHeight="1" x14ac:dyDescent="0.2">
      <c r="B34" s="552" t="s">
        <v>421</v>
      </c>
      <c r="C34" s="552"/>
      <c r="D34" s="552">
        <f t="shared" ref="D34:X34" si="11">(D24*D33)/1000</f>
        <v>164</v>
      </c>
      <c r="E34" s="552">
        <f t="shared" si="11"/>
        <v>0</v>
      </c>
      <c r="F34" s="552">
        <f t="shared" si="11"/>
        <v>0</v>
      </c>
      <c r="G34" s="552">
        <f t="shared" si="11"/>
        <v>0</v>
      </c>
      <c r="H34" s="552">
        <f t="shared" si="11"/>
        <v>0</v>
      </c>
      <c r="I34" s="552">
        <f t="shared" si="11"/>
        <v>0</v>
      </c>
      <c r="J34" s="552">
        <f t="shared" si="11"/>
        <v>0</v>
      </c>
      <c r="K34" s="552">
        <f t="shared" si="11"/>
        <v>0</v>
      </c>
      <c r="L34" s="552">
        <f t="shared" si="11"/>
        <v>0</v>
      </c>
      <c r="M34" s="552">
        <f t="shared" si="11"/>
        <v>0</v>
      </c>
      <c r="N34" s="552">
        <f t="shared" si="11"/>
        <v>0</v>
      </c>
      <c r="O34" s="552">
        <f t="shared" si="11"/>
        <v>0</v>
      </c>
      <c r="P34" s="552">
        <f t="shared" si="11"/>
        <v>0</v>
      </c>
      <c r="Q34" s="552">
        <f t="shared" si="11"/>
        <v>0</v>
      </c>
      <c r="R34" s="552">
        <f t="shared" si="11"/>
        <v>0</v>
      </c>
      <c r="S34" s="552">
        <f t="shared" si="11"/>
        <v>0</v>
      </c>
      <c r="T34" s="552">
        <f t="shared" si="11"/>
        <v>0</v>
      </c>
      <c r="U34" s="552">
        <f t="shared" si="11"/>
        <v>0</v>
      </c>
      <c r="V34" s="552">
        <f t="shared" si="11"/>
        <v>0</v>
      </c>
      <c r="W34" s="552">
        <f t="shared" si="11"/>
        <v>0</v>
      </c>
      <c r="X34" s="552">
        <f t="shared" si="11"/>
        <v>0</v>
      </c>
    </row>
    <row r="35" spans="2:29" ht="12.75" hidden="1" customHeight="1" x14ac:dyDescent="0.2">
      <c r="B35" s="552" t="s">
        <v>422</v>
      </c>
      <c r="C35" s="552"/>
      <c r="D35" s="552">
        <f t="shared" ref="D35:X35" si="12">((D36/D33)^(1/D18)-1)*100</f>
        <v>-100</v>
      </c>
      <c r="E35" s="552" t="e">
        <f t="shared" si="12"/>
        <v>#DIV/0!</v>
      </c>
      <c r="F35" s="552" t="e">
        <f t="shared" si="12"/>
        <v>#DIV/0!</v>
      </c>
      <c r="G35" s="552" t="e">
        <f t="shared" si="12"/>
        <v>#DIV/0!</v>
      </c>
      <c r="H35" s="552" t="e">
        <f t="shared" si="12"/>
        <v>#DIV/0!</v>
      </c>
      <c r="I35" s="552" t="e">
        <f t="shared" si="12"/>
        <v>#DIV/0!</v>
      </c>
      <c r="J35" s="552" t="e">
        <f t="shared" si="12"/>
        <v>#DIV/0!</v>
      </c>
      <c r="K35" s="552" t="e">
        <f t="shared" si="12"/>
        <v>#DIV/0!</v>
      </c>
      <c r="L35" s="552" t="e">
        <f t="shared" si="12"/>
        <v>#DIV/0!</v>
      </c>
      <c r="M35" s="552" t="e">
        <f t="shared" si="12"/>
        <v>#DIV/0!</v>
      </c>
      <c r="N35" s="552" t="e">
        <f t="shared" si="12"/>
        <v>#DIV/0!</v>
      </c>
      <c r="O35" s="552" t="e">
        <f t="shared" si="12"/>
        <v>#DIV/0!</v>
      </c>
      <c r="P35" s="552" t="e">
        <f t="shared" si="12"/>
        <v>#DIV/0!</v>
      </c>
      <c r="Q35" s="552" t="e">
        <f t="shared" si="12"/>
        <v>#DIV/0!</v>
      </c>
      <c r="R35" s="552" t="e">
        <f t="shared" si="12"/>
        <v>#DIV/0!</v>
      </c>
      <c r="S35" s="552" t="e">
        <f t="shared" si="12"/>
        <v>#DIV/0!</v>
      </c>
      <c r="T35" s="552" t="e">
        <f t="shared" si="12"/>
        <v>#DIV/0!</v>
      </c>
      <c r="U35" s="552" t="e">
        <f t="shared" si="12"/>
        <v>#DIV/0!</v>
      </c>
      <c r="V35" s="552" t="e">
        <f t="shared" si="12"/>
        <v>#DIV/0!</v>
      </c>
      <c r="W35" s="552" t="e">
        <f t="shared" si="12"/>
        <v>#DIV/0!</v>
      </c>
      <c r="X35" s="552" t="e">
        <f t="shared" si="12"/>
        <v>#DIV/0!</v>
      </c>
    </row>
    <row r="36" spans="2:29" ht="15" hidden="1" customHeight="1" x14ac:dyDescent="0.2">
      <c r="B36" s="553" t="s">
        <v>423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</row>
    <row r="37" spans="2:29" ht="15" hidden="1" customHeight="1" x14ac:dyDescent="0.2">
      <c r="B37" s="553" t="s">
        <v>424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</row>
    <row r="38" spans="2:29" ht="15" hidden="1" customHeight="1" x14ac:dyDescent="0.2">
      <c r="B38" s="553" t="s">
        <v>425</v>
      </c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</row>
    <row r="39" spans="2:29" ht="15" hidden="1" customHeight="1" x14ac:dyDescent="0.2">
      <c r="B39" s="552" t="s">
        <v>426</v>
      </c>
      <c r="C39" s="552"/>
      <c r="D39" s="552">
        <f t="shared" ref="D39:O39" si="13">(D31*D36)/1000</f>
        <v>0</v>
      </c>
      <c r="E39" s="552">
        <f t="shared" si="13"/>
        <v>0</v>
      </c>
      <c r="F39" s="552">
        <f t="shared" si="13"/>
        <v>0</v>
      </c>
      <c r="G39" s="552">
        <f t="shared" si="13"/>
        <v>0</v>
      </c>
      <c r="H39" s="552">
        <f t="shared" si="13"/>
        <v>0</v>
      </c>
      <c r="I39" s="552">
        <f t="shared" si="13"/>
        <v>0</v>
      </c>
      <c r="J39" s="552">
        <f t="shared" si="13"/>
        <v>0</v>
      </c>
      <c r="K39" s="552">
        <f t="shared" si="13"/>
        <v>0</v>
      </c>
      <c r="L39" s="552">
        <f t="shared" si="13"/>
        <v>0</v>
      </c>
      <c r="M39" s="552">
        <f t="shared" si="13"/>
        <v>0</v>
      </c>
      <c r="N39" s="552">
        <f t="shared" si="13"/>
        <v>0</v>
      </c>
      <c r="O39" s="552">
        <f t="shared" si="13"/>
        <v>0</v>
      </c>
      <c r="P39" s="552"/>
      <c r="Q39" s="552"/>
      <c r="R39" s="552"/>
      <c r="S39" s="552"/>
      <c r="T39" s="552"/>
      <c r="U39" s="552"/>
      <c r="V39" s="552"/>
      <c r="W39" s="552"/>
      <c r="X39" s="552"/>
    </row>
    <row r="40" spans="2:29" ht="15" hidden="1" customHeight="1" x14ac:dyDescent="0.2">
      <c r="B40" s="550" t="s">
        <v>427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0"/>
      <c r="X40" s="550"/>
    </row>
    <row r="41" spans="2:29" ht="12.75" hidden="1" customHeight="1" x14ac:dyDescent="0.2">
      <c r="B41" s="553" t="s">
        <v>428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</row>
    <row r="42" spans="2:29" ht="12.75" hidden="1" customHeight="1" x14ac:dyDescent="0.2">
      <c r="B42" s="552" t="s">
        <v>429</v>
      </c>
      <c r="C42" s="552"/>
      <c r="D42" s="552">
        <f t="shared" ref="D42:X42" si="14">IF(D41&gt;0,(D41/(D39-D34)),(0))</f>
        <v>0</v>
      </c>
      <c r="E42" s="552">
        <f t="shared" si="14"/>
        <v>0</v>
      </c>
      <c r="F42" s="552">
        <f t="shared" si="14"/>
        <v>0</v>
      </c>
      <c r="G42" s="552">
        <f t="shared" si="14"/>
        <v>0</v>
      </c>
      <c r="H42" s="552">
        <f t="shared" si="14"/>
        <v>0</v>
      </c>
      <c r="I42" s="552">
        <f t="shared" si="14"/>
        <v>0</v>
      </c>
      <c r="J42" s="552">
        <f t="shared" si="14"/>
        <v>0</v>
      </c>
      <c r="K42" s="552">
        <f t="shared" si="14"/>
        <v>0</v>
      </c>
      <c r="L42" s="552">
        <f t="shared" si="14"/>
        <v>0</v>
      </c>
      <c r="M42" s="552">
        <f t="shared" si="14"/>
        <v>0</v>
      </c>
      <c r="N42" s="552">
        <f t="shared" si="14"/>
        <v>0</v>
      </c>
      <c r="O42" s="552">
        <f t="shared" si="14"/>
        <v>0</v>
      </c>
      <c r="P42" s="552">
        <f t="shared" si="14"/>
        <v>0</v>
      </c>
      <c r="Q42" s="552">
        <f t="shared" si="14"/>
        <v>0</v>
      </c>
      <c r="R42" s="552">
        <f t="shared" si="14"/>
        <v>0</v>
      </c>
      <c r="S42" s="552">
        <f t="shared" si="14"/>
        <v>0</v>
      </c>
      <c r="T42" s="552">
        <f t="shared" si="14"/>
        <v>0</v>
      </c>
      <c r="U42" s="552">
        <f t="shared" si="14"/>
        <v>0</v>
      </c>
      <c r="V42" s="552">
        <f t="shared" si="14"/>
        <v>0</v>
      </c>
      <c r="W42" s="552">
        <f t="shared" si="14"/>
        <v>0</v>
      </c>
      <c r="X42" s="552">
        <f t="shared" si="14"/>
        <v>0</v>
      </c>
    </row>
    <row r="43" spans="2:29" s="265" customFormat="1" ht="12.75" hidden="1" customHeight="1" x14ac:dyDescent="0.2">
      <c r="B43" s="552" t="s">
        <v>430</v>
      </c>
      <c r="C43" s="552"/>
      <c r="D43" s="552">
        <f>D41</f>
        <v>0</v>
      </c>
      <c r="E43" s="552">
        <f>(D43+E41)</f>
        <v>0</v>
      </c>
      <c r="F43" s="552">
        <f>(E43+F41)</f>
        <v>0</v>
      </c>
      <c r="G43" s="552">
        <f t="shared" ref="G43:T43" si="15">(F43+G41)</f>
        <v>0</v>
      </c>
      <c r="H43" s="552">
        <f t="shared" si="15"/>
        <v>0</v>
      </c>
      <c r="I43" s="552">
        <f t="shared" si="15"/>
        <v>0</v>
      </c>
      <c r="J43" s="552">
        <f t="shared" si="15"/>
        <v>0</v>
      </c>
      <c r="K43" s="552">
        <f t="shared" si="15"/>
        <v>0</v>
      </c>
      <c r="L43" s="552">
        <f t="shared" si="15"/>
        <v>0</v>
      </c>
      <c r="M43" s="552">
        <f t="shared" si="15"/>
        <v>0</v>
      </c>
      <c r="N43" s="552">
        <f t="shared" si="15"/>
        <v>0</v>
      </c>
      <c r="O43" s="552">
        <f t="shared" si="15"/>
        <v>0</v>
      </c>
      <c r="P43" s="552">
        <f t="shared" si="15"/>
        <v>0</v>
      </c>
      <c r="Q43" s="552">
        <f t="shared" si="15"/>
        <v>0</v>
      </c>
      <c r="R43" s="552">
        <f t="shared" si="15"/>
        <v>0</v>
      </c>
      <c r="S43" s="552">
        <f t="shared" si="15"/>
        <v>0</v>
      </c>
      <c r="T43" s="552">
        <f t="shared" si="15"/>
        <v>0</v>
      </c>
      <c r="U43" s="552">
        <f>(T43+U41)</f>
        <v>0</v>
      </c>
      <c r="V43" s="552">
        <f>(U43+V41)</f>
        <v>0</v>
      </c>
      <c r="W43" s="552">
        <f>(V43+W41)</f>
        <v>0</v>
      </c>
      <c r="X43" s="552">
        <f>(W43+X41)</f>
        <v>0</v>
      </c>
    </row>
    <row r="44" spans="2:29" s="265" customFormat="1" ht="15" hidden="1" customHeight="1" x14ac:dyDescent="0.2">
      <c r="B44" s="552" t="s">
        <v>431</v>
      </c>
      <c r="C44" s="552"/>
      <c r="D44" s="552">
        <f>D42</f>
        <v>0</v>
      </c>
      <c r="E44" s="552">
        <f t="shared" ref="E44:X44" si="16">IF(E41&gt;0,(E43/(E39-$D34)),(0))</f>
        <v>0</v>
      </c>
      <c r="F44" s="552">
        <f t="shared" si="16"/>
        <v>0</v>
      </c>
      <c r="G44" s="552">
        <f t="shared" si="16"/>
        <v>0</v>
      </c>
      <c r="H44" s="552">
        <f t="shared" si="16"/>
        <v>0</v>
      </c>
      <c r="I44" s="552">
        <f t="shared" si="16"/>
        <v>0</v>
      </c>
      <c r="J44" s="552">
        <f t="shared" si="16"/>
        <v>0</v>
      </c>
      <c r="K44" s="552">
        <f t="shared" si="16"/>
        <v>0</v>
      </c>
      <c r="L44" s="552">
        <f t="shared" si="16"/>
        <v>0</v>
      </c>
      <c r="M44" s="552">
        <f t="shared" si="16"/>
        <v>0</v>
      </c>
      <c r="N44" s="552">
        <f t="shared" si="16"/>
        <v>0</v>
      </c>
      <c r="O44" s="552">
        <f t="shared" si="16"/>
        <v>0</v>
      </c>
      <c r="P44" s="552">
        <f t="shared" si="16"/>
        <v>0</v>
      </c>
      <c r="Q44" s="552">
        <f t="shared" si="16"/>
        <v>0</v>
      </c>
      <c r="R44" s="552">
        <f t="shared" si="16"/>
        <v>0</v>
      </c>
      <c r="S44" s="552">
        <f t="shared" si="16"/>
        <v>0</v>
      </c>
      <c r="T44" s="552">
        <f t="shared" si="16"/>
        <v>0</v>
      </c>
      <c r="U44" s="552">
        <f t="shared" si="16"/>
        <v>0</v>
      </c>
      <c r="V44" s="552">
        <f t="shared" si="16"/>
        <v>0</v>
      </c>
      <c r="W44" s="552">
        <f t="shared" si="16"/>
        <v>0</v>
      </c>
      <c r="X44" s="552">
        <f t="shared" si="16"/>
        <v>0</v>
      </c>
    </row>
    <row r="45" spans="2:29" ht="15" hidden="1" customHeight="1" x14ac:dyDescent="0.2"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</row>
    <row r="46" spans="2:29" s="198" customFormat="1" ht="13.5" hidden="1" thickBot="1" x14ac:dyDescent="0.25">
      <c r="B46" s="1419"/>
      <c r="C46" s="1419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5"/>
      <c r="U46" s="555"/>
      <c r="V46" s="555"/>
      <c r="W46" s="555"/>
      <c r="X46" s="555"/>
    </row>
    <row r="47" spans="2:29" ht="16.5" thickBot="1" x14ac:dyDescent="0.3">
      <c r="B47" s="5" t="s">
        <v>432</v>
      </c>
    </row>
    <row r="48" spans="2:29" ht="15" customHeight="1" thickBot="1" x14ac:dyDescent="0.3">
      <c r="B48" s="550" t="s">
        <v>466</v>
      </c>
      <c r="C48" s="550"/>
      <c r="D48" s="1400" t="s">
        <v>473</v>
      </c>
      <c r="E48" s="1401"/>
      <c r="F48" s="1402"/>
      <c r="G48" s="1403" t="s">
        <v>578</v>
      </c>
      <c r="H48" s="1404"/>
      <c r="I48" s="1404"/>
      <c r="J48" s="1404"/>
      <c r="K48" s="1404"/>
      <c r="L48" s="1404"/>
      <c r="M48" s="1404"/>
      <c r="N48" s="1404"/>
      <c r="O48" s="1404"/>
      <c r="P48" s="1404"/>
      <c r="Q48" s="1404"/>
      <c r="R48" s="1404"/>
      <c r="S48" s="1404"/>
      <c r="T48" s="1404"/>
      <c r="U48" s="1404"/>
      <c r="V48" s="1404"/>
      <c r="W48" s="1404"/>
      <c r="X48" s="1404"/>
      <c r="Y48" s="1404"/>
      <c r="Z48" s="1404"/>
      <c r="AA48" s="1404"/>
      <c r="AB48" s="1404"/>
      <c r="AC48" s="1426"/>
    </row>
    <row r="49" spans="2:29" ht="12.75" customHeight="1" x14ac:dyDescent="0.2">
      <c r="B49" s="552" t="s">
        <v>411</v>
      </c>
      <c r="C49" s="552"/>
      <c r="D49" s="784">
        <f>Q4</f>
        <v>82000</v>
      </c>
      <c r="E49" s="861">
        <f>D55</f>
        <v>77080</v>
      </c>
      <c r="F49" s="1067">
        <f>E55</f>
        <v>70219.88</v>
      </c>
      <c r="G49" s="784">
        <f t="shared" ref="G49:S49" si="17">F55</f>
        <v>66006.6872</v>
      </c>
      <c r="H49" s="861">
        <f t="shared" si="17"/>
        <v>63366.419712000003</v>
      </c>
      <c r="I49" s="1086">
        <f t="shared" si="17"/>
        <v>60831.76292352</v>
      </c>
      <c r="J49" s="1086">
        <f t="shared" si="17"/>
        <v>59554.295902126083</v>
      </c>
      <c r="K49" s="1086">
        <f t="shared" si="17"/>
        <v>58303.655688181432</v>
      </c>
      <c r="L49" s="1086">
        <f t="shared" si="17"/>
        <v>57604.011819923253</v>
      </c>
      <c r="M49" s="1086">
        <f t="shared" si="17"/>
        <v>57488.803796283406</v>
      </c>
      <c r="N49" s="1086">
        <f t="shared" si="17"/>
        <v>57373.826188690837</v>
      </c>
      <c r="O49" s="1086">
        <f t="shared" si="17"/>
        <v>57259.078536313456</v>
      </c>
      <c r="P49" s="1086">
        <f t="shared" si="17"/>
        <v>57144.560379240829</v>
      </c>
      <c r="Q49" s="1086">
        <f t="shared" si="17"/>
        <v>57030.271258482346</v>
      </c>
      <c r="R49" s="1086">
        <f t="shared" si="17"/>
        <v>56916.210715965382</v>
      </c>
      <c r="S49" s="1086">
        <f t="shared" si="17"/>
        <v>56802.378294533453</v>
      </c>
      <c r="T49" s="1086">
        <f>S55</f>
        <v>56688.773537944384</v>
      </c>
      <c r="U49" s="1086">
        <f>T55</f>
        <v>56575.395990868492</v>
      </c>
      <c r="V49" s="1086">
        <f t="shared" ref="V49:X49" si="18">U55</f>
        <v>56462.245198886754</v>
      </c>
      <c r="W49" s="1086">
        <f t="shared" si="18"/>
        <v>56349.32070848898</v>
      </c>
      <c r="X49" s="1086">
        <f t="shared" si="18"/>
        <v>56236.622067071999</v>
      </c>
      <c r="Y49" s="1086">
        <f t="shared" ref="Y49" si="19">X55</f>
        <v>56124.148822937852</v>
      </c>
      <c r="Z49" s="1086">
        <f t="shared" ref="Z49" si="20">Y55</f>
        <v>56011.900525291974</v>
      </c>
      <c r="AA49" s="1086">
        <f t="shared" ref="AA49:AC49" si="21">Z55</f>
        <v>55899.876724241389</v>
      </c>
      <c r="AB49" s="1086">
        <f t="shared" si="21"/>
        <v>35788.076970792907</v>
      </c>
      <c r="AC49" s="869">
        <f t="shared" si="21"/>
        <v>15716.500816851323</v>
      </c>
    </row>
    <row r="50" spans="2:29" s="265" customFormat="1" ht="12.75" customHeight="1" x14ac:dyDescent="0.2">
      <c r="B50" s="552" t="s">
        <v>413</v>
      </c>
      <c r="C50" s="552"/>
      <c r="D50" s="785">
        <f t="shared" ref="D50:Y50" si="22">D49*D52</f>
        <v>4920</v>
      </c>
      <c r="E50" s="772">
        <f t="shared" si="22"/>
        <v>6860.12</v>
      </c>
      <c r="F50" s="1068">
        <f t="shared" si="22"/>
        <v>4213.1927999999998</v>
      </c>
      <c r="G50" s="785">
        <f t="shared" si="22"/>
        <v>2640.267488</v>
      </c>
      <c r="H50" s="772">
        <f t="shared" si="22"/>
        <v>2534.6567884800002</v>
      </c>
      <c r="I50" s="552">
        <f t="shared" si="22"/>
        <v>1277.46702139392</v>
      </c>
      <c r="J50" s="552">
        <f t="shared" si="22"/>
        <v>1250.6402139446477</v>
      </c>
      <c r="K50" s="552">
        <f t="shared" si="22"/>
        <v>699.64386825817724</v>
      </c>
      <c r="L50" s="552">
        <f t="shared" si="22"/>
        <v>115.2080236398465</v>
      </c>
      <c r="M50" s="552">
        <f t="shared" si="22"/>
        <v>114.97760759256681</v>
      </c>
      <c r="N50" s="552">
        <f t="shared" si="22"/>
        <v>114.74765237738167</v>
      </c>
      <c r="O50" s="552">
        <f t="shared" si="22"/>
        <v>114.51815707262692</v>
      </c>
      <c r="P50" s="552">
        <f t="shared" si="22"/>
        <v>114.28912075848166</v>
      </c>
      <c r="Q50" s="552">
        <f t="shared" si="22"/>
        <v>114.06054251696469</v>
      </c>
      <c r="R50" s="552">
        <f t="shared" si="22"/>
        <v>113.83242143193077</v>
      </c>
      <c r="S50" s="552">
        <f t="shared" si="22"/>
        <v>113.60475658906691</v>
      </c>
      <c r="T50" s="552">
        <f t="shared" si="22"/>
        <v>113.37754707588877</v>
      </c>
      <c r="U50" s="552">
        <f t="shared" si="22"/>
        <v>113.15079198173699</v>
      </c>
      <c r="V50" s="552">
        <f t="shared" si="22"/>
        <v>112.92449039777351</v>
      </c>
      <c r="W50" s="552">
        <f t="shared" si="22"/>
        <v>112.69864141697796</v>
      </c>
      <c r="X50" s="552">
        <f t="shared" si="22"/>
        <v>112.473244134144</v>
      </c>
      <c r="Y50" s="552">
        <f t="shared" si="22"/>
        <v>112.24829764587571</v>
      </c>
      <c r="Z50" s="552">
        <f t="shared" ref="Z50:AA50" si="23">Z49*Z52</f>
        <v>112.02380105058396</v>
      </c>
      <c r="AA50" s="552">
        <f t="shared" si="23"/>
        <v>111.79975344848278</v>
      </c>
      <c r="AB50" s="552">
        <f t="shared" ref="AB50:AC50" si="24">AB49*AB52</f>
        <v>71.576153941585815</v>
      </c>
      <c r="AC50" s="863">
        <f t="shared" si="24"/>
        <v>31.433001633702649</v>
      </c>
    </row>
    <row r="51" spans="2:29" s="265" customFormat="1" ht="15" customHeight="1" x14ac:dyDescent="0.2">
      <c r="B51" s="552" t="s">
        <v>532</v>
      </c>
      <c r="C51" s="552"/>
      <c r="D51" s="785">
        <f>D50</f>
        <v>4920</v>
      </c>
      <c r="E51" s="772">
        <f>D51+E50</f>
        <v>11780.119999999999</v>
      </c>
      <c r="F51" s="1068">
        <f t="shared" ref="F51:S51" si="25">E51+F50</f>
        <v>15993.3128</v>
      </c>
      <c r="G51" s="785">
        <f t="shared" si="25"/>
        <v>18633.580288000001</v>
      </c>
      <c r="H51" s="772">
        <f t="shared" si="25"/>
        <v>21168.23707648</v>
      </c>
      <c r="I51" s="552">
        <f t="shared" si="25"/>
        <v>22445.704097873921</v>
      </c>
      <c r="J51" s="552">
        <f t="shared" si="25"/>
        <v>23696.344311818568</v>
      </c>
      <c r="K51" s="552">
        <f t="shared" si="25"/>
        <v>24395.988180076743</v>
      </c>
      <c r="L51" s="552">
        <f t="shared" si="25"/>
        <v>24511.19620371659</v>
      </c>
      <c r="M51" s="552">
        <f t="shared" si="25"/>
        <v>24626.173811309156</v>
      </c>
      <c r="N51" s="552">
        <f t="shared" si="25"/>
        <v>24740.921463686536</v>
      </c>
      <c r="O51" s="552">
        <f t="shared" si="25"/>
        <v>24855.439620759164</v>
      </c>
      <c r="P51" s="552">
        <f t="shared" si="25"/>
        <v>24969.728741517647</v>
      </c>
      <c r="Q51" s="552">
        <f t="shared" si="25"/>
        <v>25083.78928403461</v>
      </c>
      <c r="R51" s="552">
        <f t="shared" si="25"/>
        <v>25197.621705466539</v>
      </c>
      <c r="S51" s="552">
        <f t="shared" si="25"/>
        <v>25311.226462055605</v>
      </c>
      <c r="T51" s="552">
        <f>S51+T50</f>
        <v>25424.604009131494</v>
      </c>
      <c r="U51" s="552">
        <f>T51+U50</f>
        <v>25537.754801113231</v>
      </c>
      <c r="V51" s="552">
        <f t="shared" ref="V51:X51" si="26">U51+V50</f>
        <v>25650.679291511005</v>
      </c>
      <c r="W51" s="552">
        <f t="shared" si="26"/>
        <v>25763.377932927982</v>
      </c>
      <c r="X51" s="552">
        <f t="shared" si="26"/>
        <v>25875.851177062126</v>
      </c>
      <c r="Y51" s="552">
        <f t="shared" ref="Y51" si="27">X51+Y50</f>
        <v>25988.099474708</v>
      </c>
      <c r="Z51" s="552">
        <f t="shared" ref="Z51" si="28">Y51+Z50</f>
        <v>26100.123275758586</v>
      </c>
      <c r="AA51" s="552">
        <f t="shared" ref="AA51:AC51" si="29">Z51+AA50</f>
        <v>26211.923029207068</v>
      </c>
      <c r="AB51" s="552">
        <f t="shared" si="29"/>
        <v>26283.499183148655</v>
      </c>
      <c r="AC51" s="863">
        <f t="shared" si="29"/>
        <v>26314.932184782359</v>
      </c>
    </row>
    <row r="52" spans="2:29" s="265" customFormat="1" ht="15" customHeight="1" x14ac:dyDescent="0.2">
      <c r="B52" s="552" t="s">
        <v>533</v>
      </c>
      <c r="C52" s="552"/>
      <c r="D52" s="786">
        <f>VLOOKUP(D58,'Input data'!$F$6:$H$51,3,FALSE)</f>
        <v>0.06</v>
      </c>
      <c r="E52" s="773">
        <f>VLOOKUP(E59,'Input data'!$F$6:$H$51,3,FALSE)</f>
        <v>8.8999999999999996E-2</v>
      </c>
      <c r="F52" s="1084">
        <f>VLOOKUP(F59,'Input data'!$F$6:$H$51,3,FALSE)</f>
        <v>0.06</v>
      </c>
      <c r="G52" s="786">
        <f>VLOOKUP(G59,'Input data'!$F$6:$H$51,3,FALSE)</f>
        <v>0.04</v>
      </c>
      <c r="H52" s="773">
        <f>VLOOKUP(H59,'Input data'!$F$6:$H$51,3,FALSE)</f>
        <v>0.04</v>
      </c>
      <c r="I52" s="556">
        <f>VLOOKUP(I59,'Input data'!$F$6:$H$51,3,FALSE)</f>
        <v>2.1000000000000001E-2</v>
      </c>
      <c r="J52" s="556">
        <f>VLOOKUP(J59,'Input data'!$F$6:$H$51,3,FALSE)</f>
        <v>2.1000000000000001E-2</v>
      </c>
      <c r="K52" s="556">
        <f>VLOOKUP(K59,'Input data'!$F$6:$H$51,3,FALSE)</f>
        <v>1.2E-2</v>
      </c>
      <c r="L52" s="556">
        <f>VLOOKUP(L59,'Input data'!$F$6:$H$51,3,FALSE)</f>
        <v>2E-3</v>
      </c>
      <c r="M52" s="556">
        <f>VLOOKUP(M59,'Input data'!$F$6:$H$51,3,FALSE)</f>
        <v>2E-3</v>
      </c>
      <c r="N52" s="556">
        <f>VLOOKUP(N59,'Input data'!$F$6:$H$51,3,FALSE)</f>
        <v>2E-3</v>
      </c>
      <c r="O52" s="556">
        <f>VLOOKUP(O59,'Input data'!$F$6:$H$51,3,FALSE)</f>
        <v>2E-3</v>
      </c>
      <c r="P52" s="556">
        <f>VLOOKUP(P59,'Input data'!$F$6:$H$51,3,FALSE)</f>
        <v>2E-3</v>
      </c>
      <c r="Q52" s="556">
        <f>VLOOKUP(Q59,'Input data'!$F$6:$H$51,3,FALSE)</f>
        <v>2E-3</v>
      </c>
      <c r="R52" s="556">
        <f>VLOOKUP(R59,'Input data'!$F$6:$H$51,3,FALSE)</f>
        <v>2E-3</v>
      </c>
      <c r="S52" s="556">
        <f>VLOOKUP(S59,'Input data'!$F$6:$H$51,3,FALSE)</f>
        <v>2E-3</v>
      </c>
      <c r="T52" s="556">
        <f>VLOOKUP(T59,'Input data'!$F$6:$H$51,3,FALSE)</f>
        <v>2E-3</v>
      </c>
      <c r="U52" s="556">
        <f>VLOOKUP(U59,'Input data'!$F$6:$H$51,3,FALSE)</f>
        <v>2E-3</v>
      </c>
      <c r="V52" s="556">
        <f>VLOOKUP(V59,'Input data'!$F$6:$H$51,3,FALSE)</f>
        <v>2E-3</v>
      </c>
      <c r="W52" s="556">
        <f>VLOOKUP(W59,'Input data'!$F$6:$H$51,3,FALSE)</f>
        <v>2E-3</v>
      </c>
      <c r="X52" s="556">
        <f>VLOOKUP(X59,'Input data'!$F$6:$H$51,3,FALSE)</f>
        <v>2E-3</v>
      </c>
      <c r="Y52" s="556">
        <f>VLOOKUP(Y59,'Input data'!$F$6:$H$51,3,FALSE)</f>
        <v>2E-3</v>
      </c>
      <c r="Z52" s="556">
        <f>VLOOKUP(Z59,'Input data'!$F$6:$H$51,3,FALSE)</f>
        <v>2E-3</v>
      </c>
      <c r="AA52" s="556">
        <f>VLOOKUP(AA59,'Input data'!$F$6:$H$51,3,FALSE)</f>
        <v>2E-3</v>
      </c>
      <c r="AB52" s="556">
        <f>VLOOKUP(AB59,'Input data'!$F$6:$H$51,3,FALSE)</f>
        <v>2E-3</v>
      </c>
      <c r="AC52" s="864">
        <f>VLOOKUP(AC59,'Input data'!$F$6:$H$51,3,FALSE)</f>
        <v>2E-3</v>
      </c>
    </row>
    <row r="53" spans="2:29" s="265" customFormat="1" ht="15" customHeight="1" x14ac:dyDescent="0.2">
      <c r="B53" s="552" t="s">
        <v>416</v>
      </c>
      <c r="C53" s="552"/>
      <c r="D53" s="787">
        <f t="shared" ref="D53:Y53" si="30">D51/$D49</f>
        <v>0.06</v>
      </c>
      <c r="E53" s="774">
        <f t="shared" si="30"/>
        <v>0.14365999999999998</v>
      </c>
      <c r="F53" s="1070">
        <f t="shared" si="30"/>
        <v>0.1950404</v>
      </c>
      <c r="G53" s="787">
        <f t="shared" si="30"/>
        <v>0.227238784</v>
      </c>
      <c r="H53" s="774">
        <f t="shared" si="30"/>
        <v>0.25814923264</v>
      </c>
      <c r="I53" s="651">
        <f t="shared" si="30"/>
        <v>0.27372809875456</v>
      </c>
      <c r="J53" s="651">
        <f t="shared" si="30"/>
        <v>0.28897980868071427</v>
      </c>
      <c r="K53" s="651">
        <f t="shared" si="30"/>
        <v>0.29751205097654565</v>
      </c>
      <c r="L53" s="651">
        <f t="shared" si="30"/>
        <v>0.29891702687459254</v>
      </c>
      <c r="M53" s="651">
        <f t="shared" si="30"/>
        <v>0.30031919282084335</v>
      </c>
      <c r="N53" s="651">
        <f t="shared" si="30"/>
        <v>0.30171855443520168</v>
      </c>
      <c r="O53" s="651">
        <f t="shared" si="30"/>
        <v>0.30311511732633128</v>
      </c>
      <c r="P53" s="651">
        <f t="shared" si="30"/>
        <v>0.30450888709167862</v>
      </c>
      <c r="Q53" s="651">
        <f t="shared" si="30"/>
        <v>0.30589986931749524</v>
      </c>
      <c r="R53" s="651">
        <f t="shared" si="30"/>
        <v>0.30728806957886023</v>
      </c>
      <c r="S53" s="651">
        <f t="shared" si="30"/>
        <v>0.30867349343970252</v>
      </c>
      <c r="T53" s="651">
        <f t="shared" si="30"/>
        <v>0.31005614645282309</v>
      </c>
      <c r="U53" s="651">
        <f t="shared" si="30"/>
        <v>0.31143603415991744</v>
      </c>
      <c r="V53" s="651">
        <f t="shared" si="30"/>
        <v>0.31281316209159765</v>
      </c>
      <c r="W53" s="651">
        <f t="shared" si="30"/>
        <v>0.31418753576741443</v>
      </c>
      <c r="X53" s="651">
        <f t="shared" si="30"/>
        <v>0.31555916069587958</v>
      </c>
      <c r="Y53" s="651">
        <f t="shared" si="30"/>
        <v>0.3169280423744878</v>
      </c>
      <c r="Z53" s="651">
        <f t="shared" ref="Z53:AA53" si="31">Z51/$D49</f>
        <v>0.31829418628973888</v>
      </c>
      <c r="AA53" s="651">
        <f t="shared" si="31"/>
        <v>0.31965759791715936</v>
      </c>
      <c r="AB53" s="651">
        <f t="shared" ref="AB53:AC53" si="32">AB51/$D49</f>
        <v>0.32053047784327626</v>
      </c>
      <c r="AC53" s="865">
        <f t="shared" si="32"/>
        <v>0.3209138071314922</v>
      </c>
    </row>
    <row r="54" spans="2:29" x14ac:dyDescent="0.2">
      <c r="B54" s="552" t="s">
        <v>417</v>
      </c>
      <c r="C54" s="552"/>
      <c r="D54" s="785">
        <f t="shared" ref="D54:Y54" si="33">IF(D57&gt;$Q$7,IF(D49&gt;$Q$6,$Q$6,D49-D50),0)</f>
        <v>0</v>
      </c>
      <c r="E54" s="772">
        <f t="shared" si="33"/>
        <v>0</v>
      </c>
      <c r="F54" s="1068">
        <f t="shared" si="33"/>
        <v>0</v>
      </c>
      <c r="G54" s="785">
        <f t="shared" si="33"/>
        <v>0</v>
      </c>
      <c r="H54" s="772">
        <f t="shared" si="33"/>
        <v>0</v>
      </c>
      <c r="I54" s="552">
        <f t="shared" si="33"/>
        <v>0</v>
      </c>
      <c r="J54" s="552">
        <f t="shared" si="33"/>
        <v>0</v>
      </c>
      <c r="K54" s="552">
        <f t="shared" si="33"/>
        <v>0</v>
      </c>
      <c r="L54" s="552">
        <f t="shared" si="33"/>
        <v>0</v>
      </c>
      <c r="M54" s="552">
        <f t="shared" si="33"/>
        <v>0</v>
      </c>
      <c r="N54" s="552">
        <f t="shared" si="33"/>
        <v>0</v>
      </c>
      <c r="O54" s="552">
        <f t="shared" si="33"/>
        <v>0</v>
      </c>
      <c r="P54" s="552">
        <f t="shared" si="33"/>
        <v>0</v>
      </c>
      <c r="Q54" s="552">
        <f t="shared" si="33"/>
        <v>0</v>
      </c>
      <c r="R54" s="552">
        <f t="shared" si="33"/>
        <v>0</v>
      </c>
      <c r="S54" s="552">
        <f t="shared" si="33"/>
        <v>0</v>
      </c>
      <c r="T54" s="552">
        <f t="shared" si="33"/>
        <v>0</v>
      </c>
      <c r="U54" s="552">
        <f t="shared" si="33"/>
        <v>0</v>
      </c>
      <c r="V54" s="552">
        <f t="shared" si="33"/>
        <v>0</v>
      </c>
      <c r="W54" s="552">
        <f t="shared" si="33"/>
        <v>0</v>
      </c>
      <c r="X54" s="552">
        <f t="shared" si="33"/>
        <v>0</v>
      </c>
      <c r="Y54" s="552">
        <f t="shared" si="33"/>
        <v>0</v>
      </c>
      <c r="Z54" s="552">
        <f t="shared" ref="Z54:AA54" si="34">IF(Z57&gt;$Q$7,IF(Z49&gt;$Q$6,$Q$6,Z49-Z50),0)</f>
        <v>0</v>
      </c>
      <c r="AA54" s="552">
        <f t="shared" si="34"/>
        <v>20000</v>
      </c>
      <c r="AB54" s="552">
        <f t="shared" ref="AB54:AC54" si="35">IF(AB57&gt;$Q$7,IF(AB49&gt;$Q$6,$Q$6,AB49-AB50),0)</f>
        <v>20000</v>
      </c>
      <c r="AC54" s="863">
        <f t="shared" si="35"/>
        <v>15685.067815217621</v>
      </c>
    </row>
    <row r="55" spans="2:29" ht="15" customHeight="1" x14ac:dyDescent="0.2">
      <c r="B55" s="552" t="s">
        <v>418</v>
      </c>
      <c r="C55" s="552"/>
      <c r="D55" s="785">
        <f>D49-D50-D54</f>
        <v>77080</v>
      </c>
      <c r="E55" s="772">
        <f t="shared" ref="E55:Y55" si="36">E49-E50-E54</f>
        <v>70219.88</v>
      </c>
      <c r="F55" s="1068">
        <f t="shared" si="36"/>
        <v>66006.6872</v>
      </c>
      <c r="G55" s="785">
        <f t="shared" si="36"/>
        <v>63366.419712000003</v>
      </c>
      <c r="H55" s="772">
        <f t="shared" si="36"/>
        <v>60831.76292352</v>
      </c>
      <c r="I55" s="552">
        <f t="shared" si="36"/>
        <v>59554.295902126083</v>
      </c>
      <c r="J55" s="552">
        <f t="shared" si="36"/>
        <v>58303.655688181432</v>
      </c>
      <c r="K55" s="552">
        <f t="shared" si="36"/>
        <v>57604.011819923253</v>
      </c>
      <c r="L55" s="552">
        <f t="shared" si="36"/>
        <v>57488.803796283406</v>
      </c>
      <c r="M55" s="552">
        <f t="shared" si="36"/>
        <v>57373.826188690837</v>
      </c>
      <c r="N55" s="552">
        <f t="shared" si="36"/>
        <v>57259.078536313456</v>
      </c>
      <c r="O55" s="552">
        <f t="shared" si="36"/>
        <v>57144.560379240829</v>
      </c>
      <c r="P55" s="552">
        <f t="shared" si="36"/>
        <v>57030.271258482346</v>
      </c>
      <c r="Q55" s="552">
        <f t="shared" si="36"/>
        <v>56916.210715965382</v>
      </c>
      <c r="R55" s="552">
        <f t="shared" si="36"/>
        <v>56802.378294533453</v>
      </c>
      <c r="S55" s="552">
        <f t="shared" si="36"/>
        <v>56688.773537944384</v>
      </c>
      <c r="T55" s="552">
        <f t="shared" si="36"/>
        <v>56575.395990868492</v>
      </c>
      <c r="U55" s="552">
        <f t="shared" si="36"/>
        <v>56462.245198886754</v>
      </c>
      <c r="V55" s="552">
        <f t="shared" si="36"/>
        <v>56349.32070848898</v>
      </c>
      <c r="W55" s="552">
        <f t="shared" si="36"/>
        <v>56236.622067071999</v>
      </c>
      <c r="X55" s="552">
        <f t="shared" si="36"/>
        <v>56124.148822937852</v>
      </c>
      <c r="Y55" s="171">
        <f t="shared" si="36"/>
        <v>56011.900525291974</v>
      </c>
      <c r="Z55" s="171">
        <f t="shared" ref="Z55:AA55" si="37">Z49-Z50-Z54</f>
        <v>55899.876724241389</v>
      </c>
      <c r="AA55" s="171">
        <f t="shared" si="37"/>
        <v>35788.076970792907</v>
      </c>
      <c r="AB55" s="171">
        <f t="shared" ref="AB55:AC55" si="38">AB49-AB50-AB54</f>
        <v>15716.500816851323</v>
      </c>
      <c r="AC55" s="1089">
        <f t="shared" si="38"/>
        <v>0</v>
      </c>
    </row>
    <row r="56" spans="2:29" ht="15" customHeight="1" x14ac:dyDescent="0.2">
      <c r="B56" s="550" t="s">
        <v>433</v>
      </c>
      <c r="C56" s="550"/>
      <c r="D56" s="788"/>
      <c r="E56" s="771"/>
      <c r="F56" s="1071"/>
      <c r="G56" s="788"/>
      <c r="H56" s="771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887"/>
      <c r="Z56" s="887"/>
      <c r="AA56" s="887"/>
      <c r="AB56" s="887"/>
      <c r="AC56" s="1087"/>
    </row>
    <row r="57" spans="2:29" ht="12.75" customHeight="1" x14ac:dyDescent="0.2">
      <c r="B57" s="552" t="s">
        <v>434</v>
      </c>
      <c r="C57" s="552"/>
      <c r="D57" s="785">
        <f>Q5</f>
        <v>2</v>
      </c>
      <c r="E57" s="772">
        <f>D61</f>
        <v>5.0105549604983279</v>
      </c>
      <c r="F57" s="1068">
        <f>E61</f>
        <v>11.670723049880849</v>
      </c>
      <c r="G57" s="785">
        <f t="shared" ref="G57:L57" si="39">F61</f>
        <v>27.687832478818709</v>
      </c>
      <c r="H57" s="772">
        <f t="shared" si="39"/>
        <v>48.911553027692662</v>
      </c>
      <c r="I57" s="552">
        <f t="shared" si="39"/>
        <v>81.77468249671341</v>
      </c>
      <c r="J57" s="552">
        <f t="shared" si="39"/>
        <v>131.86437868258034</v>
      </c>
      <c r="K57" s="552">
        <f t="shared" si="39"/>
        <v>192.04806425574026</v>
      </c>
      <c r="L57" s="552">
        <f t="shared" si="39"/>
        <v>262.38480764314141</v>
      </c>
      <c r="M57" s="552">
        <f>L61</f>
        <v>325.26149563157531</v>
      </c>
      <c r="N57" s="552">
        <f t="shared" ref="N57:U57" si="40">M61</f>
        <v>387.93110959613045</v>
      </c>
      <c r="O57" s="552">
        <f t="shared" si="40"/>
        <v>462.67556355009225</v>
      </c>
      <c r="P57" s="552">
        <f t="shared" si="40"/>
        <v>539.4405981024961</v>
      </c>
      <c r="Q57" s="552">
        <f t="shared" si="40"/>
        <v>616.85083289489978</v>
      </c>
      <c r="R57" s="552">
        <f t="shared" si="40"/>
        <v>699.65505108790762</v>
      </c>
      <c r="S57" s="552">
        <f t="shared" si="40"/>
        <v>796.913626240756</v>
      </c>
      <c r="T57" s="552">
        <f>S61</f>
        <v>907.71110427718224</v>
      </c>
      <c r="U57" s="552">
        <f t="shared" si="40"/>
        <v>1019.1369631895564</v>
      </c>
      <c r="V57" s="552">
        <f t="shared" ref="V57" si="41">U61</f>
        <v>1158.5242446291099</v>
      </c>
      <c r="W57" s="552">
        <f t="shared" ref="W57" si="42">V61</f>
        <v>1309.0451435402326</v>
      </c>
      <c r="X57" s="552">
        <f t="shared" ref="X57" si="43">W61</f>
        <v>1474.1919364859923</v>
      </c>
      <c r="Y57" s="552">
        <f t="shared" ref="Y57" si="44">X61</f>
        <v>1642.0017311220374</v>
      </c>
      <c r="Z57" s="552">
        <f t="shared" ref="Z57" si="45">Y61</f>
        <v>1835.4976912461948</v>
      </c>
      <c r="AA57" s="552">
        <f t="shared" ref="AA57:AC57" si="46">Z61</f>
        <v>2048.2335181733292</v>
      </c>
      <c r="AB57" s="552">
        <f t="shared" si="46"/>
        <v>2277.5545341612642</v>
      </c>
      <c r="AC57" s="863">
        <f t="shared" si="46"/>
        <v>2555.3988825380557</v>
      </c>
    </row>
    <row r="58" spans="2:29" ht="12.75" customHeight="1" x14ac:dyDescent="0.2">
      <c r="B58" s="552" t="s">
        <v>435</v>
      </c>
      <c r="C58" s="552"/>
      <c r="D58" s="785">
        <f>ROUNDUP(D57*1.1,0)</f>
        <v>3</v>
      </c>
      <c r="E58" s="772">
        <f t="shared" ref="E58:U58" si="47">ROUNDUP(E57*1.1,0)</f>
        <v>6</v>
      </c>
      <c r="F58" s="1068">
        <f t="shared" si="47"/>
        <v>13</v>
      </c>
      <c r="G58" s="785">
        <f t="shared" si="47"/>
        <v>31</v>
      </c>
      <c r="H58" s="772">
        <f t="shared" si="47"/>
        <v>54</v>
      </c>
      <c r="I58" s="552">
        <f t="shared" si="47"/>
        <v>90</v>
      </c>
      <c r="J58" s="552">
        <f t="shared" si="47"/>
        <v>146</v>
      </c>
      <c r="K58" s="552">
        <f t="shared" si="47"/>
        <v>212</v>
      </c>
      <c r="L58" s="552">
        <f t="shared" si="47"/>
        <v>289</v>
      </c>
      <c r="M58" s="552">
        <f t="shared" si="47"/>
        <v>358</v>
      </c>
      <c r="N58" s="552">
        <f t="shared" si="47"/>
        <v>427</v>
      </c>
      <c r="O58" s="552">
        <f t="shared" si="47"/>
        <v>509</v>
      </c>
      <c r="P58" s="552">
        <f t="shared" si="47"/>
        <v>594</v>
      </c>
      <c r="Q58" s="552">
        <f t="shared" si="47"/>
        <v>679</v>
      </c>
      <c r="R58" s="552">
        <f t="shared" si="47"/>
        <v>770</v>
      </c>
      <c r="S58" s="552">
        <f t="shared" si="47"/>
        <v>877</v>
      </c>
      <c r="T58" s="552">
        <f t="shared" si="47"/>
        <v>999</v>
      </c>
      <c r="U58" s="552">
        <f t="shared" si="47"/>
        <v>1122</v>
      </c>
      <c r="V58" s="552">
        <f t="shared" ref="V58:X58" si="48">ROUNDUP(V57*1.1,0)</f>
        <v>1275</v>
      </c>
      <c r="W58" s="552">
        <f t="shared" si="48"/>
        <v>1440</v>
      </c>
      <c r="X58" s="552">
        <f t="shared" si="48"/>
        <v>1622</v>
      </c>
      <c r="Y58" s="552">
        <f t="shared" ref="Y58:AA58" si="49">ROUNDUP(Y57*1.1,0)</f>
        <v>1807</v>
      </c>
      <c r="Z58" s="552">
        <f t="shared" si="49"/>
        <v>2020</v>
      </c>
      <c r="AA58" s="552">
        <f t="shared" si="49"/>
        <v>2254</v>
      </c>
      <c r="AB58" s="552">
        <f t="shared" ref="AB58:AC58" si="50">ROUNDUP(AB57*1.1,0)</f>
        <v>2506</v>
      </c>
      <c r="AC58" s="863">
        <f t="shared" si="50"/>
        <v>2811</v>
      </c>
    </row>
    <row r="59" spans="2:29" ht="12.75" customHeight="1" x14ac:dyDescent="0.2">
      <c r="B59" s="552" t="s">
        <v>436</v>
      </c>
      <c r="C59" s="552"/>
      <c r="D59" s="785">
        <v>1</v>
      </c>
      <c r="E59" s="772">
        <f>IF(E58&gt;0,(VLOOKUP(E58,'Input data'!$J$5:$K$3154,2,FALSE)),(0))</f>
        <v>2</v>
      </c>
      <c r="F59" s="1068">
        <f>IF(F58&gt;0,(VLOOKUP(F58,'Input data'!$J$5:$K$3154,2,FALSE)),(0))</f>
        <v>3</v>
      </c>
      <c r="G59" s="785">
        <f>IF(G58&gt;0,(VLOOKUP(G58,'Input data'!$J$5:$K$3154,2,FALSE)),(0))</f>
        <v>4</v>
      </c>
      <c r="H59" s="772">
        <f>IF(H58&gt;0,(VLOOKUP(H58,'Input data'!$J$5:$K$3154,2,FALSE)),(0))</f>
        <v>4</v>
      </c>
      <c r="I59" s="552">
        <f>IF(I58&gt;0,(VLOOKUP(I58,'Input data'!$J$5:$K$3154,2,FALSE)),(0))</f>
        <v>5</v>
      </c>
      <c r="J59" s="552">
        <f>IF(J58&gt;0,(VLOOKUP(J58,'Input data'!$J$5:$K$3154,2,FALSE)),(0))</f>
        <v>6</v>
      </c>
      <c r="K59" s="552">
        <f>IF(K58&gt;0,(VLOOKUP(K58,'Input data'!$J$5:$K$3154,2,FALSE)),(0))</f>
        <v>7</v>
      </c>
      <c r="L59" s="552">
        <f>IF(L58&gt;0,(VLOOKUP(L58,'Input data'!$J$5:$K$3154,2,FALSE)),(0))</f>
        <v>8</v>
      </c>
      <c r="M59" s="552">
        <f>IF(M58&gt;0,(VLOOKUP(M58,'Input data'!$J$5:$K$3154,2,FALSE)),(0))</f>
        <v>9</v>
      </c>
      <c r="N59" s="552">
        <f>IF(N58&gt;0,(VLOOKUP(N58,'Input data'!$J$5:$K$3154,2,FALSE)),(0))</f>
        <v>9</v>
      </c>
      <c r="O59" s="552">
        <f>IF(O58&gt;0,(VLOOKUP(O58,'Input data'!$J$5:$K$3154,2,FALSE)),(0))</f>
        <v>10</v>
      </c>
      <c r="P59" s="552">
        <f>IF(P58&gt;0,(VLOOKUP(P58,'Input data'!$J$5:$K$3154,2,FALSE)),(0))</f>
        <v>11</v>
      </c>
      <c r="Q59" s="552">
        <f>IF(Q58&gt;0,(VLOOKUP(Q58,'Input data'!$J$5:$K$3154,2,FALSE)),(0))</f>
        <v>12</v>
      </c>
      <c r="R59" s="552">
        <f>IF(R58&gt;0,(VLOOKUP(R58,'Input data'!$J$5:$K$3154,2,FALSE)),(0))</f>
        <v>12</v>
      </c>
      <c r="S59" s="552">
        <f>IF(S58&gt;0,(VLOOKUP(S58,'Input data'!$J$5:$K$3154,2,FALSE)),(0))</f>
        <v>13</v>
      </c>
      <c r="T59" s="552">
        <f>IF(T58&gt;0,(VLOOKUP(T58,'Input data'!$J$5:$K$3154,2,FALSE)),(0))</f>
        <v>14</v>
      </c>
      <c r="U59" s="552">
        <f>IF(U58&gt;0,(VLOOKUP(U58,'Input data'!$J$5:$K$3154,2,FALSE)),(0))</f>
        <v>14</v>
      </c>
      <c r="V59" s="552">
        <f>IF(V58&gt;0,(VLOOKUP(V58,'Input data'!$J$5:$K$3154,2,FALSE)),(0))</f>
        <v>15</v>
      </c>
      <c r="W59" s="552">
        <f>IF(W58&gt;0,(VLOOKUP(W58,'Input data'!$J$5:$K$3154,2,FALSE)),(0))</f>
        <v>16</v>
      </c>
      <c r="X59" s="552">
        <f>IF(X58&gt;0,(VLOOKUP(X58,'Input data'!$J$5:$K$3154,2,FALSE)),(0))</f>
        <v>17</v>
      </c>
      <c r="Y59" s="552">
        <f>IF(Y58&gt;0,(VLOOKUP(Y58,'Input data'!$J$5:$K$3154,2,FALSE)),(0))</f>
        <v>17</v>
      </c>
      <c r="Z59" s="552">
        <f>IF(Z58&gt;0,(VLOOKUP(Z58,'Input data'!$J$5:$K$3154,2,FALSE)),(0))</f>
        <v>18</v>
      </c>
      <c r="AA59" s="552">
        <f>IF(AA58&gt;0,(VLOOKUP(AA58,'Input data'!$J$5:$K$3154,2,FALSE)),(0))</f>
        <v>18</v>
      </c>
      <c r="AB59" s="552">
        <f>IF(AB58&gt;0,(VLOOKUP(AB58,'Input data'!$J$5:$K$3154,2,FALSE)),(0))</f>
        <v>19</v>
      </c>
      <c r="AC59" s="863">
        <f>IF(AC58&gt;0,(VLOOKUP(AC58,'Input data'!$J$5:$K$3154,2,FALSE)),(0))</f>
        <v>20</v>
      </c>
    </row>
    <row r="60" spans="2:29" ht="12.75" customHeight="1" x14ac:dyDescent="0.2">
      <c r="B60" s="552" t="s">
        <v>422</v>
      </c>
      <c r="C60" s="552"/>
      <c r="D60" s="960">
        <f>VLOOKUP(D59,'Input data'!$C$6:$D$26,2,FALSE)</f>
        <v>3.0068999999999999</v>
      </c>
      <c r="E60" s="961">
        <f>VLOOKUP(E59,'Input data'!$C$6:$D$26,2,FALSE)</f>
        <v>2.8585499999999997</v>
      </c>
      <c r="F60" s="1072">
        <f>VLOOKUP(F59,'Input data'!$C$6:$D$26,2,FALSE)</f>
        <v>2.8260000000000001</v>
      </c>
      <c r="G60" s="960">
        <f>VLOOKUP(G59,'Input data'!$C$6:$D$26,2,FALSE)</f>
        <v>1.8524999999999998</v>
      </c>
      <c r="H60" s="961">
        <f>VLOOKUP(H59,'Input data'!$C$6:$D$26,2,FALSE)</f>
        <v>1.8524999999999998</v>
      </c>
      <c r="I60" s="967">
        <f>VLOOKUP(I59,'Input data'!$C$6:$D$26,2,FALSE)</f>
        <v>1.55325</v>
      </c>
      <c r="J60" s="967">
        <f>VLOOKUP(J59,'Input data'!$C$6:$D$26,2,FALSE)</f>
        <v>1.2611249999999998</v>
      </c>
      <c r="K60" s="967">
        <f>VLOOKUP(K59,'Input data'!$C$6:$D$26,2,FALSE)</f>
        <v>1.0117499999999999</v>
      </c>
      <c r="L60" s="967">
        <f>VLOOKUP(L59,'Input data'!$C$6:$D$26,2,FALSE)</f>
        <v>0.71862749999999997</v>
      </c>
      <c r="M60" s="967">
        <f>VLOOKUP(M59,'Input data'!$C$6:$D$26,2,FALSE)</f>
        <v>0.56999999999999995</v>
      </c>
      <c r="N60" s="967">
        <f>VLOOKUP(N59,'Input data'!$C$6:$D$26,2,FALSE)</f>
        <v>0.56999999999999995</v>
      </c>
      <c r="O60" s="967">
        <f>VLOOKUP(O59,'Input data'!$C$6:$D$26,2,FALSE)</f>
        <v>0.51300000000000001</v>
      </c>
      <c r="P60" s="967">
        <f>VLOOKUP(P59,'Input data'!$C$6:$D$26,2,FALSE)</f>
        <v>0.4335</v>
      </c>
      <c r="Q60" s="967">
        <f>VLOOKUP(Q59,'Input data'!$C$6:$D$26,2,FALSE)</f>
        <v>0.42075000000000001</v>
      </c>
      <c r="R60" s="967">
        <f>VLOOKUP(R59,'Input data'!$C$6:$D$26,2,FALSE)</f>
        <v>0.42075000000000001</v>
      </c>
      <c r="S60" s="967">
        <f>VLOOKUP(S59,'Input data'!$C$6:$D$26,2,FALSE)</f>
        <v>0.42081800000000003</v>
      </c>
      <c r="T60" s="967">
        <f>VLOOKUP(T59,'Input data'!$C$6:$D$26,2,FALSE)</f>
        <v>0.41437499999999999</v>
      </c>
      <c r="U60" s="967">
        <f>VLOOKUP(U59,'Input data'!$C$6:$D$26,2,FALSE)</f>
        <v>0.41437499999999999</v>
      </c>
      <c r="V60" s="967">
        <f>VLOOKUP(V59,'Input data'!$C$6:$D$26,2,FALSE)</f>
        <v>0.40799999999999997</v>
      </c>
      <c r="W60" s="967">
        <f>VLOOKUP(W59,'Input data'!$C$6:$D$26,2,FALSE)</f>
        <v>0.38400000000000001</v>
      </c>
      <c r="X60" s="967">
        <f>VLOOKUP(X59,'Input data'!$C$6:$D$26,2,FALSE)</f>
        <v>0.36</v>
      </c>
      <c r="Y60" s="967">
        <f>VLOOKUP(Y59,'Input data'!$C$6:$D$26,2,FALSE)</f>
        <v>0.36</v>
      </c>
      <c r="Z60" s="967">
        <f>VLOOKUP(Z59,'Input data'!$C$6:$D$26,2,FALSE)</f>
        <v>0.354375</v>
      </c>
      <c r="AA60" s="967">
        <f>VLOOKUP(AA59,'Input data'!$C$6:$D$26,2,FALSE)</f>
        <v>0.354375</v>
      </c>
      <c r="AB60" s="967">
        <f>VLOOKUP(AB59,'Input data'!$C$6:$D$26,2,FALSE)</f>
        <v>0.37200000000000005</v>
      </c>
      <c r="AC60" s="962">
        <f>VLOOKUP(AC59,'Input data'!$C$6:$D$26,2,FALSE)</f>
        <v>0.37200000000000005</v>
      </c>
    </row>
    <row r="61" spans="2:29" ht="15" customHeight="1" x14ac:dyDescent="0.2">
      <c r="B61" s="552" t="s">
        <v>437</v>
      </c>
      <c r="C61" s="552"/>
      <c r="D61" s="785">
        <f t="shared" ref="D61:Y61" si="51">IF(D49&gt;0,D57*(1+(D60/100))^D18,D57)</f>
        <v>5.0105549604983279</v>
      </c>
      <c r="E61" s="772">
        <f t="shared" si="51"/>
        <v>11.670723049880849</v>
      </c>
      <c r="F61" s="1068">
        <f t="shared" si="51"/>
        <v>27.687832478818709</v>
      </c>
      <c r="G61" s="785">
        <f t="shared" si="51"/>
        <v>48.911553027692662</v>
      </c>
      <c r="H61" s="772">
        <f t="shared" si="51"/>
        <v>81.77468249671341</v>
      </c>
      <c r="I61" s="552">
        <f t="shared" si="51"/>
        <v>131.86437868258034</v>
      </c>
      <c r="J61" s="552">
        <f t="shared" si="51"/>
        <v>192.04806425574026</v>
      </c>
      <c r="K61" s="552">
        <f t="shared" si="51"/>
        <v>262.38480764314141</v>
      </c>
      <c r="L61" s="552">
        <f t="shared" si="51"/>
        <v>325.26149563157531</v>
      </c>
      <c r="M61" s="552">
        <f t="shared" si="51"/>
        <v>387.93110959613045</v>
      </c>
      <c r="N61" s="552">
        <f t="shared" si="51"/>
        <v>462.67556355009225</v>
      </c>
      <c r="O61" s="552">
        <f t="shared" si="51"/>
        <v>539.4405981024961</v>
      </c>
      <c r="P61" s="552">
        <f t="shared" si="51"/>
        <v>616.85083289489978</v>
      </c>
      <c r="Q61" s="552">
        <f t="shared" si="51"/>
        <v>699.65505108790762</v>
      </c>
      <c r="R61" s="552">
        <f t="shared" si="51"/>
        <v>796.913626240756</v>
      </c>
      <c r="S61" s="552">
        <f t="shared" si="51"/>
        <v>907.71110427718224</v>
      </c>
      <c r="T61" s="552">
        <f t="shared" si="51"/>
        <v>1019.1369631895564</v>
      </c>
      <c r="U61" s="552">
        <f t="shared" si="51"/>
        <v>1158.5242446291099</v>
      </c>
      <c r="V61" s="552">
        <f t="shared" si="51"/>
        <v>1309.0451435402326</v>
      </c>
      <c r="W61" s="552">
        <f t="shared" si="51"/>
        <v>1474.1919364859923</v>
      </c>
      <c r="X61" s="552">
        <f t="shared" si="51"/>
        <v>1642.0017311220374</v>
      </c>
      <c r="Y61" s="552">
        <f t="shared" si="51"/>
        <v>1835.4976912461948</v>
      </c>
      <c r="Z61" s="552">
        <f t="shared" ref="Z61:AA61" si="52">IF(Z49&gt;0,Z57*(1+(Z60/100))^Z18,Z57)</f>
        <v>2048.2335181733292</v>
      </c>
      <c r="AA61" s="552">
        <f t="shared" si="52"/>
        <v>2277.5545341612642</v>
      </c>
      <c r="AB61" s="552">
        <f t="shared" ref="AB61:AC61" si="53">IF(AB49&gt;0,AB57*(1+(AB60/100))^AB18,AB57)</f>
        <v>2555.3988825380557</v>
      </c>
      <c r="AC61" s="863">
        <f t="shared" si="53"/>
        <v>2856.5119060732172</v>
      </c>
    </row>
    <row r="62" spans="2:29" ht="12.75" customHeight="1" x14ac:dyDescent="0.2">
      <c r="B62" s="552" t="s">
        <v>438</v>
      </c>
      <c r="C62" s="552"/>
      <c r="D62" s="785">
        <f t="shared" ref="D62:Y62" si="54">(D49*D57)/1000</f>
        <v>164</v>
      </c>
      <c r="E62" s="772">
        <f t="shared" si="54"/>
        <v>386.21357635521116</v>
      </c>
      <c r="F62" s="1068">
        <f t="shared" si="54"/>
        <v>819.51677207586727</v>
      </c>
      <c r="G62" s="785">
        <f t="shared" si="54"/>
        <v>1827.5820976753873</v>
      </c>
      <c r="H62" s="772">
        <f t="shared" si="54"/>
        <v>3099.3499979185176</v>
      </c>
      <c r="I62" s="552">
        <f t="shared" si="54"/>
        <v>4974.4980987861909</v>
      </c>
      <c r="J62" s="552">
        <f t="shared" si="54"/>
        <v>7853.0902270123961</v>
      </c>
      <c r="K62" s="552">
        <f t="shared" si="54"/>
        <v>11197.104213948423</v>
      </c>
      <c r="L62" s="552">
        <f t="shared" si="54"/>
        <v>15114.417560843807</v>
      </c>
      <c r="M62" s="552">
        <f t="shared" si="54"/>
        <v>18698.894304849327</v>
      </c>
      <c r="N62" s="552">
        <f t="shared" si="54"/>
        <v>22257.092055154364</v>
      </c>
      <c r="O62" s="552">
        <f t="shared" si="54"/>
        <v>26492.376430147819</v>
      </c>
      <c r="P62" s="552">
        <f t="shared" si="54"/>
        <v>30826.095829281872</v>
      </c>
      <c r="Q62" s="552">
        <f t="shared" si="54"/>
        <v>35179.170326016902</v>
      </c>
      <c r="R62" s="552">
        <f t="shared" si="54"/>
        <v>39821.714316208876</v>
      </c>
      <c r="S62" s="552">
        <f t="shared" si="54"/>
        <v>45266.589265795861</v>
      </c>
      <c r="T62" s="552">
        <f t="shared" si="54"/>
        <v>51457.029228246603</v>
      </c>
      <c r="U62" s="552">
        <f t="shared" si="54"/>
        <v>57658.077261380313</v>
      </c>
      <c r="V62" s="552">
        <f t="shared" si="54"/>
        <v>65412.879969103866</v>
      </c>
      <c r="W62" s="552">
        <f t="shared" si="54"/>
        <v>73763.804615238565</v>
      </c>
      <c r="X62" s="552">
        <f t="shared" si="54"/>
        <v>82903.574786487763</v>
      </c>
      <c r="Y62" s="552">
        <f t="shared" si="54"/>
        <v>92155.949525014817</v>
      </c>
      <c r="Z62" s="552">
        <f t="shared" ref="Z62:AA62" si="55">(Z49*Z57)/1000</f>
        <v>102809.71409648494</v>
      </c>
      <c r="AA62" s="552">
        <f t="shared" si="55"/>
        <v>114496.00116834835</v>
      </c>
      <c r="AB62" s="552">
        <f t="shared" ref="AB62:AC62" si="56">(AB49*AB57)/1000</f>
        <v>81509.296973741715</v>
      </c>
      <c r="AC62" s="863">
        <f t="shared" si="56"/>
        <v>40161.928624790307</v>
      </c>
    </row>
    <row r="63" spans="2:29" ht="15" customHeight="1" x14ac:dyDescent="0.2">
      <c r="B63" s="552" t="s">
        <v>439</v>
      </c>
      <c r="C63" s="552"/>
      <c r="D63" s="785">
        <f t="shared" ref="D63:S63" si="57">(D50*D58)/1000</f>
        <v>14.76</v>
      </c>
      <c r="E63" s="772">
        <f t="shared" si="57"/>
        <v>41.160719999999998</v>
      </c>
      <c r="F63" s="1068">
        <f t="shared" si="57"/>
        <v>54.7715064</v>
      </c>
      <c r="G63" s="785">
        <f t="shared" si="57"/>
        <v>81.848292127999997</v>
      </c>
      <c r="H63" s="772">
        <f t="shared" si="57"/>
        <v>136.87146657792002</v>
      </c>
      <c r="I63" s="552">
        <f t="shared" si="57"/>
        <v>114.9720319254528</v>
      </c>
      <c r="J63" s="552">
        <f t="shared" si="57"/>
        <v>182.59347123591857</v>
      </c>
      <c r="K63" s="552">
        <f t="shared" si="57"/>
        <v>148.32450007073356</v>
      </c>
      <c r="L63" s="552">
        <f t="shared" si="57"/>
        <v>33.295118831915644</v>
      </c>
      <c r="M63" s="552">
        <f t="shared" si="57"/>
        <v>41.161983518138918</v>
      </c>
      <c r="N63" s="552">
        <f t="shared" si="57"/>
        <v>48.997247565141976</v>
      </c>
      <c r="O63" s="552">
        <f t="shared" si="57"/>
        <v>58.289741949967102</v>
      </c>
      <c r="P63" s="552">
        <f t="shared" si="57"/>
        <v>67.887737730538106</v>
      </c>
      <c r="Q63" s="552">
        <f t="shared" si="57"/>
        <v>77.447108369019034</v>
      </c>
      <c r="R63" s="552">
        <f t="shared" si="57"/>
        <v>87.650964502586689</v>
      </c>
      <c r="S63" s="552">
        <f t="shared" si="57"/>
        <v>99.63137152861168</v>
      </c>
      <c r="T63" s="552">
        <f>(T50*T58)/1000</f>
        <v>113.26416952881289</v>
      </c>
      <c r="U63" s="552">
        <f t="shared" ref="U63" si="58">(U50*U58)/1000</f>
        <v>126.9551886035089</v>
      </c>
      <c r="V63" s="552">
        <f t="shared" ref="V63:X63" si="59">(V50*V58)/1000</f>
        <v>143.97872525716122</v>
      </c>
      <c r="W63" s="552">
        <f t="shared" si="59"/>
        <v>162.28604364044827</v>
      </c>
      <c r="X63" s="552">
        <f t="shared" si="59"/>
        <v>182.43160198558158</v>
      </c>
      <c r="Y63" s="552">
        <f t="shared" ref="Y63:AA63" si="60">(Y50*Y58)/1000</f>
        <v>202.83267384609741</v>
      </c>
      <c r="Z63" s="552">
        <f t="shared" si="60"/>
        <v>226.28807812217957</v>
      </c>
      <c r="AA63" s="552">
        <f t="shared" si="60"/>
        <v>251.99664427288016</v>
      </c>
      <c r="AB63" s="552">
        <f t="shared" ref="AB63:AC63" si="61">(AB50*AB58)/1000</f>
        <v>179.36984177761406</v>
      </c>
      <c r="AC63" s="863">
        <f t="shared" si="61"/>
        <v>88.358167592338134</v>
      </c>
    </row>
    <row r="64" spans="2:29" ht="15" customHeight="1" x14ac:dyDescent="0.2">
      <c r="B64" s="552" t="s">
        <v>440</v>
      </c>
      <c r="C64" s="552"/>
      <c r="D64" s="785">
        <f t="shared" ref="D64:S64" si="62">(D54*D57)/1000</f>
        <v>0</v>
      </c>
      <c r="E64" s="772">
        <f t="shared" si="62"/>
        <v>0</v>
      </c>
      <c r="F64" s="1068">
        <f t="shared" si="62"/>
        <v>0</v>
      </c>
      <c r="G64" s="785">
        <f t="shared" si="62"/>
        <v>0</v>
      </c>
      <c r="H64" s="772">
        <f t="shared" si="62"/>
        <v>0</v>
      </c>
      <c r="I64" s="552">
        <f t="shared" si="62"/>
        <v>0</v>
      </c>
      <c r="J64" s="552">
        <f t="shared" si="62"/>
        <v>0</v>
      </c>
      <c r="K64" s="552">
        <f t="shared" si="62"/>
        <v>0</v>
      </c>
      <c r="L64" s="552">
        <f t="shared" si="62"/>
        <v>0</v>
      </c>
      <c r="M64" s="552">
        <f t="shared" si="62"/>
        <v>0</v>
      </c>
      <c r="N64" s="552">
        <f t="shared" si="62"/>
        <v>0</v>
      </c>
      <c r="O64" s="552">
        <f t="shared" si="62"/>
        <v>0</v>
      </c>
      <c r="P64" s="552">
        <f t="shared" si="62"/>
        <v>0</v>
      </c>
      <c r="Q64" s="552">
        <f t="shared" si="62"/>
        <v>0</v>
      </c>
      <c r="R64" s="552">
        <f t="shared" si="62"/>
        <v>0</v>
      </c>
      <c r="S64" s="552">
        <f t="shared" si="62"/>
        <v>0</v>
      </c>
      <c r="T64" s="552">
        <f>(T54*T57)/1000</f>
        <v>0</v>
      </c>
      <c r="U64" s="552">
        <f>(U54*U57)/1000</f>
        <v>0</v>
      </c>
      <c r="V64" s="552">
        <f t="shared" ref="V64:X64" si="63">(V54*V57)/1000</f>
        <v>0</v>
      </c>
      <c r="W64" s="552">
        <f t="shared" si="63"/>
        <v>0</v>
      </c>
      <c r="X64" s="552">
        <f t="shared" si="63"/>
        <v>0</v>
      </c>
      <c r="Y64" s="552">
        <f t="shared" ref="Y64:AA64" si="64">(Y54*Y57)/1000</f>
        <v>0</v>
      </c>
      <c r="Z64" s="552">
        <f t="shared" si="64"/>
        <v>0</v>
      </c>
      <c r="AA64" s="552">
        <f t="shared" si="64"/>
        <v>40964.670363466583</v>
      </c>
      <c r="AB64" s="552">
        <f t="shared" ref="AB64:AC64" si="65">(AB54*AB57)/1000</f>
        <v>45551.09068322528</v>
      </c>
      <c r="AC64" s="863">
        <f t="shared" si="65"/>
        <v>40081.604767540732</v>
      </c>
    </row>
    <row r="65" spans="2:29" ht="15" customHeight="1" x14ac:dyDescent="0.2">
      <c r="B65" s="552" t="s">
        <v>441</v>
      </c>
      <c r="C65" s="552"/>
      <c r="D65" s="785">
        <f t="shared" ref="D65:S65" si="66">(D55*D61)/1000</f>
        <v>386.21357635521116</v>
      </c>
      <c r="E65" s="772">
        <f t="shared" si="66"/>
        <v>819.51677207586727</v>
      </c>
      <c r="F65" s="1068">
        <f t="shared" si="66"/>
        <v>1827.5820976753873</v>
      </c>
      <c r="G65" s="785">
        <f t="shared" si="66"/>
        <v>3099.3499979185176</v>
      </c>
      <c r="H65" s="772">
        <f t="shared" si="66"/>
        <v>4974.4980987861909</v>
      </c>
      <c r="I65" s="552">
        <f t="shared" si="66"/>
        <v>7853.0902270123961</v>
      </c>
      <c r="J65" s="552">
        <f t="shared" si="66"/>
        <v>11197.104213948423</v>
      </c>
      <c r="K65" s="552">
        <f t="shared" si="66"/>
        <v>15114.417560843807</v>
      </c>
      <c r="L65" s="552">
        <f t="shared" si="66"/>
        <v>18698.894304849327</v>
      </c>
      <c r="M65" s="552">
        <f t="shared" si="66"/>
        <v>22257.092055154364</v>
      </c>
      <c r="N65" s="552">
        <f t="shared" si="66"/>
        <v>26492.376430147819</v>
      </c>
      <c r="O65" s="552">
        <f t="shared" si="66"/>
        <v>30826.095829281872</v>
      </c>
      <c r="P65" s="552">
        <f t="shared" si="66"/>
        <v>35179.170326016902</v>
      </c>
      <c r="Q65" s="552">
        <f t="shared" si="66"/>
        <v>39821.714316208876</v>
      </c>
      <c r="R65" s="552">
        <f t="shared" si="66"/>
        <v>45266.589265795861</v>
      </c>
      <c r="S65" s="552">
        <f t="shared" si="66"/>
        <v>51457.029228246603</v>
      </c>
      <c r="T65" s="552">
        <f>(T55*T61)/1000</f>
        <v>57658.077261380313</v>
      </c>
      <c r="U65" s="552">
        <f>(U55*U61)/1000</f>
        <v>65412.879969103866</v>
      </c>
      <c r="V65" s="552">
        <f t="shared" ref="V65:X65" si="67">(V55*V61)/1000</f>
        <v>73763.804615238565</v>
      </c>
      <c r="W65" s="552">
        <f t="shared" si="67"/>
        <v>82903.574786487763</v>
      </c>
      <c r="X65" s="552">
        <f t="shared" si="67"/>
        <v>92155.949525014817</v>
      </c>
      <c r="Y65" s="552">
        <f t="shared" ref="Y65:AA65" si="68">(Y55*Y61)/1000</f>
        <v>102809.71409648494</v>
      </c>
      <c r="Z65" s="552">
        <f t="shared" si="68"/>
        <v>114496.00116834835</v>
      </c>
      <c r="AA65" s="552">
        <f t="shared" si="68"/>
        <v>81509.296973741715</v>
      </c>
      <c r="AB65" s="552">
        <f t="shared" ref="AB65:AC65" si="69">(AB55*AB61)/1000</f>
        <v>40161.928624790307</v>
      </c>
      <c r="AC65" s="863">
        <f t="shared" si="69"/>
        <v>0</v>
      </c>
    </row>
    <row r="66" spans="2:29" ht="15" customHeight="1" x14ac:dyDescent="0.2">
      <c r="B66" s="550" t="s">
        <v>467</v>
      </c>
      <c r="C66" s="550"/>
      <c r="D66" s="788"/>
      <c r="E66" s="771"/>
      <c r="F66" s="1071"/>
      <c r="G66" s="788"/>
      <c r="H66" s="771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50"/>
      <c r="AC66" s="866"/>
    </row>
    <row r="67" spans="2:29" s="350" customFormat="1" ht="15" customHeight="1" x14ac:dyDescent="0.2">
      <c r="B67" s="552" t="s">
        <v>442</v>
      </c>
      <c r="C67" s="552"/>
      <c r="D67" s="789">
        <f>VLOOKUP(D59,'Input data'!$F$6:$G$51,2,FALSE)</f>
        <v>1.3</v>
      </c>
      <c r="E67" s="775">
        <f>VLOOKUP(E59,'Input data'!$F$6:$G$51,2,FALSE)</f>
        <v>1.3</v>
      </c>
      <c r="F67" s="1073">
        <f>VLOOKUP(F59,'Input data'!$F$6:$G$51,2,FALSE)</f>
        <v>1.3</v>
      </c>
      <c r="G67" s="789">
        <f>VLOOKUP(G59,'Input data'!$F$6:$G$51,2,FALSE)</f>
        <v>1.3120000000000001</v>
      </c>
      <c r="H67" s="775">
        <f>VLOOKUP(H59,'Input data'!$F$6:$G$51,2,FALSE)</f>
        <v>1.3120000000000001</v>
      </c>
      <c r="I67" s="557">
        <f>VLOOKUP(I59,'Input data'!$F$6:$G$51,2,FALSE)</f>
        <v>1.3120000000000001</v>
      </c>
      <c r="J67" s="557">
        <f>VLOOKUP(J59,'Input data'!$F$6:$G$51,2,FALSE)</f>
        <v>1.3120000000000001</v>
      </c>
      <c r="K67" s="557">
        <f>VLOOKUP(K59,'Input data'!$F$6:$G$51,2,FALSE)</f>
        <v>1.3120000000000001</v>
      </c>
      <c r="L67" s="557">
        <f>VLOOKUP(L59,'Input data'!$F$6:$G$51,2,FALSE)</f>
        <v>1.3120000000000001</v>
      </c>
      <c r="M67" s="557">
        <f>VLOOKUP(M59,'Input data'!$F$6:$G$51,2,FALSE)</f>
        <v>1.3120000000000001</v>
      </c>
      <c r="N67" s="557">
        <f>VLOOKUP(N59,'Input data'!$F$6:$G$51,2,FALSE)</f>
        <v>1.3120000000000001</v>
      </c>
      <c r="O67" s="557">
        <f>VLOOKUP(O59,'Input data'!$F$6:$G$51,2,FALSE)</f>
        <v>1.3120000000000001</v>
      </c>
      <c r="P67" s="557">
        <f>VLOOKUP(P59,'Input data'!$F$6:$G$51,2,FALSE)</f>
        <v>1.3120000000000001</v>
      </c>
      <c r="Q67" s="557">
        <f>VLOOKUP(Q59,'Input data'!$F$6:$G$51,2,FALSE)</f>
        <v>1.36</v>
      </c>
      <c r="R67" s="557">
        <f>VLOOKUP(R59,'Input data'!$F$6:$G$51,2,FALSE)</f>
        <v>1.36</v>
      </c>
      <c r="S67" s="557">
        <f>VLOOKUP(S59,'Input data'!$F$6:$G$51,2,FALSE)</f>
        <v>1.36</v>
      </c>
      <c r="T67" s="557">
        <f>VLOOKUP(T59,'Input data'!$F$6:$G$51,2,FALSE)</f>
        <v>1.36</v>
      </c>
      <c r="U67" s="557">
        <f>VLOOKUP(U59,'Input data'!$F$6:$G$51,2,FALSE)</f>
        <v>1.36</v>
      </c>
      <c r="V67" s="557">
        <f>VLOOKUP(V59,'Input data'!$F$6:$G$51,2,FALSE)</f>
        <v>1.36</v>
      </c>
      <c r="W67" s="557">
        <f>VLOOKUP(W59,'Input data'!$F$6:$G$51,2,FALSE)</f>
        <v>1.4400000000000002</v>
      </c>
      <c r="X67" s="557">
        <f>VLOOKUP(X59,'Input data'!$F$6:$G$51,2,FALSE)</f>
        <v>1.4400000000000002</v>
      </c>
      <c r="Y67" s="557">
        <f>VLOOKUP(Y59,'Input data'!$F$6:$G$51,2,FALSE)</f>
        <v>1.4400000000000002</v>
      </c>
      <c r="Z67" s="557">
        <f>VLOOKUP(Z59,'Input data'!$F$6:$G$51,2,FALSE)</f>
        <v>1.6</v>
      </c>
      <c r="AA67" s="557">
        <f>VLOOKUP(AA59,'Input data'!$F$6:$G$51,2,FALSE)</f>
        <v>1.6</v>
      </c>
      <c r="AB67" s="557">
        <f>VLOOKUP(AB59,'Input data'!$F$6:$G$51,2,FALSE)</f>
        <v>1.6</v>
      </c>
      <c r="AC67" s="867">
        <f>VLOOKUP(AC59,'Input data'!$F$6:$G$51,2,FALSE)</f>
        <v>1.6</v>
      </c>
    </row>
    <row r="68" spans="2:29" s="350" customFormat="1" ht="15" customHeight="1" x14ac:dyDescent="0.2">
      <c r="B68" s="552" t="s">
        <v>443</v>
      </c>
      <c r="C68" s="552"/>
      <c r="D68" s="785">
        <f t="shared" ref="D68:O68" si="70">IF(D54=0,(((D65+D64)-D62)*D67),(0))</f>
        <v>288.87764926177454</v>
      </c>
      <c r="E68" s="772">
        <f t="shared" si="70"/>
        <v>563.29415443685298</v>
      </c>
      <c r="F68" s="1068">
        <f t="shared" si="70"/>
        <v>1310.4849232793761</v>
      </c>
      <c r="G68" s="785">
        <f t="shared" si="70"/>
        <v>1668.5594851189869</v>
      </c>
      <c r="H68" s="772">
        <f t="shared" si="70"/>
        <v>2460.1943083383876</v>
      </c>
      <c r="I68" s="552">
        <f t="shared" si="70"/>
        <v>3776.7128722327816</v>
      </c>
      <c r="J68" s="552">
        <f t="shared" si="70"/>
        <v>4387.346350860068</v>
      </c>
      <c r="K68" s="552">
        <f t="shared" si="70"/>
        <v>5139.5151111267442</v>
      </c>
      <c r="L68" s="552">
        <f t="shared" si="70"/>
        <v>4702.833488135243</v>
      </c>
      <c r="M68" s="552">
        <f t="shared" si="70"/>
        <v>4668.3554484002079</v>
      </c>
      <c r="N68" s="552">
        <f t="shared" si="70"/>
        <v>5556.693099991413</v>
      </c>
      <c r="O68" s="552">
        <f t="shared" si="70"/>
        <v>5685.839851663879</v>
      </c>
      <c r="P68" s="552">
        <f>IF(P54&gt;=0,(((P65+P64)-P62)*P67),(0))</f>
        <v>5711.2337397163583</v>
      </c>
      <c r="Q68" s="552">
        <f t="shared" ref="Q68:R68" si="71">IF(Q54&gt;=0,(((Q65+Q64)-Q62)*Q67),(0))</f>
        <v>6313.8598266610861</v>
      </c>
      <c r="R68" s="552">
        <f t="shared" si="71"/>
        <v>7405.0299314383001</v>
      </c>
      <c r="S68" s="552">
        <f>IF(S54&gt;=0,(((S65+S64)-S62)*S67),(0))</f>
        <v>8418.9983489330098</v>
      </c>
      <c r="T68" s="552">
        <f>IF(T54&gt;=0,(((T65+T64)-T62)*T67),(0))</f>
        <v>8433.4253250618458</v>
      </c>
      <c r="U68" s="552">
        <f t="shared" ref="U68:V68" si="72">IF(U54=0,(((U65+U64)-U62)*U67),(0))</f>
        <v>10546.531682504032</v>
      </c>
      <c r="V68" s="552">
        <f t="shared" si="72"/>
        <v>11357.257518743192</v>
      </c>
      <c r="W68" s="552">
        <f t="shared" ref="W68:AB68" si="73">IF(W54&gt;=0,(((W65+W64)-W62)*W67),(0))</f>
        <v>13161.269046598847</v>
      </c>
      <c r="X68" s="552">
        <f t="shared" si="73"/>
        <v>13323.41962347896</v>
      </c>
      <c r="Y68" s="552">
        <f t="shared" si="73"/>
        <v>15341.420982916976</v>
      </c>
      <c r="Z68" s="552">
        <f t="shared" si="73"/>
        <v>18698.059314981452</v>
      </c>
      <c r="AA68" s="552">
        <f t="shared" si="73"/>
        <v>12764.745870175935</v>
      </c>
      <c r="AB68" s="552">
        <f t="shared" si="73"/>
        <v>6725.9557348381968</v>
      </c>
      <c r="AC68" s="863">
        <f t="shared" ref="AC68" si="74">IF(AC54=0,(((AC65+AC64)-AC62)*AC67),(0))</f>
        <v>0</v>
      </c>
    </row>
    <row r="69" spans="2:29" s="350" customFormat="1" ht="15" customHeight="1" x14ac:dyDescent="0.2">
      <c r="B69" s="552" t="s">
        <v>734</v>
      </c>
      <c r="C69" s="552"/>
      <c r="D69" s="785">
        <f>D68+D62</f>
        <v>452.87764926177454</v>
      </c>
      <c r="E69" s="772">
        <f>D69+E68</f>
        <v>1016.1718036986275</v>
      </c>
      <c r="F69" s="1068">
        <f>E69+F68</f>
        <v>2326.6567269780035</v>
      </c>
      <c r="G69" s="785">
        <f t="shared" ref="G69:U69" si="75">F69+G68</f>
        <v>3995.2162120969906</v>
      </c>
      <c r="H69" s="772">
        <f t="shared" si="75"/>
        <v>6455.4105204353782</v>
      </c>
      <c r="I69" s="552">
        <f t="shared" si="75"/>
        <v>10232.12339266816</v>
      </c>
      <c r="J69" s="552">
        <f t="shared" si="75"/>
        <v>14619.469743528229</v>
      </c>
      <c r="K69" s="552">
        <f t="shared" si="75"/>
        <v>19758.984854654973</v>
      </c>
      <c r="L69" s="552">
        <f t="shared" si="75"/>
        <v>24461.818342790215</v>
      </c>
      <c r="M69" s="552">
        <f t="shared" si="75"/>
        <v>29130.173791190424</v>
      </c>
      <c r="N69" s="552">
        <f t="shared" si="75"/>
        <v>34686.866891181839</v>
      </c>
      <c r="O69" s="552">
        <f t="shared" si="75"/>
        <v>40372.706742845716</v>
      </c>
      <c r="P69" s="552">
        <f t="shared" si="75"/>
        <v>46083.940482562073</v>
      </c>
      <c r="Q69" s="552">
        <f t="shared" si="75"/>
        <v>52397.800309223159</v>
      </c>
      <c r="R69" s="552">
        <f t="shared" si="75"/>
        <v>59802.83024066146</v>
      </c>
      <c r="S69" s="552">
        <f t="shared" si="75"/>
        <v>68221.828589594472</v>
      </c>
      <c r="T69" s="552">
        <f t="shared" si="75"/>
        <v>76655.253914656321</v>
      </c>
      <c r="U69" s="552">
        <f t="shared" si="75"/>
        <v>87201.785597160357</v>
      </c>
      <c r="V69" s="552">
        <f t="shared" ref="V69" si="76">U69+V68</f>
        <v>98559.043115903551</v>
      </c>
      <c r="W69" s="552">
        <f t="shared" ref="W69" si="77">V69+W68</f>
        <v>111720.31216250239</v>
      </c>
      <c r="X69" s="552">
        <f t="shared" ref="X69:Y69" si="78">W69+X68</f>
        <v>125043.73178598135</v>
      </c>
      <c r="Y69" s="552">
        <f t="shared" si="78"/>
        <v>140385.15276889832</v>
      </c>
      <c r="Z69" s="552">
        <f t="shared" ref="Z69" si="79">Y69+Z68</f>
        <v>159083.21208387977</v>
      </c>
      <c r="AA69" s="552">
        <f t="shared" ref="AA69:AC69" si="80">Z69+AA68</f>
        <v>171847.95795405572</v>
      </c>
      <c r="AB69" s="552">
        <f t="shared" si="80"/>
        <v>178573.91368889392</v>
      </c>
      <c r="AC69" s="863">
        <f t="shared" si="80"/>
        <v>178573.91368889392</v>
      </c>
    </row>
    <row r="70" spans="2:29" s="350" customFormat="1" ht="15" customHeight="1" thickBot="1" x14ac:dyDescent="0.25">
      <c r="B70" s="552" t="s">
        <v>735</v>
      </c>
      <c r="C70" s="552"/>
      <c r="D70" s="790">
        <f>IF(D64=0,(D69/D65),(D69/SUM($D64:$X64)))</f>
        <v>1.1726093461956673</v>
      </c>
      <c r="E70" s="862">
        <f t="shared" ref="E70:U70" si="81">IF(E64=0,(E69/E65),(E69/SUM($D64:$X64)))</f>
        <v>1.2399646210102881</v>
      </c>
      <c r="F70" s="1074">
        <f t="shared" si="81"/>
        <v>1.2730791847531333</v>
      </c>
      <c r="G70" s="790">
        <f t="shared" si="81"/>
        <v>1.2890497087389694</v>
      </c>
      <c r="H70" s="862">
        <f t="shared" si="81"/>
        <v>1.2977008719755143</v>
      </c>
      <c r="I70" s="1090">
        <f t="shared" si="81"/>
        <v>1.3029422936556321</v>
      </c>
      <c r="J70" s="1090">
        <f t="shared" si="81"/>
        <v>1.3056473766955305</v>
      </c>
      <c r="K70" s="1090">
        <f t="shared" si="81"/>
        <v>1.3072938322045318</v>
      </c>
      <c r="L70" s="1090">
        <f t="shared" si="81"/>
        <v>1.3081959790770272</v>
      </c>
      <c r="M70" s="1090">
        <f t="shared" si="81"/>
        <v>1.3088041204576126</v>
      </c>
      <c r="N70" s="1090">
        <f t="shared" si="81"/>
        <v>1.3093150394658006</v>
      </c>
      <c r="O70" s="1090">
        <f t="shared" si="81"/>
        <v>1.3096925074921575</v>
      </c>
      <c r="P70" s="1090">
        <f t="shared" si="81"/>
        <v>1.3099780368748635</v>
      </c>
      <c r="Q70" s="1090">
        <f t="shared" si="81"/>
        <v>1.3158097587952251</v>
      </c>
      <c r="R70" s="1090">
        <f t="shared" si="81"/>
        <v>1.3211251656163414</v>
      </c>
      <c r="S70" s="1090">
        <f t="shared" si="81"/>
        <v>1.3258019285758742</v>
      </c>
      <c r="T70" s="1090">
        <f t="shared" si="81"/>
        <v>1.3294798847897138</v>
      </c>
      <c r="U70" s="1090">
        <f t="shared" si="81"/>
        <v>1.3330980938058061</v>
      </c>
      <c r="V70" s="1090">
        <f t="shared" ref="V70:X70" si="82">IF(V64=0,(V69/V65),(V69/SUM($D64:$X64)))</f>
        <v>1.3361437039480286</v>
      </c>
      <c r="W70" s="1090">
        <f t="shared" si="82"/>
        <v>1.3475934234468185</v>
      </c>
      <c r="X70" s="1090">
        <f t="shared" si="82"/>
        <v>1.3568709609143517</v>
      </c>
      <c r="Y70" s="1090">
        <f>IF(Y64=0,(Y69/Y65),(Y69/SUM($D64:$AA64)))</f>
        <v>1.3654852948734937</v>
      </c>
      <c r="Z70" s="1090">
        <f>IF(Z64=0,(Z69/Z65),(Z69/SUM($D64:$AA64)))</f>
        <v>1.3894215558670293</v>
      </c>
      <c r="AA70" s="1090">
        <f>IF(AA64=0,(AA69/AA65),(AA69/SUM($D64:$AA64)))</f>
        <v>4.1950284581641464</v>
      </c>
      <c r="AB70" s="1090">
        <f>IF(AB64=0,(AB69/AB65),(AB69/SUM($D64:$AA64)))</f>
        <v>4.3592176405781853</v>
      </c>
      <c r="AC70" s="868">
        <f>IF(AC64=0,(AC69/AC65),(AC69/SUM($D64:$AA64)))</f>
        <v>4.3592176405781853</v>
      </c>
    </row>
    <row r="71" spans="2:29" ht="15" customHeight="1" x14ac:dyDescent="0.2">
      <c r="B71" s="550"/>
      <c r="C71" s="550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6"/>
    </row>
  </sheetData>
  <mergeCells count="21">
    <mergeCell ref="B46:C46"/>
    <mergeCell ref="O7:P7"/>
    <mergeCell ref="Q7:S7"/>
    <mergeCell ref="O8:P8"/>
    <mergeCell ref="Q8:S8"/>
    <mergeCell ref="O9:S15"/>
    <mergeCell ref="B16:C16"/>
    <mergeCell ref="D48:F48"/>
    <mergeCell ref="G48:AC48"/>
    <mergeCell ref="O4:P4"/>
    <mergeCell ref="Q4:S4"/>
    <mergeCell ref="O5:P5"/>
    <mergeCell ref="Q5:S5"/>
    <mergeCell ref="O6:P6"/>
    <mergeCell ref="Q6:S6"/>
    <mergeCell ref="O1:P1"/>
    <mergeCell ref="Q1:S1"/>
    <mergeCell ref="O2:P2"/>
    <mergeCell ref="Q2:S2"/>
    <mergeCell ref="O3:P3"/>
    <mergeCell ref="Q3:S3"/>
  </mergeCells>
  <conditionalFormatting sqref="D28:N28">
    <cfRule type="cellIs" dxfId="3" priority="4" operator="greaterThan">
      <formula>2%</formula>
    </cfRule>
  </conditionalFormatting>
  <conditionalFormatting sqref="O28:X28">
    <cfRule type="cellIs" dxfId="2" priority="3" operator="greaterThan">
      <formula>2%</formula>
    </cfRule>
  </conditionalFormatting>
  <conditionalFormatting sqref="O43:X43">
    <cfRule type="cellIs" dxfId="1" priority="1" operator="greaterThan">
      <formula>2%</formula>
    </cfRule>
  </conditionalFormatting>
  <conditionalFormatting sqref="D43:N43">
    <cfRule type="cellIs" dxfId="0" priority="2" operator="greaterThan">
      <formula>2%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5"/>
  <sheetViews>
    <sheetView topLeftCell="A19" zoomScale="82" zoomScaleNormal="82" workbookViewId="0">
      <selection activeCell="E69" sqref="E69"/>
    </sheetView>
  </sheetViews>
  <sheetFormatPr defaultRowHeight="15" x14ac:dyDescent="0.25"/>
  <cols>
    <col min="1" max="1" width="49.140625" bestFit="1" customWidth="1"/>
    <col min="2" max="2" width="10" bestFit="1" customWidth="1"/>
    <col min="3" max="3" width="12" bestFit="1" customWidth="1"/>
    <col min="4" max="4" width="10.42578125" bestFit="1" customWidth="1"/>
    <col min="5" max="5" width="8.85546875" bestFit="1" customWidth="1"/>
    <col min="6" max="6" width="15.140625" bestFit="1" customWidth="1"/>
    <col min="7" max="7" width="14.140625" bestFit="1" customWidth="1"/>
    <col min="8" max="8" width="13.140625" bestFit="1" customWidth="1"/>
    <col min="13" max="13" width="10" customWidth="1"/>
    <col min="14" max="14" width="10.5703125" customWidth="1"/>
    <col min="16" max="16" width="10" bestFit="1" customWidth="1"/>
    <col min="18" max="18" width="10" bestFit="1" customWidth="1"/>
  </cols>
  <sheetData>
    <row r="1" spans="1:18" ht="47.25" x14ac:dyDescent="0.25">
      <c r="A1" s="1154" t="s">
        <v>654</v>
      </c>
      <c r="B1" s="1155" t="s">
        <v>493</v>
      </c>
      <c r="C1" s="1156" t="s">
        <v>494</v>
      </c>
      <c r="D1" s="1156" t="s">
        <v>495</v>
      </c>
      <c r="E1" s="1156" t="s">
        <v>496</v>
      </c>
      <c r="F1" s="1156" t="s">
        <v>655</v>
      </c>
      <c r="G1" s="1156" t="s">
        <v>497</v>
      </c>
      <c r="H1" s="1156" t="s">
        <v>498</v>
      </c>
      <c r="I1" s="1156" t="s">
        <v>595</v>
      </c>
      <c r="J1" s="1156" t="s">
        <v>1269</v>
      </c>
      <c r="K1" s="821" t="s">
        <v>499</v>
      </c>
      <c r="L1" s="1156" t="s">
        <v>598</v>
      </c>
      <c r="M1" s="1156" t="s">
        <v>599</v>
      </c>
      <c r="N1" s="1156" t="s">
        <v>500</v>
      </c>
      <c r="O1" s="1156" t="s">
        <v>600</v>
      </c>
      <c r="P1" s="1156" t="s">
        <v>601</v>
      </c>
      <c r="Q1" s="1156" t="s">
        <v>602</v>
      </c>
      <c r="R1" s="1157" t="s">
        <v>603</v>
      </c>
    </row>
    <row r="2" spans="1:18" x14ac:dyDescent="0.25">
      <c r="A2" s="1158" t="s">
        <v>596</v>
      </c>
      <c r="B2" s="605"/>
      <c r="C2" s="606"/>
      <c r="D2" s="606"/>
      <c r="E2" s="606"/>
      <c r="F2" s="606"/>
      <c r="G2" s="606"/>
      <c r="H2" s="608">
        <v>4</v>
      </c>
      <c r="I2" s="606"/>
      <c r="J2" s="608">
        <v>10</v>
      </c>
      <c r="K2" s="829">
        <v>2</v>
      </c>
      <c r="L2" s="608">
        <f>J2*K2</f>
        <v>20</v>
      </c>
      <c r="M2" s="608">
        <f>L2*1000</f>
        <v>20000</v>
      </c>
      <c r="N2" s="608">
        <v>1.3</v>
      </c>
      <c r="O2" s="608">
        <f>L2*N2</f>
        <v>26</v>
      </c>
      <c r="P2" s="780">
        <f>M2*N2/60</f>
        <v>433.33333333333331</v>
      </c>
      <c r="Q2" s="608">
        <f>O2*0.1</f>
        <v>2.6</v>
      </c>
      <c r="R2" s="1159">
        <f>P2*0.1</f>
        <v>43.333333333333336</v>
      </c>
    </row>
    <row r="3" spans="1:18" x14ac:dyDescent="0.25">
      <c r="A3" s="1158" t="s">
        <v>597</v>
      </c>
      <c r="B3" s="605"/>
      <c r="C3" s="606"/>
      <c r="D3" s="606"/>
      <c r="E3" s="606"/>
      <c r="F3" s="606"/>
      <c r="G3" s="606"/>
      <c r="H3" s="606"/>
      <c r="I3" s="606"/>
      <c r="J3" s="606"/>
      <c r="K3" s="828"/>
      <c r="L3" s="606"/>
      <c r="M3" s="607"/>
      <c r="N3" s="607"/>
      <c r="O3" s="607"/>
      <c r="P3" s="607"/>
      <c r="Q3" s="607"/>
      <c r="R3" s="1160"/>
    </row>
    <row r="4" spans="1:18" x14ac:dyDescent="0.25">
      <c r="A4" s="1161" t="s">
        <v>501</v>
      </c>
      <c r="B4" s="604">
        <v>40</v>
      </c>
      <c r="C4" s="611">
        <v>12</v>
      </c>
      <c r="D4" s="611">
        <v>20</v>
      </c>
      <c r="E4" s="611">
        <f>B4*C4</f>
        <v>480</v>
      </c>
      <c r="F4" s="611">
        <f>MAX('Summary Bioplan'!Q6:DT6)</f>
        <v>923.08443816469332</v>
      </c>
      <c r="G4" s="611"/>
      <c r="H4" s="604">
        <v>4</v>
      </c>
      <c r="I4" s="604">
        <f>F4/H4</f>
        <v>230.77110954117333</v>
      </c>
      <c r="J4" s="613">
        <v>50</v>
      </c>
      <c r="K4" s="827">
        <f>_xlfn.CEILING.MATH(I4/J4,1)</f>
        <v>5</v>
      </c>
      <c r="L4" s="612">
        <f>J4*K4</f>
        <v>250</v>
      </c>
      <c r="M4" s="612">
        <f>L4*1000</f>
        <v>250000</v>
      </c>
      <c r="N4" s="612">
        <f>1/3</f>
        <v>0.33333333333333331</v>
      </c>
      <c r="O4" s="612">
        <f>L4*N4</f>
        <v>83.333333333333329</v>
      </c>
      <c r="P4" s="612">
        <f>M4*N4/60</f>
        <v>1388.8888888888889</v>
      </c>
      <c r="Q4" s="612">
        <f>O4*0.1</f>
        <v>8.3333333333333339</v>
      </c>
      <c r="R4" s="1162">
        <f>P4*0.1</f>
        <v>138.88888888888889</v>
      </c>
    </row>
    <row r="5" spans="1:18" x14ac:dyDescent="0.25">
      <c r="A5" s="1163" t="s">
        <v>604</v>
      </c>
      <c r="B5" s="614"/>
      <c r="C5" s="615"/>
      <c r="D5" s="615"/>
      <c r="E5" s="615"/>
      <c r="F5" s="615"/>
      <c r="G5" s="615"/>
      <c r="H5" s="616"/>
      <c r="I5" s="616"/>
      <c r="J5" s="617"/>
      <c r="K5" s="826"/>
      <c r="L5" s="617"/>
      <c r="M5" s="617"/>
      <c r="N5" s="617"/>
      <c r="O5" s="617"/>
      <c r="P5" s="607"/>
      <c r="Q5" s="610"/>
      <c r="R5" s="1160"/>
    </row>
    <row r="6" spans="1:18" x14ac:dyDescent="0.25">
      <c r="A6" s="1158" t="s">
        <v>605</v>
      </c>
      <c r="B6" s="609"/>
      <c r="C6" s="619"/>
      <c r="D6" s="619"/>
      <c r="E6" s="619"/>
      <c r="F6" s="619"/>
      <c r="G6" s="619"/>
      <c r="H6" s="781"/>
      <c r="I6" s="781"/>
      <c r="J6" s="610"/>
      <c r="K6" s="830"/>
      <c r="L6" s="610"/>
      <c r="M6" s="610"/>
      <c r="N6" s="610"/>
      <c r="O6" s="610"/>
      <c r="P6" s="607"/>
      <c r="Q6" s="610"/>
      <c r="R6" s="1160"/>
    </row>
    <row r="7" spans="1:18" x14ac:dyDescent="0.25">
      <c r="A7" s="1164" t="s">
        <v>511</v>
      </c>
      <c r="B7" s="619">
        <v>0.5</v>
      </c>
      <c r="C7" s="605"/>
      <c r="D7" s="605"/>
      <c r="E7" s="605"/>
      <c r="F7" s="605"/>
      <c r="G7" s="605"/>
      <c r="H7" s="620"/>
      <c r="I7" s="620"/>
      <c r="J7" s="610"/>
      <c r="K7" s="830"/>
      <c r="L7" s="610"/>
      <c r="M7" s="610"/>
      <c r="N7" s="610"/>
      <c r="O7" s="610"/>
      <c r="P7" s="607"/>
      <c r="Q7" s="610"/>
      <c r="R7" s="1160"/>
    </row>
    <row r="8" spans="1:18" x14ac:dyDescent="0.25">
      <c r="A8" s="1165" t="s">
        <v>502</v>
      </c>
      <c r="B8" s="609">
        <f>B10/B9</f>
        <v>569444.44444444438</v>
      </c>
      <c r="C8" s="619"/>
      <c r="D8" s="619"/>
      <c r="E8" s="619"/>
      <c r="F8" s="619"/>
      <c r="G8" s="619"/>
      <c r="H8" s="605"/>
      <c r="I8" s="622"/>
      <c r="J8" s="610"/>
      <c r="K8" s="825"/>
      <c r="L8" s="610"/>
      <c r="M8" s="610"/>
      <c r="N8" s="610"/>
      <c r="O8" s="610"/>
      <c r="P8" s="607"/>
      <c r="Q8" s="610"/>
      <c r="R8" s="1160"/>
    </row>
    <row r="9" spans="1:18" x14ac:dyDescent="0.25">
      <c r="A9" s="1164" t="s">
        <v>512</v>
      </c>
      <c r="B9" s="619">
        <v>0.9</v>
      </c>
      <c r="C9" s="623"/>
      <c r="D9" s="624"/>
      <c r="E9" s="624"/>
      <c r="F9" s="609"/>
      <c r="G9" s="609"/>
      <c r="H9" s="605"/>
      <c r="I9" s="605"/>
      <c r="J9" s="610"/>
      <c r="K9" s="825"/>
      <c r="L9" s="610"/>
      <c r="M9" s="610"/>
      <c r="N9" s="610"/>
      <c r="O9" s="610"/>
      <c r="P9" s="607"/>
      <c r="Q9" s="610"/>
      <c r="R9" s="1160"/>
    </row>
    <row r="10" spans="1:18" x14ac:dyDescent="0.25">
      <c r="A10" s="1166" t="s">
        <v>504</v>
      </c>
      <c r="B10" s="609">
        <f>B13/B11</f>
        <v>512500</v>
      </c>
      <c r="C10" s="623" t="s">
        <v>503</v>
      </c>
      <c r="D10" s="624"/>
      <c r="E10" s="624"/>
      <c r="F10" s="609"/>
      <c r="G10" s="609" t="s">
        <v>505</v>
      </c>
      <c r="H10" s="625" t="s">
        <v>506</v>
      </c>
      <c r="I10" s="610">
        <f>B10/100/1000</f>
        <v>5.125</v>
      </c>
      <c r="J10" s="610">
        <v>0.5</v>
      </c>
      <c r="K10" s="825">
        <f>I10/J10</f>
        <v>10.25</v>
      </c>
      <c r="L10" s="610">
        <f>I10</f>
        <v>5.125</v>
      </c>
      <c r="M10" s="610">
        <f>L10*1000</f>
        <v>5125</v>
      </c>
      <c r="N10" s="610">
        <v>1</v>
      </c>
      <c r="O10" s="610">
        <f>L10*N10</f>
        <v>5.125</v>
      </c>
      <c r="P10" s="607">
        <f>M10*N10/60</f>
        <v>85.416666666666671</v>
      </c>
      <c r="Q10" s="610">
        <f>O10*0.1</f>
        <v>0.51250000000000007</v>
      </c>
      <c r="R10" s="1160">
        <f>P10*0.1</f>
        <v>8.5416666666666679</v>
      </c>
    </row>
    <row r="11" spans="1:18" x14ac:dyDescent="0.25">
      <c r="A11" s="1167" t="s">
        <v>507</v>
      </c>
      <c r="B11" s="626">
        <v>0.4</v>
      </c>
      <c r="C11" s="627"/>
      <c r="D11" s="628"/>
      <c r="E11" s="628"/>
      <c r="F11" s="611"/>
      <c r="G11" s="611"/>
      <c r="H11" s="604"/>
      <c r="I11" s="604"/>
      <c r="J11" s="610"/>
      <c r="K11" s="830"/>
      <c r="L11" s="610"/>
      <c r="M11" s="610"/>
      <c r="N11" s="610"/>
      <c r="O11" s="610"/>
      <c r="P11" s="612"/>
      <c r="Q11" s="613"/>
      <c r="R11" s="1162"/>
    </row>
    <row r="12" spans="1:18" x14ac:dyDescent="0.25">
      <c r="A12" s="1158" t="s">
        <v>607</v>
      </c>
      <c r="B12" s="619"/>
      <c r="C12" s="623"/>
      <c r="D12" s="624"/>
      <c r="E12" s="624"/>
      <c r="F12" s="609"/>
      <c r="G12" s="609"/>
      <c r="H12" s="605"/>
      <c r="I12" s="605"/>
      <c r="J12" s="617"/>
      <c r="K12" s="826"/>
      <c r="L12" s="617"/>
      <c r="M12" s="617"/>
      <c r="N12" s="617"/>
      <c r="O12" s="617"/>
      <c r="P12" s="607"/>
      <c r="Q12" s="610"/>
      <c r="R12" s="1160"/>
    </row>
    <row r="13" spans="1:18" x14ac:dyDescent="0.25">
      <c r="A13" s="1158" t="s">
        <v>606</v>
      </c>
      <c r="B13" s="609">
        <f>B16/B14</f>
        <v>205000</v>
      </c>
      <c r="C13" s="624"/>
      <c r="D13" s="624"/>
      <c r="E13" s="624" t="s">
        <v>503</v>
      </c>
      <c r="F13" s="609"/>
      <c r="G13" s="782" t="s">
        <v>706</v>
      </c>
      <c r="H13" s="620" t="s">
        <v>706</v>
      </c>
      <c r="I13" s="783">
        <f>B13/15/1000</f>
        <v>13.666666666666666</v>
      </c>
      <c r="J13" s="610">
        <f>3.14*1.75*1.75*1.2</f>
        <v>11.5395</v>
      </c>
      <c r="K13" s="825">
        <v>4</v>
      </c>
      <c r="L13" s="610">
        <f>J13*K13</f>
        <v>46.158000000000001</v>
      </c>
      <c r="M13" s="610">
        <f>L13*1000</f>
        <v>46158</v>
      </c>
      <c r="N13" s="610">
        <v>4</v>
      </c>
      <c r="O13" s="610">
        <f>L13*N13</f>
        <v>184.63200000000001</v>
      </c>
      <c r="P13" s="607">
        <f>M13*N13/60</f>
        <v>3077.2</v>
      </c>
      <c r="Q13" s="610">
        <f>O13*10%</f>
        <v>18.463200000000001</v>
      </c>
      <c r="R13" s="1160">
        <f>P13*0.1</f>
        <v>307.72000000000003</v>
      </c>
    </row>
    <row r="14" spans="1:18" x14ac:dyDescent="0.25">
      <c r="A14" s="1167" t="s">
        <v>513</v>
      </c>
      <c r="B14" s="626">
        <v>0.4</v>
      </c>
      <c r="C14" s="629"/>
      <c r="D14" s="628"/>
      <c r="E14" s="628"/>
      <c r="F14" s="611"/>
      <c r="G14" s="611"/>
      <c r="H14" s="604"/>
      <c r="I14" s="604"/>
      <c r="J14" s="613"/>
      <c r="K14" s="824"/>
      <c r="L14" s="613"/>
      <c r="M14" s="613"/>
      <c r="N14" s="613"/>
      <c r="O14" s="613"/>
      <c r="P14" s="612"/>
      <c r="Q14" s="613"/>
      <c r="R14" s="1162"/>
    </row>
    <row r="15" spans="1:18" s="777" customFormat="1" x14ac:dyDescent="0.25">
      <c r="A15" s="1158" t="s">
        <v>609</v>
      </c>
      <c r="B15" s="619"/>
      <c r="C15" s="618"/>
      <c r="D15" s="624"/>
      <c r="E15" s="624"/>
      <c r="F15" s="609"/>
      <c r="G15" s="609"/>
      <c r="H15" s="605"/>
      <c r="I15" s="605"/>
      <c r="J15" s="610"/>
      <c r="K15" s="825"/>
      <c r="L15" s="610"/>
      <c r="M15" s="610"/>
      <c r="N15" s="610"/>
      <c r="O15" s="610"/>
      <c r="P15" s="607"/>
      <c r="Q15" s="610"/>
      <c r="R15" s="1160"/>
    </row>
    <row r="16" spans="1:18" x14ac:dyDescent="0.25">
      <c r="A16" s="1165" t="s">
        <v>608</v>
      </c>
      <c r="B16" s="609">
        <f>'Input data'!Q4</f>
        <v>82000</v>
      </c>
      <c r="C16" s="618">
        <v>5.0000000000000001E-3</v>
      </c>
      <c r="D16" s="622">
        <v>0.01</v>
      </c>
      <c r="E16" s="609"/>
      <c r="F16" s="609">
        <f>SUM('Summary Bioplan'!U10:U11)</f>
        <v>3396.0421510548144</v>
      </c>
      <c r="G16" s="609">
        <v>2</v>
      </c>
      <c r="H16" s="605">
        <v>10</v>
      </c>
      <c r="I16" s="609" t="s">
        <v>1271</v>
      </c>
      <c r="J16" s="610">
        <f>3.14*2*2*1.2</f>
        <v>15.071999999999999</v>
      </c>
      <c r="K16" s="825">
        <f>MAX('Summary Bioplan'!R85:AA85)</f>
        <v>12</v>
      </c>
      <c r="L16" s="610">
        <f>K16*J16</f>
        <v>180.86399999999998</v>
      </c>
      <c r="M16" s="610">
        <f>L16*1000</f>
        <v>180863.99999999997</v>
      </c>
      <c r="N16" s="610">
        <v>2</v>
      </c>
      <c r="O16" s="610">
        <f>L16*N16</f>
        <v>361.72799999999995</v>
      </c>
      <c r="P16" s="607">
        <f>M16*N16/60</f>
        <v>6028.7999999999993</v>
      </c>
      <c r="Q16" s="610">
        <f>O16*10%</f>
        <v>36.172799999999995</v>
      </c>
      <c r="R16" s="1160">
        <f>P16*0.1</f>
        <v>602.88</v>
      </c>
    </row>
    <row r="17" spans="1:18" x14ac:dyDescent="0.25">
      <c r="A17" s="1168" t="s">
        <v>577</v>
      </c>
      <c r="B17" s="626">
        <v>0.2</v>
      </c>
      <c r="C17" s="629"/>
      <c r="D17" s="628"/>
      <c r="E17" s="611"/>
      <c r="F17" s="611"/>
      <c r="G17" s="611"/>
      <c r="H17" s="604"/>
      <c r="I17" s="630"/>
      <c r="J17" s="613"/>
      <c r="K17" s="823"/>
      <c r="L17" s="613"/>
      <c r="M17" s="611"/>
      <c r="N17" s="613"/>
      <c r="O17" s="611"/>
      <c r="P17" s="612"/>
      <c r="Q17" s="613"/>
      <c r="R17" s="1162"/>
    </row>
    <row r="18" spans="1:18" x14ac:dyDescent="0.25">
      <c r="A18" s="1158" t="s">
        <v>610</v>
      </c>
      <c r="B18" s="609"/>
      <c r="C18" s="618"/>
      <c r="D18" s="624"/>
      <c r="E18" s="624"/>
      <c r="F18" s="609"/>
      <c r="G18" s="609"/>
      <c r="H18" s="605"/>
      <c r="I18" s="605"/>
      <c r="J18" s="610"/>
      <c r="K18" s="822"/>
      <c r="L18" s="610"/>
      <c r="M18" s="610"/>
      <c r="N18" s="610"/>
      <c r="O18" s="610"/>
      <c r="P18" s="610"/>
      <c r="Q18" s="610"/>
      <c r="R18" s="1169"/>
    </row>
    <row r="19" spans="1:18" ht="15.75" thickBot="1" x14ac:dyDescent="0.3">
      <c r="A19" s="1170" t="s">
        <v>1264</v>
      </c>
      <c r="B19" s="1171">
        <f>'Batch 1'!H49</f>
        <v>63366.419712000003</v>
      </c>
      <c r="C19" s="1172">
        <f>D16</f>
        <v>0.01</v>
      </c>
      <c r="D19" s="1173"/>
      <c r="E19" s="1171">
        <f>C19*B19</f>
        <v>633.66419712000004</v>
      </c>
      <c r="F19" s="1171">
        <f>'Summary Bioplan'!AL10</f>
        <v>93446.657971275461</v>
      </c>
      <c r="G19" s="1171">
        <v>10</v>
      </c>
      <c r="H19" s="1174">
        <v>12</v>
      </c>
      <c r="I19" s="1171" t="s">
        <v>1271</v>
      </c>
      <c r="J19" s="1175">
        <f>3.14*7.95*7.95*8</f>
        <v>1587.6468</v>
      </c>
      <c r="K19" s="1176">
        <f>MAX('Summary Bioplan'!R112:DT112)</f>
        <v>22</v>
      </c>
      <c r="L19" s="1175"/>
      <c r="M19" s="1175"/>
      <c r="N19" s="1175"/>
      <c r="O19" s="1175"/>
      <c r="P19" s="1175"/>
      <c r="Q19" s="1175"/>
      <c r="R19" s="1177"/>
    </row>
    <row r="20" spans="1:18" x14ac:dyDescent="0.25">
      <c r="A20" s="573"/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</row>
    <row r="21" spans="1:18" s="945" customFormat="1" x14ac:dyDescent="0.25">
      <c r="A21" s="1094" t="s">
        <v>1275</v>
      </c>
      <c r="B21" s="1095" t="s">
        <v>493</v>
      </c>
      <c r="C21" s="1095" t="s">
        <v>1276</v>
      </c>
      <c r="D21" s="1095" t="s">
        <v>1277</v>
      </c>
      <c r="E21" s="1095" t="s">
        <v>1278</v>
      </c>
      <c r="F21" s="1095" t="s">
        <v>1279</v>
      </c>
      <c r="G21" s="1095" t="s">
        <v>1280</v>
      </c>
      <c r="H21" s="1095" t="s">
        <v>1281</v>
      </c>
      <c r="I21" s="573"/>
      <c r="J21" s="573"/>
      <c r="K21" s="573"/>
      <c r="L21" s="573"/>
      <c r="M21" s="573"/>
      <c r="N21" s="573"/>
      <c r="O21" s="573"/>
      <c r="P21" s="573"/>
      <c r="Q21" s="573"/>
      <c r="R21" s="573"/>
    </row>
    <row r="22" spans="1:18" s="945" customFormat="1" x14ac:dyDescent="0.25">
      <c r="A22" s="1095" t="s">
        <v>517</v>
      </c>
      <c r="B22" s="1096">
        <f>K2</f>
        <v>2</v>
      </c>
      <c r="C22" s="1097">
        <v>10</v>
      </c>
      <c r="D22" s="1097">
        <f>B22*C22</f>
        <v>20</v>
      </c>
      <c r="E22" s="1097">
        <f>D22*1000</f>
        <v>20000</v>
      </c>
      <c r="F22" s="1097">
        <v>1</v>
      </c>
      <c r="G22" s="1097">
        <f>D22/F22</f>
        <v>20</v>
      </c>
      <c r="H22" s="1097">
        <f>E22/F22/60</f>
        <v>333.33333333333331</v>
      </c>
      <c r="I22" s="573"/>
      <c r="J22" s="573"/>
      <c r="K22" s="573"/>
      <c r="L22" s="573"/>
      <c r="M22" s="573"/>
      <c r="N22" s="573"/>
      <c r="O22" s="573"/>
      <c r="P22" s="573"/>
      <c r="Q22" s="573"/>
      <c r="R22" s="573"/>
    </row>
    <row r="23" spans="1:18" s="945" customFormat="1" x14ac:dyDescent="0.25">
      <c r="A23" s="1095" t="s">
        <v>510</v>
      </c>
      <c r="B23" s="1098">
        <f>K4</f>
        <v>5</v>
      </c>
      <c r="C23" s="1097">
        <v>45</v>
      </c>
      <c r="D23" s="1097">
        <f>B23*C23</f>
        <v>225</v>
      </c>
      <c r="E23" s="1097">
        <f>D23*1000</f>
        <v>225000</v>
      </c>
      <c r="F23" s="1097">
        <v>1</v>
      </c>
      <c r="G23" s="1097">
        <f t="shared" ref="G23:G25" si="0">D23/F23</f>
        <v>225</v>
      </c>
      <c r="H23" s="1097">
        <f t="shared" ref="H23:H26" si="1">E23/F23/60</f>
        <v>3750</v>
      </c>
      <c r="I23" s="573"/>
      <c r="J23" s="573"/>
      <c r="K23" s="573"/>
      <c r="L23" s="573"/>
      <c r="M23" s="573"/>
      <c r="N23" s="573"/>
      <c r="O23" s="573"/>
      <c r="P23" s="573"/>
      <c r="Q23" s="573"/>
      <c r="R23" s="573"/>
    </row>
    <row r="24" spans="1:18" s="945" customFormat="1" x14ac:dyDescent="0.25">
      <c r="A24" s="1095" t="s">
        <v>508</v>
      </c>
      <c r="B24" s="1098">
        <f>K10</f>
        <v>10.25</v>
      </c>
      <c r="C24" s="1097">
        <v>0.5</v>
      </c>
      <c r="D24" s="1098">
        <f>B24*C24</f>
        <v>5.125</v>
      </c>
      <c r="E24" s="1097">
        <f>D24*1000</f>
        <v>5125</v>
      </c>
      <c r="F24" s="1097">
        <v>1</v>
      </c>
      <c r="G24" s="1097">
        <f t="shared" si="0"/>
        <v>5.125</v>
      </c>
      <c r="H24" s="1097">
        <f t="shared" si="1"/>
        <v>85.416666666666671</v>
      </c>
      <c r="I24" s="573"/>
      <c r="J24" s="573"/>
      <c r="K24" s="573"/>
      <c r="L24" s="573"/>
      <c r="M24" s="573"/>
      <c r="N24" s="573"/>
      <c r="O24" s="573"/>
      <c r="P24" s="573"/>
      <c r="Q24" s="573"/>
      <c r="R24" s="573"/>
    </row>
    <row r="25" spans="1:18" s="945" customFormat="1" x14ac:dyDescent="0.25">
      <c r="A25" s="1095" t="s">
        <v>611</v>
      </c>
      <c r="B25" s="1098">
        <f>K13</f>
        <v>4</v>
      </c>
      <c r="C25" s="1097">
        <v>11.5</v>
      </c>
      <c r="D25" s="1097">
        <f>B25*C25</f>
        <v>46</v>
      </c>
      <c r="E25" s="1097">
        <f>D25*1000</f>
        <v>46000</v>
      </c>
      <c r="F25" s="1097">
        <v>4</v>
      </c>
      <c r="G25" s="1097">
        <f t="shared" si="0"/>
        <v>11.5</v>
      </c>
      <c r="H25" s="1097">
        <f t="shared" si="1"/>
        <v>191.66666666666666</v>
      </c>
      <c r="I25" s="573"/>
      <c r="J25" s="573"/>
      <c r="K25" s="573"/>
      <c r="L25" s="573"/>
      <c r="M25" s="573"/>
      <c r="N25" s="573"/>
      <c r="O25" s="573"/>
      <c r="P25" s="573"/>
      <c r="Q25" s="573"/>
      <c r="R25" s="573"/>
    </row>
    <row r="26" spans="1:18" s="945" customFormat="1" x14ac:dyDescent="0.25">
      <c r="A26" s="1095" t="s">
        <v>1282</v>
      </c>
      <c r="B26" s="1098">
        <f>K16</f>
        <v>12</v>
      </c>
      <c r="C26" s="1097">
        <v>15.1</v>
      </c>
      <c r="D26" s="1097">
        <f>B26*C26</f>
        <v>181.2</v>
      </c>
      <c r="E26" s="1097">
        <f>D26*1000</f>
        <v>181200</v>
      </c>
      <c r="F26" s="1097">
        <v>2</v>
      </c>
      <c r="G26" s="1097">
        <f>D26/F26</f>
        <v>90.6</v>
      </c>
      <c r="H26" s="1097">
        <f t="shared" si="1"/>
        <v>1510</v>
      </c>
      <c r="I26" s="573"/>
      <c r="J26" s="573"/>
      <c r="K26" s="573"/>
      <c r="L26" s="573"/>
      <c r="M26" s="573"/>
      <c r="N26" s="573"/>
      <c r="O26" s="573"/>
      <c r="P26" s="573"/>
      <c r="Q26" s="573"/>
      <c r="R26" s="573"/>
    </row>
    <row r="27" spans="1:18" s="945" customFormat="1" x14ac:dyDescent="0.25">
      <c r="A27" s="1095" t="s">
        <v>1270</v>
      </c>
      <c r="B27" s="1115">
        <f>SUM(B22:B26)</f>
        <v>33.25</v>
      </c>
      <c r="C27" s="1116"/>
      <c r="D27" s="1116">
        <f>SUM(D22:D26)</f>
        <v>477.32499999999999</v>
      </c>
      <c r="E27" s="1116">
        <f>SUM(E22:E26)</f>
        <v>477325</v>
      </c>
      <c r="F27" s="1116"/>
      <c r="G27" s="1116">
        <f>SUM(G22:G26)</f>
        <v>352.22500000000002</v>
      </c>
      <c r="H27" s="1116">
        <f>SUM(H22:H26)</f>
        <v>5870.416666666667</v>
      </c>
      <c r="I27" s="573"/>
      <c r="J27" s="573"/>
      <c r="K27" s="573"/>
      <c r="L27" s="573"/>
      <c r="M27" s="573"/>
      <c r="N27" s="573"/>
      <c r="O27" s="573"/>
      <c r="P27" s="573"/>
      <c r="Q27" s="573"/>
      <c r="R27" s="573"/>
    </row>
    <row r="28" spans="1:18" s="945" customFormat="1" x14ac:dyDescent="0.25">
      <c r="A28" s="621"/>
      <c r="B28" s="609"/>
      <c r="C28" s="610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</row>
    <row r="29" spans="1:18" s="945" customFormat="1" x14ac:dyDescent="0.25">
      <c r="A29" s="1099" t="s">
        <v>578</v>
      </c>
      <c r="B29" s="1100" t="s">
        <v>493</v>
      </c>
      <c r="C29" s="1101" t="s">
        <v>1283</v>
      </c>
      <c r="D29" s="1110"/>
      <c r="E29" s="1110"/>
      <c r="F29" s="1110"/>
      <c r="G29" s="1110"/>
      <c r="H29" s="1110"/>
      <c r="I29" s="573"/>
      <c r="J29" s="573"/>
      <c r="K29" s="573"/>
      <c r="L29" s="573"/>
      <c r="M29" s="573"/>
      <c r="N29" s="573"/>
      <c r="O29" s="573"/>
      <c r="P29" s="573"/>
      <c r="Q29" s="573"/>
      <c r="R29" s="573"/>
    </row>
    <row r="30" spans="1:18" s="945" customFormat="1" x14ac:dyDescent="0.25">
      <c r="A30" s="1102" t="s">
        <v>579</v>
      </c>
      <c r="B30" s="1100">
        <f>K19</f>
        <v>22</v>
      </c>
      <c r="C30" s="1101">
        <f>3.14*7.95*7.95*8</f>
        <v>1587.6468</v>
      </c>
      <c r="D30" s="1110"/>
      <c r="E30" s="1110"/>
      <c r="F30" s="1111"/>
      <c r="G30" s="1111"/>
      <c r="H30" s="1112"/>
      <c r="I30" s="573"/>
      <c r="J30" s="573"/>
      <c r="K30" s="573"/>
      <c r="L30" s="573"/>
      <c r="M30" s="573"/>
      <c r="N30" s="573"/>
      <c r="O30" s="573"/>
      <c r="P30" s="573"/>
      <c r="Q30" s="573"/>
      <c r="R30" s="573"/>
    </row>
    <row r="31" spans="1:18" s="945" customFormat="1" x14ac:dyDescent="0.25">
      <c r="A31" s="1102" t="s">
        <v>528</v>
      </c>
      <c r="B31" s="1103">
        <f>SUM(B30)</f>
        <v>22</v>
      </c>
      <c r="C31" s="1100"/>
      <c r="D31" s="1113"/>
      <c r="E31" s="1113"/>
      <c r="F31" s="1114"/>
      <c r="G31" s="1113"/>
      <c r="H31" s="1113"/>
    </row>
    <row r="32" spans="1:18" x14ac:dyDescent="0.25">
      <c r="A32" s="631"/>
      <c r="B32" s="644"/>
      <c r="C32" s="632"/>
      <c r="E32" s="777"/>
      <c r="F32" s="777"/>
      <c r="G32" s="777"/>
      <c r="H32" s="777"/>
      <c r="I32" s="777"/>
    </row>
    <row r="33" spans="1:4" x14ac:dyDescent="0.25">
      <c r="A33" s="1118" t="s">
        <v>1284</v>
      </c>
      <c r="B33" s="1118" t="s">
        <v>1285</v>
      </c>
      <c r="C33" s="1118" t="s">
        <v>1286</v>
      </c>
      <c r="D33" s="945"/>
    </row>
    <row r="34" spans="1:4" x14ac:dyDescent="0.25">
      <c r="A34" s="1119" t="s">
        <v>1287</v>
      </c>
      <c r="B34" s="1117">
        <v>5</v>
      </c>
      <c r="C34" s="1120" t="s">
        <v>1288</v>
      </c>
      <c r="D34" s="945"/>
    </row>
    <row r="35" spans="1:4" x14ac:dyDescent="0.25">
      <c r="A35" s="1119" t="s">
        <v>1289</v>
      </c>
      <c r="B35" s="1117">
        <v>24</v>
      </c>
      <c r="C35" s="1117" t="s">
        <v>1290</v>
      </c>
      <c r="D35" s="945"/>
    </row>
    <row r="36" spans="1:4" x14ac:dyDescent="0.25">
      <c r="A36" s="1119" t="s">
        <v>1291</v>
      </c>
      <c r="B36" s="1117">
        <v>7.2</v>
      </c>
      <c r="C36" s="1119" t="s">
        <v>1292</v>
      </c>
      <c r="D36" s="945"/>
    </row>
    <row r="37" spans="1:4" x14ac:dyDescent="0.25">
      <c r="A37" s="1119" t="s">
        <v>1293</v>
      </c>
      <c r="B37" s="1117">
        <v>40</v>
      </c>
      <c r="C37" s="1119" t="s">
        <v>1294</v>
      </c>
      <c r="D37" s="945"/>
    </row>
    <row r="38" spans="1:4" x14ac:dyDescent="0.25">
      <c r="A38" s="1119" t="s">
        <v>1295</v>
      </c>
      <c r="B38" s="1117">
        <v>2</v>
      </c>
      <c r="C38" s="1117"/>
      <c r="D38" s="945"/>
    </row>
    <row r="39" spans="1:4" x14ac:dyDescent="0.25">
      <c r="A39" s="1119" t="s">
        <v>1296</v>
      </c>
      <c r="B39" s="1117">
        <v>1</v>
      </c>
      <c r="C39" s="1117"/>
      <c r="D39" s="945"/>
    </row>
    <row r="40" spans="1:4" x14ac:dyDescent="0.25">
      <c r="A40" s="1119" t="s">
        <v>1297</v>
      </c>
      <c r="B40" s="1117">
        <v>100</v>
      </c>
      <c r="C40" s="1117" t="s">
        <v>1298</v>
      </c>
      <c r="D40" s="945"/>
    </row>
    <row r="41" spans="1:4" x14ac:dyDescent="0.25">
      <c r="A41" s="1119" t="s">
        <v>1299</v>
      </c>
      <c r="B41" s="1117">
        <v>35</v>
      </c>
      <c r="C41" s="1117"/>
      <c r="D41" s="945"/>
    </row>
    <row r="42" spans="1:4" x14ac:dyDescent="0.25">
      <c r="A42" s="1119" t="s">
        <v>1300</v>
      </c>
      <c r="B42" s="1117">
        <v>150</v>
      </c>
      <c r="C42" s="1117" t="s">
        <v>1301</v>
      </c>
      <c r="D42" s="945"/>
    </row>
    <row r="43" spans="1:4" x14ac:dyDescent="0.25">
      <c r="A43" s="1119" t="s">
        <v>1302</v>
      </c>
      <c r="B43" s="1117">
        <v>100</v>
      </c>
      <c r="C43" s="1117"/>
      <c r="D43" s="945"/>
    </row>
    <row r="44" spans="1:4" x14ac:dyDescent="0.25">
      <c r="A44" s="1119" t="s">
        <v>1303</v>
      </c>
      <c r="B44" s="1117">
        <v>10</v>
      </c>
      <c r="C44" s="1117" t="s">
        <v>1304</v>
      </c>
      <c r="D44" s="945"/>
    </row>
    <row r="45" spans="1:4" x14ac:dyDescent="0.25">
      <c r="A45" s="945"/>
      <c r="B45" s="945"/>
      <c r="C45" s="945"/>
      <c r="D45" s="945"/>
    </row>
    <row r="46" spans="1:4" ht="15.75" thickBot="1" x14ac:dyDescent="0.3">
      <c r="A46" s="1121" t="s">
        <v>1305</v>
      </c>
      <c r="B46" s="1122"/>
      <c r="C46" s="1123"/>
      <c r="D46" s="945"/>
    </row>
    <row r="47" spans="1:4" x14ac:dyDescent="0.25">
      <c r="A47" s="646" t="s">
        <v>612</v>
      </c>
      <c r="B47" s="640">
        <f>'Summary Bioplan'!W11</f>
        <v>1828.1606264256973</v>
      </c>
      <c r="C47" s="641" t="s">
        <v>1306</v>
      </c>
      <c r="D47" s="945"/>
    </row>
    <row r="48" spans="1:4" x14ac:dyDescent="0.25">
      <c r="A48" s="633" t="s">
        <v>514</v>
      </c>
      <c r="B48" s="1124">
        <f>'Summary Bioplan'!Z30/30</f>
        <v>43.682830775979205</v>
      </c>
      <c r="C48" s="637" t="s">
        <v>515</v>
      </c>
      <c r="D48" s="945"/>
    </row>
    <row r="49" spans="1:4" x14ac:dyDescent="0.25">
      <c r="A49" s="633" t="s">
        <v>676</v>
      </c>
      <c r="B49" s="638">
        <v>0.4</v>
      </c>
      <c r="C49" s="637" t="s">
        <v>673</v>
      </c>
      <c r="D49" s="945"/>
    </row>
    <row r="50" spans="1:4" x14ac:dyDescent="0.25">
      <c r="A50" s="633" t="s">
        <v>675</v>
      </c>
      <c r="B50" s="638">
        <v>0.16</v>
      </c>
      <c r="C50" s="637"/>
      <c r="D50" s="945"/>
    </row>
    <row r="51" spans="1:4" x14ac:dyDescent="0.25">
      <c r="A51" s="633" t="s">
        <v>677</v>
      </c>
      <c r="B51" s="638">
        <v>0.61</v>
      </c>
      <c r="C51" s="637"/>
      <c r="D51" s="945"/>
    </row>
    <row r="52" spans="1:4" x14ac:dyDescent="0.25">
      <c r="A52" s="633" t="s">
        <v>678</v>
      </c>
      <c r="B52" s="638">
        <v>1.2</v>
      </c>
      <c r="C52" s="637" t="s">
        <v>673</v>
      </c>
      <c r="D52" s="945"/>
    </row>
    <row r="53" spans="1:4" x14ac:dyDescent="0.25">
      <c r="A53" s="633" t="s">
        <v>674</v>
      </c>
      <c r="B53" s="642">
        <f>B48*B49*B50*B51*B52</f>
        <v>2.0464532561930739</v>
      </c>
      <c r="C53" s="637" t="s">
        <v>1307</v>
      </c>
      <c r="D53" s="945"/>
    </row>
    <row r="54" spans="1:4" x14ac:dyDescent="0.25">
      <c r="A54" s="633" t="s">
        <v>679</v>
      </c>
      <c r="B54" s="639">
        <v>0.2</v>
      </c>
      <c r="C54" s="637"/>
      <c r="D54" s="945"/>
    </row>
    <row r="55" spans="1:4" x14ac:dyDescent="0.25">
      <c r="A55" s="633" t="s">
        <v>680</v>
      </c>
      <c r="B55" s="634">
        <f>B53*0.8</f>
        <v>1.6371626049544592</v>
      </c>
      <c r="C55" s="637" t="s">
        <v>1308</v>
      </c>
      <c r="D55" s="945"/>
    </row>
    <row r="56" spans="1:4" x14ac:dyDescent="0.25">
      <c r="A56" s="633" t="s">
        <v>669</v>
      </c>
      <c r="B56" s="635">
        <v>7.5000000000000002E-4</v>
      </c>
      <c r="C56" s="637" t="s">
        <v>1309</v>
      </c>
      <c r="D56" s="945"/>
    </row>
    <row r="57" spans="1:4" x14ac:dyDescent="0.25">
      <c r="A57" s="633" t="s">
        <v>672</v>
      </c>
      <c r="B57" s="634">
        <f>B55*(1/B56)</f>
        <v>2182.8834732726123</v>
      </c>
      <c r="C57" s="637" t="s">
        <v>1310</v>
      </c>
      <c r="D57" s="945"/>
    </row>
    <row r="58" spans="1:4" x14ac:dyDescent="0.25">
      <c r="A58" s="633" t="s">
        <v>671</v>
      </c>
      <c r="B58" s="643">
        <v>1200</v>
      </c>
      <c r="C58" s="637" t="s">
        <v>1311</v>
      </c>
      <c r="D58" s="945"/>
    </row>
    <row r="59" spans="1:4" x14ac:dyDescent="0.25">
      <c r="A59" s="633" t="s">
        <v>1312</v>
      </c>
      <c r="B59" s="1125">
        <f>B57*(1/B58)</f>
        <v>1.8190695610605103</v>
      </c>
      <c r="C59" s="637" t="s">
        <v>1313</v>
      </c>
      <c r="D59" s="945"/>
    </row>
    <row r="60" spans="1:4" x14ac:dyDescent="0.25">
      <c r="A60" s="633" t="s">
        <v>518</v>
      </c>
      <c r="B60" s="643">
        <v>1.5</v>
      </c>
      <c r="C60" s="637" t="s">
        <v>519</v>
      </c>
      <c r="D60" s="945"/>
    </row>
    <row r="61" spans="1:4" x14ac:dyDescent="0.25">
      <c r="A61" s="633" t="s">
        <v>520</v>
      </c>
      <c r="B61" s="1125">
        <f>B55/(B58*B60/1000000)/24</f>
        <v>37.897282522093967</v>
      </c>
      <c r="C61" s="637" t="s">
        <v>1314</v>
      </c>
      <c r="D61" s="945"/>
    </row>
    <row r="62" spans="1:4" x14ac:dyDescent="0.25">
      <c r="A62" s="633" t="s">
        <v>1315</v>
      </c>
      <c r="B62" s="638">
        <v>24</v>
      </c>
      <c r="C62" s="637" t="s">
        <v>1316</v>
      </c>
      <c r="D62" s="945"/>
    </row>
    <row r="63" spans="1:4" x14ac:dyDescent="0.25">
      <c r="A63" s="633" t="s">
        <v>1317</v>
      </c>
      <c r="B63" s="638">
        <v>30</v>
      </c>
      <c r="C63" s="637" t="s">
        <v>779</v>
      </c>
      <c r="D63" s="945"/>
    </row>
    <row r="64" spans="1:4" x14ac:dyDescent="0.25">
      <c r="A64" s="633" t="s">
        <v>1318</v>
      </c>
      <c r="B64" s="638">
        <f>1000*1.42903*(EXP(-58.3877+(85.8079*(100/(B62+273.15)))+(23.8439*LN((B62+273.15)/100))))*0.20946*(((10^(2.880814-((B63/3.281)/19748.2)))-(4.7603*EXP(0.0645*B62)))/760)</f>
        <v>8.3930447699764219</v>
      </c>
      <c r="C64" s="637" t="s">
        <v>519</v>
      </c>
      <c r="D64" s="945"/>
    </row>
    <row r="65" spans="1:4" x14ac:dyDescent="0.25">
      <c r="A65" s="633" t="s">
        <v>1319</v>
      </c>
      <c r="B65" s="638">
        <v>14.2</v>
      </c>
      <c r="C65" s="637" t="s">
        <v>519</v>
      </c>
      <c r="D65" s="945"/>
    </row>
    <row r="66" spans="1:4" x14ac:dyDescent="0.25">
      <c r="A66" s="633" t="s">
        <v>1320</v>
      </c>
      <c r="B66" s="642">
        <v>5</v>
      </c>
      <c r="C66" s="637" t="s">
        <v>519</v>
      </c>
      <c r="D66" s="945"/>
    </row>
    <row r="67" spans="1:4" x14ac:dyDescent="0.25">
      <c r="A67" s="633" t="s">
        <v>1321</v>
      </c>
      <c r="B67" s="642">
        <v>0.5</v>
      </c>
      <c r="C67" s="637" t="s">
        <v>1322</v>
      </c>
      <c r="D67" s="945"/>
    </row>
    <row r="68" spans="1:4" x14ac:dyDescent="0.25">
      <c r="A68" s="633" t="s">
        <v>1323</v>
      </c>
      <c r="B68" s="642">
        <f>1000*(B48*B67)/1440</f>
        <v>15.167649574992781</v>
      </c>
      <c r="C68" s="637" t="s">
        <v>521</v>
      </c>
      <c r="D68" s="945"/>
    </row>
    <row r="69" spans="1:4" x14ac:dyDescent="0.25">
      <c r="A69" s="633"/>
      <c r="B69" s="1126">
        <f>B68*1.44</f>
        <v>21.841415387989603</v>
      </c>
      <c r="C69" s="637" t="s">
        <v>522</v>
      </c>
      <c r="D69" s="945"/>
    </row>
    <row r="70" spans="1:4" x14ac:dyDescent="0.25">
      <c r="A70" s="633" t="s">
        <v>1324</v>
      </c>
      <c r="B70" s="642">
        <f>B48*B90/24</f>
        <v>3.6402358979982674E-2</v>
      </c>
      <c r="C70" s="637" t="s">
        <v>1325</v>
      </c>
      <c r="D70" s="945"/>
    </row>
    <row r="71" spans="1:4" x14ac:dyDescent="0.25">
      <c r="A71" s="633"/>
      <c r="B71" s="638">
        <f>(B48*B90)*1000/1440</f>
        <v>0.60670598299971124</v>
      </c>
      <c r="C71" s="637" t="s">
        <v>1326</v>
      </c>
      <c r="D71" s="945"/>
    </row>
    <row r="72" spans="1:4" x14ac:dyDescent="0.25">
      <c r="A72" s="633" t="s">
        <v>1327</v>
      </c>
      <c r="B72" s="638">
        <f>1.375*B67</f>
        <v>0.6875</v>
      </c>
      <c r="C72" s="637" t="s">
        <v>523</v>
      </c>
      <c r="D72" s="945"/>
    </row>
    <row r="73" spans="1:4" x14ac:dyDescent="0.25">
      <c r="A73" s="633" t="s">
        <v>1328</v>
      </c>
      <c r="B73" s="638">
        <f>B72*B48*1000/24</f>
        <v>1251.3310899369042</v>
      </c>
      <c r="C73" s="637" t="s">
        <v>524</v>
      </c>
      <c r="D73" s="945"/>
    </row>
    <row r="74" spans="1:4" x14ac:dyDescent="0.25">
      <c r="A74" s="633" t="s">
        <v>1329</v>
      </c>
      <c r="B74" s="638">
        <f>B72*B48</f>
        <v>30.031946158485702</v>
      </c>
      <c r="C74" s="637" t="s">
        <v>1330</v>
      </c>
      <c r="D74" s="945"/>
    </row>
    <row r="75" spans="1:4" x14ac:dyDescent="0.25">
      <c r="A75" s="633" t="s">
        <v>525</v>
      </c>
      <c r="B75" s="638">
        <v>0.3</v>
      </c>
      <c r="C75" s="637" t="s">
        <v>526</v>
      </c>
      <c r="D75" s="945"/>
    </row>
    <row r="76" spans="1:4" x14ac:dyDescent="0.25">
      <c r="A76" s="633" t="s">
        <v>1331</v>
      </c>
      <c r="B76" s="638">
        <f>B75*B48</f>
        <v>13.104849232793761</v>
      </c>
      <c r="C76" s="637" t="s">
        <v>527</v>
      </c>
      <c r="D76" s="945"/>
    </row>
    <row r="77" spans="1:4" x14ac:dyDescent="0.25">
      <c r="A77" s="633" t="s">
        <v>450</v>
      </c>
      <c r="B77" s="638">
        <f>B76*1000000/1000</f>
        <v>13104.849232793762</v>
      </c>
      <c r="C77" s="637" t="s">
        <v>1332</v>
      </c>
      <c r="D77" s="945"/>
    </row>
    <row r="78" spans="1:4" x14ac:dyDescent="0.25">
      <c r="A78" s="633" t="s">
        <v>1333</v>
      </c>
      <c r="B78" s="1127">
        <v>0.1</v>
      </c>
      <c r="C78" s="637" t="s">
        <v>743</v>
      </c>
      <c r="D78" s="945"/>
    </row>
    <row r="79" spans="1:4" x14ac:dyDescent="0.25">
      <c r="A79" s="633" t="s">
        <v>1334</v>
      </c>
      <c r="B79" s="634">
        <f>B78*H27</f>
        <v>587.04166666666674</v>
      </c>
      <c r="C79" s="637" t="s">
        <v>1335</v>
      </c>
      <c r="D79" s="945"/>
    </row>
    <row r="80" spans="1:4" x14ac:dyDescent="0.25">
      <c r="A80" s="633" t="s">
        <v>1336</v>
      </c>
      <c r="B80" s="642">
        <f>0.95*B64</f>
        <v>7.9733925314776002</v>
      </c>
      <c r="C80" s="637" t="s">
        <v>519</v>
      </c>
      <c r="D80" s="945"/>
    </row>
    <row r="81" spans="1:4" x14ac:dyDescent="0.25">
      <c r="A81" s="633" t="s">
        <v>1337</v>
      </c>
      <c r="B81" s="642">
        <v>0.03</v>
      </c>
      <c r="C81" s="637" t="s">
        <v>519</v>
      </c>
      <c r="D81" s="945"/>
    </row>
    <row r="82" spans="1:4" x14ac:dyDescent="0.25">
      <c r="A82" s="633" t="s">
        <v>1338</v>
      </c>
      <c r="B82" s="642">
        <v>0.5</v>
      </c>
      <c r="C82" s="637" t="s">
        <v>519</v>
      </c>
      <c r="D82" s="945"/>
    </row>
    <row r="83" spans="1:4" x14ac:dyDescent="0.25">
      <c r="A83" s="633" t="s">
        <v>1339</v>
      </c>
      <c r="B83" s="642">
        <v>0.05</v>
      </c>
      <c r="C83" s="637" t="s">
        <v>519</v>
      </c>
      <c r="D83" s="945"/>
    </row>
    <row r="84" spans="1:4" x14ac:dyDescent="0.25">
      <c r="A84" s="633" t="s">
        <v>1340</v>
      </c>
      <c r="B84" s="642">
        <v>0.5</v>
      </c>
      <c r="C84" s="645" t="s">
        <v>519</v>
      </c>
      <c r="D84" s="945"/>
    </row>
    <row r="85" spans="1:4" ht="23.25" x14ac:dyDescent="0.25">
      <c r="A85" s="633"/>
      <c r="B85" s="638"/>
      <c r="C85" s="637" t="s">
        <v>1341</v>
      </c>
      <c r="D85" s="1128" t="s">
        <v>1342</v>
      </c>
    </row>
    <row r="86" spans="1:4" x14ac:dyDescent="0.25">
      <c r="A86" s="633" t="s">
        <v>1343</v>
      </c>
      <c r="B86" s="642">
        <v>0.7</v>
      </c>
      <c r="C86" s="637">
        <v>0.5</v>
      </c>
      <c r="D86" s="636">
        <f>B37+B86*(C86-B37)</f>
        <v>12.350000000000001</v>
      </c>
    </row>
    <row r="87" spans="1:4" x14ac:dyDescent="0.25">
      <c r="A87" s="633" t="s">
        <v>1344</v>
      </c>
      <c r="B87" s="642">
        <v>0.35</v>
      </c>
      <c r="C87" s="637">
        <v>0</v>
      </c>
      <c r="D87" s="636">
        <f>B38+B87*(C87-B38)</f>
        <v>1.3</v>
      </c>
    </row>
    <row r="88" spans="1:4" x14ac:dyDescent="0.25">
      <c r="A88" s="633" t="s">
        <v>1345</v>
      </c>
      <c r="B88" s="642">
        <v>0.75</v>
      </c>
      <c r="C88" s="637">
        <v>0</v>
      </c>
      <c r="D88" s="636">
        <f>B39+B88*(C88-B39)</f>
        <v>0.25</v>
      </c>
    </row>
    <row r="89" spans="1:4" x14ac:dyDescent="0.25">
      <c r="A89" s="633" t="s">
        <v>1346</v>
      </c>
      <c r="B89" s="642">
        <v>70</v>
      </c>
      <c r="C89" s="641" t="s">
        <v>1347</v>
      </c>
      <c r="D89" s="945"/>
    </row>
    <row r="90" spans="1:4" x14ac:dyDescent="0.25">
      <c r="A90" s="633" t="s">
        <v>1348</v>
      </c>
      <c r="B90" s="642">
        <v>0.02</v>
      </c>
      <c r="C90" s="637" t="s">
        <v>1349</v>
      </c>
      <c r="D90" s="945"/>
    </row>
    <row r="91" spans="1:4" x14ac:dyDescent="0.25">
      <c r="A91" s="633" t="s">
        <v>1350</v>
      </c>
      <c r="B91" s="638">
        <f>H27</f>
        <v>5870.416666666667</v>
      </c>
      <c r="C91" s="637" t="s">
        <v>1351</v>
      </c>
      <c r="D91" s="945"/>
    </row>
    <row r="92" spans="1:4" x14ac:dyDescent="0.25">
      <c r="A92" s="633" t="s">
        <v>1352</v>
      </c>
      <c r="B92" s="638">
        <f>(B48*B67/1440)/((B65-B66)*(1/1000000))</f>
        <v>1648.6575624992154</v>
      </c>
      <c r="C92" s="637" t="s">
        <v>1351</v>
      </c>
      <c r="D92" s="945"/>
    </row>
    <row r="93" spans="1:4" x14ac:dyDescent="0.25">
      <c r="A93" s="633" t="s">
        <v>1353</v>
      </c>
      <c r="B93" s="638">
        <f>(B55*1000000/1440)/(((B38-(B38*(1-B87)))*(1)))</f>
        <v>1624.1692509468844</v>
      </c>
      <c r="C93" s="637" t="s">
        <v>1351</v>
      </c>
      <c r="D93" s="945"/>
    </row>
    <row r="94" spans="1:4" x14ac:dyDescent="0.25">
      <c r="A94" s="633" t="s">
        <v>1354</v>
      </c>
      <c r="B94" s="638">
        <f>(B73*1000/60)/(((B37-(B37*(1-B86)))*1))</f>
        <v>744.83993448625256</v>
      </c>
      <c r="C94" s="637" t="s">
        <v>1351</v>
      </c>
      <c r="D94" s="945"/>
    </row>
    <row r="95" spans="1:4" x14ac:dyDescent="0.25">
      <c r="A95" s="633" t="s">
        <v>1355</v>
      </c>
      <c r="B95" s="638">
        <f>((B55*1000000)*(1-(B54/1000))/(1440*(B40-B83)))</f>
        <v>11.372597218286007</v>
      </c>
      <c r="C95" s="637" t="s">
        <v>1351</v>
      </c>
      <c r="D95" s="945"/>
    </row>
  </sheetData>
  <pageMargins left="0.7" right="0.7" top="0.75" bottom="0.75" header="0.3" footer="0.3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zoomScale="62" zoomScaleNormal="62" workbookViewId="0">
      <selection activeCell="AA13" sqref="AA13"/>
    </sheetView>
  </sheetViews>
  <sheetFormatPr defaultColWidth="9.140625" defaultRowHeight="15" x14ac:dyDescent="0.25"/>
  <cols>
    <col min="1" max="1" width="31.28515625" style="945" bestFit="1" customWidth="1"/>
    <col min="2" max="2" width="3.85546875" style="945" bestFit="1" customWidth="1"/>
    <col min="3" max="3" width="4.28515625" style="945" bestFit="1" customWidth="1"/>
    <col min="4" max="4" width="4.42578125" style="945" bestFit="1" customWidth="1"/>
    <col min="5" max="5" width="4.140625" style="945" bestFit="1" customWidth="1"/>
    <col min="6" max="6" width="4.7109375" style="945" bestFit="1" customWidth="1"/>
    <col min="7" max="7" width="4" style="945" bestFit="1" customWidth="1"/>
    <col min="8" max="8" width="3.42578125" style="945" bestFit="1" customWidth="1"/>
    <col min="9" max="9" width="4.42578125" style="945" bestFit="1" customWidth="1"/>
    <col min="10" max="10" width="4.28515625" style="945" bestFit="1" customWidth="1"/>
    <col min="11" max="11" width="4" style="945" bestFit="1" customWidth="1"/>
    <col min="12" max="12" width="4.5703125" style="945" bestFit="1" customWidth="1"/>
    <col min="13" max="13" width="4.28515625" style="945" bestFit="1" customWidth="1"/>
    <col min="14" max="14" width="3.85546875" style="945" bestFit="1" customWidth="1"/>
    <col min="15" max="15" width="4.28515625" style="945" bestFit="1" customWidth="1"/>
    <col min="16" max="16" width="4.42578125" style="945" bestFit="1" customWidth="1"/>
    <col min="17" max="17" width="4.140625" style="945" bestFit="1" customWidth="1"/>
    <col min="18" max="18" width="4.7109375" style="945" bestFit="1" customWidth="1"/>
    <col min="19" max="19" width="4" style="945" bestFit="1" customWidth="1"/>
    <col min="20" max="20" width="3.42578125" style="945" bestFit="1" customWidth="1"/>
    <col min="21" max="21" width="4.42578125" style="945" bestFit="1" customWidth="1"/>
    <col min="22" max="22" width="4.28515625" style="945" bestFit="1" customWidth="1"/>
    <col min="23" max="23" width="4" style="945" bestFit="1" customWidth="1"/>
    <col min="24" max="24" width="4.5703125" style="945" bestFit="1" customWidth="1"/>
    <col min="25" max="25" width="4.28515625" style="945" bestFit="1" customWidth="1"/>
    <col min="26" max="26" width="3.85546875" style="945" bestFit="1" customWidth="1"/>
    <col min="27" max="27" width="4.28515625" style="945" bestFit="1" customWidth="1"/>
    <col min="28" max="28" width="4.42578125" style="945" bestFit="1" customWidth="1"/>
    <col min="29" max="29" width="4.140625" style="945" bestFit="1" customWidth="1"/>
    <col min="30" max="30" width="4.7109375" style="945" bestFit="1" customWidth="1"/>
    <col min="31" max="31" width="4" style="945" bestFit="1" customWidth="1"/>
    <col min="32" max="32" width="3.42578125" style="945" bestFit="1" customWidth="1"/>
    <col min="33" max="33" width="4.42578125" style="945" bestFit="1" customWidth="1"/>
    <col min="34" max="34" width="4.28515625" style="945" bestFit="1" customWidth="1"/>
    <col min="35" max="35" width="4" style="945" bestFit="1" customWidth="1"/>
    <col min="36" max="36" width="4.5703125" style="945" bestFit="1" customWidth="1"/>
    <col min="37" max="37" width="4.28515625" style="945" bestFit="1" customWidth="1"/>
    <col min="38" max="38" width="3.85546875" style="945" bestFit="1" customWidth="1"/>
    <col min="39" max="39" width="4.28515625" style="945" bestFit="1" customWidth="1"/>
    <col min="40" max="40" width="4.42578125" style="945" bestFit="1" customWidth="1"/>
    <col min="41" max="41" width="4.140625" style="945" bestFit="1" customWidth="1"/>
    <col min="42" max="42" width="4.7109375" style="945" bestFit="1" customWidth="1"/>
    <col min="43" max="43" width="4" style="945" bestFit="1" customWidth="1"/>
    <col min="44" max="44" width="3.42578125" style="945" bestFit="1" customWidth="1"/>
    <col min="45" max="45" width="4.42578125" style="945" bestFit="1" customWidth="1"/>
    <col min="46" max="46" width="4.28515625" style="945" bestFit="1" customWidth="1"/>
    <col min="47" max="47" width="4" style="945" bestFit="1" customWidth="1"/>
    <col min="48" max="48" width="4.5703125" style="945" bestFit="1" customWidth="1"/>
    <col min="49" max="49" width="4.28515625" style="945" bestFit="1" customWidth="1"/>
    <col min="50" max="50" width="3.85546875" style="945" bestFit="1" customWidth="1"/>
    <col min="51" max="51" width="5.42578125" style="945" bestFit="1" customWidth="1"/>
    <col min="52" max="16384" width="9.140625" style="945"/>
  </cols>
  <sheetData>
    <row r="1" spans="1:51" x14ac:dyDescent="0.25">
      <c r="A1" s="1178" t="s">
        <v>1387</v>
      </c>
      <c r="B1" s="1179"/>
      <c r="C1" s="1179"/>
      <c r="D1" s="1427" t="s">
        <v>455</v>
      </c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9"/>
      <c r="P1" s="1427" t="s">
        <v>456</v>
      </c>
      <c r="Q1" s="1428"/>
      <c r="R1" s="1428"/>
      <c r="S1" s="1428"/>
      <c r="T1" s="1428"/>
      <c r="U1" s="1428"/>
      <c r="V1" s="1428"/>
      <c r="W1" s="1428"/>
      <c r="X1" s="1428"/>
      <c r="Y1" s="1428"/>
      <c r="Z1" s="1428"/>
      <c r="AA1" s="1429"/>
      <c r="AB1" s="1427" t="s">
        <v>457</v>
      </c>
      <c r="AC1" s="1428"/>
      <c r="AD1" s="1428"/>
      <c r="AE1" s="1428"/>
      <c r="AF1" s="1428"/>
      <c r="AG1" s="1428"/>
      <c r="AH1" s="1428"/>
      <c r="AI1" s="1428"/>
      <c r="AJ1" s="1428"/>
      <c r="AK1" s="1428"/>
      <c r="AL1" s="1428"/>
      <c r="AM1" s="1429"/>
      <c r="AN1" s="1427" t="s">
        <v>458</v>
      </c>
      <c r="AO1" s="1428"/>
      <c r="AP1" s="1428"/>
      <c r="AQ1" s="1428"/>
      <c r="AR1" s="1428"/>
      <c r="AS1" s="1428"/>
      <c r="AT1" s="1428"/>
      <c r="AU1" s="1428"/>
      <c r="AV1" s="1428"/>
      <c r="AW1" s="1428"/>
      <c r="AX1" s="1428"/>
      <c r="AY1" s="1429"/>
    </row>
    <row r="2" spans="1:51" x14ac:dyDescent="0.25">
      <c r="A2" s="1180" t="s">
        <v>1388</v>
      </c>
      <c r="B2" s="1181" t="s">
        <v>172</v>
      </c>
      <c r="C2" s="1181" t="s">
        <v>173</v>
      </c>
      <c r="D2" s="1181" t="s">
        <v>174</v>
      </c>
      <c r="E2" s="1181" t="s">
        <v>175</v>
      </c>
      <c r="F2" s="1181" t="s">
        <v>176</v>
      </c>
      <c r="G2" s="1181" t="s">
        <v>177</v>
      </c>
      <c r="H2" s="1181" t="s">
        <v>166</v>
      </c>
      <c r="I2" s="1181" t="s">
        <v>167</v>
      </c>
      <c r="J2" s="1181" t="s">
        <v>168</v>
      </c>
      <c r="K2" s="1181" t="s">
        <v>169</v>
      </c>
      <c r="L2" s="1181" t="s">
        <v>170</v>
      </c>
      <c r="M2" s="1181" t="s">
        <v>171</v>
      </c>
      <c r="N2" s="1181" t="s">
        <v>172</v>
      </c>
      <c r="O2" s="1180" t="s">
        <v>173</v>
      </c>
      <c r="P2" s="1181" t="s">
        <v>174</v>
      </c>
      <c r="Q2" s="1181" t="s">
        <v>175</v>
      </c>
      <c r="R2" s="1181" t="s">
        <v>176</v>
      </c>
      <c r="S2" s="1181" t="s">
        <v>177</v>
      </c>
      <c r="T2" s="1181" t="s">
        <v>166</v>
      </c>
      <c r="U2" s="1181" t="s">
        <v>167</v>
      </c>
      <c r="V2" s="1181" t="s">
        <v>168</v>
      </c>
      <c r="W2" s="1181" t="s">
        <v>169</v>
      </c>
      <c r="X2" s="1181" t="s">
        <v>170</v>
      </c>
      <c r="Y2" s="1181" t="s">
        <v>171</v>
      </c>
      <c r="Z2" s="1181" t="s">
        <v>172</v>
      </c>
      <c r="AA2" s="1180" t="s">
        <v>173</v>
      </c>
      <c r="AB2" s="1181" t="s">
        <v>174</v>
      </c>
      <c r="AC2" s="1181" t="s">
        <v>175</v>
      </c>
      <c r="AD2" s="1181" t="s">
        <v>176</v>
      </c>
      <c r="AE2" s="1181" t="s">
        <v>177</v>
      </c>
      <c r="AF2" s="1181" t="s">
        <v>166</v>
      </c>
      <c r="AG2" s="1181" t="s">
        <v>167</v>
      </c>
      <c r="AH2" s="1181" t="s">
        <v>168</v>
      </c>
      <c r="AI2" s="1181" t="s">
        <v>169</v>
      </c>
      <c r="AJ2" s="1181" t="s">
        <v>170</v>
      </c>
      <c r="AK2" s="1181" t="s">
        <v>171</v>
      </c>
      <c r="AL2" s="1181" t="s">
        <v>172</v>
      </c>
      <c r="AM2" s="1180" t="s">
        <v>173</v>
      </c>
      <c r="AN2" s="1181" t="s">
        <v>174</v>
      </c>
      <c r="AO2" s="1181" t="s">
        <v>175</v>
      </c>
      <c r="AP2" s="1181" t="s">
        <v>176</v>
      </c>
      <c r="AQ2" s="1181" t="s">
        <v>177</v>
      </c>
      <c r="AR2" s="1181" t="s">
        <v>166</v>
      </c>
      <c r="AS2" s="1181" t="s">
        <v>167</v>
      </c>
      <c r="AT2" s="1181" t="s">
        <v>168</v>
      </c>
      <c r="AU2" s="1181" t="s">
        <v>169</v>
      </c>
      <c r="AV2" s="1181" t="s">
        <v>170</v>
      </c>
      <c r="AW2" s="1181" t="s">
        <v>171</v>
      </c>
      <c r="AX2" s="1181" t="s">
        <v>172</v>
      </c>
      <c r="AY2" s="1180" t="s">
        <v>173</v>
      </c>
    </row>
    <row r="3" spans="1:51" x14ac:dyDescent="0.25">
      <c r="A3" s="1182" t="s">
        <v>1389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1182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1182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1182"/>
      <c r="AN3" s="950"/>
      <c r="AO3" s="950"/>
      <c r="AP3" s="950"/>
      <c r="AQ3" s="950"/>
      <c r="AR3" s="950"/>
      <c r="AS3" s="950"/>
      <c r="AT3" s="950"/>
      <c r="AU3" s="950"/>
      <c r="AV3" s="950"/>
      <c r="AW3" s="950"/>
      <c r="AX3" s="950"/>
      <c r="AY3" s="1182"/>
    </row>
    <row r="4" spans="1:51" x14ac:dyDescent="0.25">
      <c r="A4" s="1182" t="s">
        <v>1390</v>
      </c>
      <c r="B4" s="950"/>
      <c r="C4" s="950"/>
      <c r="D4" s="950"/>
      <c r="E4" s="950"/>
      <c r="F4" s="950"/>
      <c r="G4" s="950"/>
      <c r="H4" s="950"/>
      <c r="I4" s="950"/>
      <c r="J4" s="983"/>
      <c r="K4" s="950"/>
      <c r="L4" s="950"/>
      <c r="M4" s="950"/>
      <c r="N4" s="950"/>
      <c r="O4" s="1182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1182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1182"/>
      <c r="AN4" s="950"/>
      <c r="AO4" s="950"/>
      <c r="AP4" s="950"/>
      <c r="AQ4" s="950"/>
      <c r="AR4" s="950"/>
      <c r="AS4" s="950"/>
      <c r="AT4" s="950"/>
      <c r="AU4" s="950"/>
      <c r="AV4" s="950"/>
      <c r="AW4" s="950"/>
      <c r="AX4" s="950"/>
      <c r="AY4" s="1182"/>
    </row>
    <row r="5" spans="1:51" x14ac:dyDescent="0.25">
      <c r="A5" s="1182" t="s">
        <v>1391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1182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1182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182"/>
      <c r="AN5" s="950"/>
      <c r="AO5" s="950"/>
      <c r="AP5" s="950"/>
      <c r="AQ5" s="950"/>
      <c r="AR5" s="950"/>
      <c r="AS5" s="950"/>
      <c r="AT5" s="950"/>
      <c r="AU5" s="950"/>
      <c r="AV5" s="950"/>
      <c r="AW5" s="950"/>
      <c r="AX5" s="950"/>
      <c r="AY5" s="1182"/>
    </row>
    <row r="6" spans="1:51" x14ac:dyDescent="0.25">
      <c r="A6" s="1182" t="s">
        <v>1392</v>
      </c>
      <c r="B6" s="1183"/>
      <c r="C6" s="1183"/>
      <c r="D6" s="1183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1182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1182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182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1182"/>
    </row>
    <row r="7" spans="1:51" x14ac:dyDescent="0.25">
      <c r="A7" s="1178" t="s">
        <v>1397</v>
      </c>
      <c r="B7" s="984"/>
      <c r="C7" s="984"/>
      <c r="D7" s="9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5"/>
      <c r="P7" s="1184"/>
      <c r="Q7" s="1184"/>
      <c r="R7" s="1184"/>
      <c r="S7" s="1184"/>
      <c r="T7" s="1184"/>
      <c r="U7" s="1184"/>
      <c r="V7" s="1184"/>
      <c r="W7" s="1184"/>
      <c r="X7" s="1184"/>
      <c r="Y7" s="1186"/>
      <c r="Z7" s="1186"/>
      <c r="AA7" s="1189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1178"/>
      <c r="AN7" s="984"/>
      <c r="AO7" s="984"/>
      <c r="AP7" s="984"/>
      <c r="AQ7" s="984"/>
      <c r="AR7" s="984"/>
      <c r="AS7" s="984"/>
      <c r="AT7" s="984"/>
      <c r="AU7" s="984"/>
      <c r="AV7" s="984"/>
      <c r="AW7" s="984"/>
      <c r="AX7" s="984"/>
      <c r="AY7" s="1178"/>
    </row>
    <row r="8" spans="1:51" x14ac:dyDescent="0.25">
      <c r="A8" s="1182" t="s">
        <v>1389</v>
      </c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1182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1182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182"/>
      <c r="AN8" s="950"/>
      <c r="AO8" s="950"/>
      <c r="AP8" s="950"/>
      <c r="AQ8" s="950"/>
      <c r="AR8" s="950"/>
      <c r="AS8" s="950"/>
      <c r="AT8" s="950"/>
      <c r="AU8" s="950"/>
      <c r="AV8" s="950"/>
      <c r="AW8" s="950"/>
      <c r="AX8" s="950"/>
      <c r="AY8" s="1182"/>
    </row>
    <row r="9" spans="1:51" x14ac:dyDescent="0.25">
      <c r="A9" s="1182" t="s">
        <v>1390</v>
      </c>
      <c r="B9" s="950"/>
      <c r="C9" s="95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1182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1182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182"/>
      <c r="AN9" s="950"/>
      <c r="AO9" s="950"/>
      <c r="AP9" s="950"/>
      <c r="AQ9" s="950"/>
      <c r="AR9" s="950"/>
      <c r="AS9" s="950"/>
      <c r="AT9" s="950"/>
      <c r="AU9" s="950"/>
      <c r="AV9" s="950"/>
      <c r="AW9" s="950"/>
      <c r="AX9" s="950"/>
      <c r="AY9" s="1182"/>
    </row>
    <row r="10" spans="1:51" x14ac:dyDescent="0.25">
      <c r="A10" s="1182" t="s">
        <v>1391</v>
      </c>
      <c r="B10" s="950"/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1182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1182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182"/>
      <c r="AN10" s="950"/>
      <c r="AO10" s="950"/>
      <c r="AP10" s="950"/>
      <c r="AQ10" s="950"/>
      <c r="AR10" s="950"/>
      <c r="AS10" s="950"/>
      <c r="AT10" s="950"/>
      <c r="AU10" s="950"/>
      <c r="AV10" s="950"/>
      <c r="AW10" s="950"/>
      <c r="AX10" s="950"/>
      <c r="AY10" s="1182"/>
    </row>
    <row r="11" spans="1:51" x14ac:dyDescent="0.25">
      <c r="A11" s="1182" t="s">
        <v>1392</v>
      </c>
      <c r="B11" s="950"/>
      <c r="C11" s="950"/>
      <c r="D11" s="950"/>
      <c r="E11" s="1183"/>
      <c r="F11" s="1183"/>
      <c r="G11" s="1183"/>
      <c r="H11" s="950"/>
      <c r="I11" s="950"/>
      <c r="J11" s="950"/>
      <c r="K11" s="950"/>
      <c r="L11" s="950"/>
      <c r="M11" s="950"/>
      <c r="N11" s="950"/>
      <c r="O11" s="1182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1182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182"/>
      <c r="AN11" s="950"/>
      <c r="AO11" s="950"/>
      <c r="AP11" s="950"/>
      <c r="AQ11" s="950"/>
      <c r="AR11" s="950"/>
      <c r="AS11" s="950"/>
      <c r="AT11" s="950"/>
      <c r="AU11" s="950"/>
      <c r="AV11" s="950"/>
      <c r="AW11" s="950"/>
      <c r="AX11" s="950"/>
      <c r="AY11" s="1182"/>
    </row>
    <row r="12" spans="1:51" x14ac:dyDescent="0.25">
      <c r="A12" s="1178" t="s">
        <v>1397</v>
      </c>
      <c r="B12" s="984"/>
      <c r="C12" s="984"/>
      <c r="D12" s="984"/>
      <c r="E12" s="984"/>
      <c r="F12" s="984"/>
      <c r="G12" s="984"/>
      <c r="H12" s="1184"/>
      <c r="I12" s="1184"/>
      <c r="J12" s="1184"/>
      <c r="K12" s="1195"/>
      <c r="L12" s="1195"/>
      <c r="M12" s="1195"/>
      <c r="N12" s="1195"/>
      <c r="O12" s="1184"/>
      <c r="P12" s="1184"/>
      <c r="Q12" s="1184"/>
      <c r="R12" s="1184"/>
      <c r="S12" s="1185"/>
      <c r="T12" s="1184"/>
      <c r="U12" s="1184"/>
      <c r="V12" s="1184"/>
      <c r="W12" s="1184"/>
      <c r="X12" s="1184"/>
      <c r="Y12" s="1184"/>
      <c r="Z12" s="1184"/>
      <c r="AA12" s="1184"/>
      <c r="AB12" s="1186"/>
      <c r="AC12" s="1186"/>
      <c r="AD12" s="1186"/>
      <c r="AE12" s="984"/>
      <c r="AF12" s="984"/>
      <c r="AG12" s="984"/>
      <c r="AH12" s="984"/>
      <c r="AI12" s="984"/>
      <c r="AJ12" s="984"/>
      <c r="AK12" s="984"/>
      <c r="AL12" s="984"/>
      <c r="AM12" s="1178"/>
      <c r="AN12" s="984"/>
      <c r="AO12" s="984"/>
      <c r="AP12" s="984"/>
      <c r="AQ12" s="984"/>
      <c r="AR12" s="984"/>
      <c r="AS12" s="984"/>
      <c r="AT12" s="984"/>
      <c r="AU12" s="984"/>
      <c r="AV12" s="984"/>
      <c r="AW12" s="984"/>
      <c r="AX12" s="984"/>
      <c r="AY12" s="1178"/>
    </row>
    <row r="13" spans="1:51" x14ac:dyDescent="0.25">
      <c r="A13" s="1187" t="s">
        <v>1389</v>
      </c>
      <c r="B13" s="1188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7"/>
      <c r="P13" s="1188"/>
      <c r="Q13" s="1188"/>
      <c r="R13" s="1188"/>
      <c r="S13" s="1188"/>
      <c r="T13" s="1188"/>
      <c r="U13" s="1188"/>
      <c r="V13" s="1188"/>
      <c r="W13" s="1188"/>
      <c r="X13" s="1188"/>
      <c r="Y13" s="1188"/>
      <c r="Z13" s="1188"/>
      <c r="AA13" s="1187"/>
      <c r="AB13" s="1188"/>
      <c r="AC13" s="1188"/>
      <c r="AD13" s="1188"/>
      <c r="AE13" s="1188"/>
      <c r="AF13" s="1188"/>
      <c r="AG13" s="1188"/>
      <c r="AH13" s="1188"/>
      <c r="AI13" s="1188"/>
      <c r="AJ13" s="1188"/>
      <c r="AK13" s="1188"/>
      <c r="AL13" s="1188"/>
      <c r="AM13" s="1187"/>
      <c r="AN13" s="1188"/>
      <c r="AO13" s="1188"/>
      <c r="AP13" s="1188"/>
      <c r="AQ13" s="1188"/>
      <c r="AR13" s="1188"/>
      <c r="AS13" s="1188"/>
      <c r="AT13" s="1188"/>
      <c r="AU13" s="1188"/>
      <c r="AV13" s="1188"/>
      <c r="AW13" s="1188"/>
      <c r="AX13" s="1188"/>
      <c r="AY13" s="1187"/>
    </row>
    <row r="14" spans="1:51" x14ac:dyDescent="0.25">
      <c r="A14" s="1182" t="s">
        <v>1390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1182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1182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182"/>
      <c r="AN14" s="950"/>
      <c r="AO14" s="950"/>
      <c r="AP14" s="950"/>
      <c r="AQ14" s="950"/>
      <c r="AR14" s="950"/>
      <c r="AS14" s="950"/>
      <c r="AT14" s="950"/>
      <c r="AU14" s="950"/>
      <c r="AV14" s="950"/>
      <c r="AW14" s="950"/>
      <c r="AX14" s="950"/>
      <c r="AY14" s="1182"/>
    </row>
    <row r="15" spans="1:51" x14ac:dyDescent="0.25">
      <c r="A15" s="1182" t="s">
        <v>1391</v>
      </c>
      <c r="B15" s="950"/>
      <c r="C15" s="950"/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1182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1182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182"/>
      <c r="AN15" s="950"/>
      <c r="AO15" s="950"/>
      <c r="AP15" s="950"/>
      <c r="AQ15" s="950"/>
      <c r="AR15" s="950"/>
      <c r="AS15" s="950"/>
      <c r="AT15" s="950"/>
      <c r="AU15" s="950"/>
      <c r="AV15" s="950"/>
      <c r="AW15" s="950"/>
      <c r="AX15" s="950"/>
      <c r="AY15" s="1182"/>
    </row>
    <row r="16" spans="1:51" x14ac:dyDescent="0.25">
      <c r="A16" s="1182" t="s">
        <v>1392</v>
      </c>
      <c r="B16" s="950"/>
      <c r="C16" s="950"/>
      <c r="D16" s="950"/>
      <c r="E16" s="950"/>
      <c r="F16" s="950"/>
      <c r="G16" s="950"/>
      <c r="H16" s="1183"/>
      <c r="I16" s="1183"/>
      <c r="J16" s="1183"/>
      <c r="K16" s="950"/>
      <c r="L16" s="950"/>
      <c r="M16" s="950"/>
      <c r="N16" s="950"/>
      <c r="O16" s="1182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1182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182"/>
      <c r="AN16" s="950"/>
      <c r="AO16" s="950"/>
      <c r="AP16" s="950"/>
      <c r="AQ16" s="950"/>
      <c r="AR16" s="950"/>
      <c r="AS16" s="950"/>
      <c r="AT16" s="950"/>
      <c r="AU16" s="950"/>
      <c r="AV16" s="950"/>
      <c r="AW16" s="950"/>
      <c r="AX16" s="950"/>
      <c r="AY16" s="1182"/>
    </row>
    <row r="17" spans="1:51" x14ac:dyDescent="0.25">
      <c r="A17" s="1178" t="s">
        <v>1397</v>
      </c>
      <c r="B17" s="984"/>
      <c r="C17" s="984"/>
      <c r="D17" s="984"/>
      <c r="E17" s="984"/>
      <c r="F17" s="984"/>
      <c r="G17" s="984"/>
      <c r="H17" s="984"/>
      <c r="I17" s="984"/>
      <c r="J17" s="984"/>
      <c r="K17" s="1184"/>
      <c r="L17" s="1184"/>
      <c r="M17" s="1184"/>
      <c r="N17" s="1195"/>
      <c r="O17" s="1195"/>
      <c r="P17" s="1195"/>
      <c r="Q17" s="1195"/>
      <c r="R17" s="1184"/>
      <c r="S17" s="1184"/>
      <c r="T17" s="1184"/>
      <c r="U17" s="1184"/>
      <c r="V17" s="1185"/>
      <c r="W17" s="1184"/>
      <c r="X17" s="1184"/>
      <c r="Y17" s="1184"/>
      <c r="Z17" s="1184"/>
      <c r="AA17" s="1184"/>
      <c r="AB17" s="1184"/>
      <c r="AC17" s="1184"/>
      <c r="AD17" s="1184"/>
      <c r="AE17" s="1186"/>
      <c r="AF17" s="1186"/>
      <c r="AG17" s="1186"/>
      <c r="AH17" s="984"/>
      <c r="AI17" s="984"/>
      <c r="AJ17" s="984"/>
      <c r="AK17" s="984"/>
      <c r="AL17" s="984"/>
      <c r="AM17" s="1178"/>
      <c r="AN17" s="984"/>
      <c r="AO17" s="984"/>
      <c r="AP17" s="984"/>
      <c r="AQ17" s="984"/>
      <c r="AR17" s="984"/>
      <c r="AS17" s="984"/>
      <c r="AT17" s="984"/>
      <c r="AU17" s="984"/>
      <c r="AV17" s="984"/>
      <c r="AW17" s="984"/>
      <c r="AX17" s="984"/>
      <c r="AY17" s="1178"/>
    </row>
    <row r="18" spans="1:51" x14ac:dyDescent="0.25">
      <c r="A18" s="1182" t="s">
        <v>1389</v>
      </c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1182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1182"/>
      <c r="AB18" s="950"/>
      <c r="AC18" s="950"/>
      <c r="AD18" s="950"/>
      <c r="AE18" s="950"/>
      <c r="AF18" s="950"/>
      <c r="AG18" s="950"/>
      <c r="AH18" s="950"/>
      <c r="AI18" s="950"/>
      <c r="AJ18" s="950"/>
      <c r="AK18" s="950"/>
      <c r="AL18" s="950"/>
      <c r="AM18" s="1182"/>
      <c r="AN18" s="950"/>
      <c r="AO18" s="950"/>
      <c r="AP18" s="950"/>
      <c r="AQ18" s="950"/>
      <c r="AR18" s="950"/>
      <c r="AS18" s="950"/>
      <c r="AT18" s="950"/>
      <c r="AU18" s="950"/>
      <c r="AV18" s="950"/>
      <c r="AW18" s="950"/>
      <c r="AX18" s="950"/>
      <c r="AY18" s="1182"/>
    </row>
    <row r="19" spans="1:51" x14ac:dyDescent="0.25">
      <c r="A19" s="1182" t="s">
        <v>1390</v>
      </c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1182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1182"/>
      <c r="AB19" s="950"/>
      <c r="AC19" s="950"/>
      <c r="AD19" s="950"/>
      <c r="AE19" s="950"/>
      <c r="AF19" s="950"/>
      <c r="AG19" s="950"/>
      <c r="AH19" s="950"/>
      <c r="AI19" s="950"/>
      <c r="AJ19" s="950"/>
      <c r="AK19" s="950"/>
      <c r="AL19" s="950"/>
      <c r="AM19" s="1182"/>
      <c r="AN19" s="950"/>
      <c r="AO19" s="950"/>
      <c r="AP19" s="950"/>
      <c r="AQ19" s="950"/>
      <c r="AR19" s="950"/>
      <c r="AS19" s="950"/>
      <c r="AT19" s="950"/>
      <c r="AU19" s="950"/>
      <c r="AV19" s="950"/>
      <c r="AW19" s="950"/>
      <c r="AX19" s="950"/>
      <c r="AY19" s="1182"/>
    </row>
    <row r="20" spans="1:51" x14ac:dyDescent="0.25">
      <c r="A20" s="1182" t="s">
        <v>1391</v>
      </c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1182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1182"/>
      <c r="AB20" s="950"/>
      <c r="AC20" s="950"/>
      <c r="AD20" s="950"/>
      <c r="AE20" s="950"/>
      <c r="AF20" s="950"/>
      <c r="AG20" s="950"/>
      <c r="AH20" s="950"/>
      <c r="AI20" s="950"/>
      <c r="AJ20" s="950"/>
      <c r="AK20" s="950"/>
      <c r="AL20" s="950"/>
      <c r="AM20" s="1182"/>
      <c r="AN20" s="950"/>
      <c r="AO20" s="950"/>
      <c r="AP20" s="950"/>
      <c r="AQ20" s="950"/>
      <c r="AR20" s="950"/>
      <c r="AS20" s="950"/>
      <c r="AT20" s="950"/>
      <c r="AU20" s="950"/>
      <c r="AV20" s="950"/>
      <c r="AW20" s="950"/>
      <c r="AX20" s="950"/>
      <c r="AY20" s="1182"/>
    </row>
    <row r="21" spans="1:51" x14ac:dyDescent="0.25">
      <c r="A21" s="1182" t="s">
        <v>1392</v>
      </c>
      <c r="B21" s="950"/>
      <c r="C21" s="950"/>
      <c r="D21" s="950"/>
      <c r="E21" s="950"/>
      <c r="F21" s="950"/>
      <c r="G21" s="950"/>
      <c r="H21" s="950"/>
      <c r="I21" s="950"/>
      <c r="J21" s="950"/>
      <c r="K21" s="1183"/>
      <c r="L21" s="1183"/>
      <c r="M21" s="1183"/>
      <c r="N21" s="950"/>
      <c r="O21" s="1182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1182"/>
      <c r="AB21" s="950"/>
      <c r="AC21" s="950"/>
      <c r="AD21" s="950"/>
      <c r="AE21" s="950"/>
      <c r="AF21" s="950"/>
      <c r="AG21" s="950"/>
      <c r="AH21" s="950"/>
      <c r="AI21" s="950"/>
      <c r="AJ21" s="950"/>
      <c r="AK21" s="950"/>
      <c r="AL21" s="950"/>
      <c r="AM21" s="1182"/>
      <c r="AN21" s="950"/>
      <c r="AO21" s="950"/>
      <c r="AP21" s="950"/>
      <c r="AQ21" s="950"/>
      <c r="AR21" s="950"/>
      <c r="AS21" s="950"/>
      <c r="AT21" s="950"/>
      <c r="AU21" s="950"/>
      <c r="AV21" s="950"/>
      <c r="AW21" s="950"/>
      <c r="AX21" s="950"/>
      <c r="AY21" s="1182"/>
    </row>
    <row r="22" spans="1:51" x14ac:dyDescent="0.25">
      <c r="A22" s="1178" t="s">
        <v>1397</v>
      </c>
      <c r="B22" s="984"/>
      <c r="C22" s="984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1184"/>
      <c r="O22" s="1184"/>
      <c r="P22" s="1184"/>
      <c r="Q22" s="1195"/>
      <c r="R22" s="1195"/>
      <c r="S22" s="1195"/>
      <c r="T22" s="1195"/>
      <c r="U22" s="1184"/>
      <c r="V22" s="1184"/>
      <c r="W22" s="1184"/>
      <c r="X22" s="1184"/>
      <c r="Y22" s="1185"/>
      <c r="Z22" s="1184"/>
      <c r="AA22" s="1184"/>
      <c r="AB22" s="1184"/>
      <c r="AC22" s="1184"/>
      <c r="AD22" s="1184"/>
      <c r="AE22" s="1184"/>
      <c r="AF22" s="1184"/>
      <c r="AG22" s="1184"/>
      <c r="AH22" s="1186"/>
      <c r="AI22" s="1186"/>
      <c r="AJ22" s="1186"/>
      <c r="AK22" s="984"/>
      <c r="AL22" s="984"/>
      <c r="AM22" s="1178"/>
      <c r="AN22" s="984"/>
      <c r="AO22" s="984"/>
      <c r="AP22" s="984"/>
      <c r="AQ22" s="984"/>
      <c r="AR22" s="984"/>
      <c r="AS22" s="984"/>
      <c r="AT22" s="984"/>
      <c r="AU22" s="984"/>
      <c r="AV22" s="984"/>
      <c r="AW22" s="984"/>
      <c r="AX22" s="984"/>
      <c r="AY22" s="1178"/>
    </row>
    <row r="23" spans="1:51" x14ac:dyDescent="0.25">
      <c r="A23" s="1182" t="s">
        <v>1389</v>
      </c>
      <c r="B23" s="950"/>
      <c r="C23" s="950"/>
      <c r="D23" s="950"/>
      <c r="E23" s="950"/>
      <c r="F23" s="950"/>
      <c r="G23" s="950"/>
      <c r="H23" s="950"/>
      <c r="I23" s="950"/>
      <c r="J23" s="950"/>
      <c r="K23" s="950"/>
      <c r="L23" s="1190"/>
      <c r="M23" s="950"/>
      <c r="N23" s="950"/>
      <c r="O23" s="1182"/>
      <c r="P23" s="950"/>
      <c r="Q23" s="950"/>
      <c r="R23" s="950"/>
      <c r="S23" s="950"/>
      <c r="T23" s="950"/>
      <c r="U23" s="950"/>
      <c r="V23" s="950"/>
      <c r="W23" s="950"/>
      <c r="X23" s="950"/>
      <c r="Y23" s="950"/>
      <c r="Z23" s="950"/>
      <c r="AA23" s="1182"/>
      <c r="AB23" s="950"/>
      <c r="AC23" s="950"/>
      <c r="AD23" s="950"/>
      <c r="AE23" s="950"/>
      <c r="AF23" s="950"/>
      <c r="AG23" s="950"/>
      <c r="AH23" s="950"/>
      <c r="AI23" s="950"/>
      <c r="AJ23" s="950"/>
      <c r="AK23" s="950"/>
      <c r="AL23" s="950"/>
      <c r="AM23" s="1182"/>
      <c r="AN23" s="950"/>
      <c r="AO23" s="950"/>
      <c r="AP23" s="950"/>
      <c r="AQ23" s="950"/>
      <c r="AR23" s="950"/>
      <c r="AS23" s="950"/>
      <c r="AT23" s="950"/>
      <c r="AU23" s="950"/>
      <c r="AV23" s="950"/>
      <c r="AW23" s="950"/>
      <c r="AX23" s="950"/>
      <c r="AY23" s="1182"/>
    </row>
    <row r="24" spans="1:51" x14ac:dyDescent="0.25">
      <c r="A24" s="1182" t="s">
        <v>1390</v>
      </c>
      <c r="B24" s="950"/>
      <c r="C24" s="950"/>
      <c r="D24" s="950"/>
      <c r="E24" s="950"/>
      <c r="F24" s="950"/>
      <c r="G24" s="950"/>
      <c r="H24" s="950"/>
      <c r="I24" s="950"/>
      <c r="J24" s="950"/>
      <c r="K24" s="950"/>
      <c r="L24" s="1190"/>
      <c r="M24" s="950"/>
      <c r="N24" s="950"/>
      <c r="O24" s="1182"/>
      <c r="P24" s="950"/>
      <c r="Q24" s="950"/>
      <c r="R24" s="950"/>
      <c r="S24" s="950"/>
      <c r="T24" s="950"/>
      <c r="U24" s="950"/>
      <c r="V24" s="950"/>
      <c r="W24" s="950"/>
      <c r="X24" s="950"/>
      <c r="Y24" s="950"/>
      <c r="Z24" s="950"/>
      <c r="AA24" s="1182"/>
      <c r="AB24" s="950"/>
      <c r="AC24" s="950"/>
      <c r="AD24" s="950"/>
      <c r="AE24" s="950"/>
      <c r="AF24" s="950"/>
      <c r="AG24" s="950"/>
      <c r="AH24" s="950"/>
      <c r="AI24" s="950"/>
      <c r="AJ24" s="950"/>
      <c r="AK24" s="950"/>
      <c r="AL24" s="950"/>
      <c r="AM24" s="1182"/>
      <c r="AN24" s="950"/>
      <c r="AO24" s="950"/>
      <c r="AP24" s="950"/>
      <c r="AQ24" s="950"/>
      <c r="AR24" s="950"/>
      <c r="AS24" s="950"/>
      <c r="AT24" s="950"/>
      <c r="AU24" s="950"/>
      <c r="AV24" s="950"/>
      <c r="AW24" s="950"/>
      <c r="AX24" s="950"/>
      <c r="AY24" s="1182"/>
    </row>
    <row r="25" spans="1:51" x14ac:dyDescent="0.25">
      <c r="A25" s="1182" t="s">
        <v>1391</v>
      </c>
      <c r="B25" s="950"/>
      <c r="C25" s="950"/>
      <c r="D25" s="950"/>
      <c r="E25" s="950"/>
      <c r="F25" s="950"/>
      <c r="G25" s="950"/>
      <c r="H25" s="950"/>
      <c r="I25" s="950"/>
      <c r="J25" s="950"/>
      <c r="K25" s="950"/>
      <c r="L25" s="1191"/>
      <c r="M25" s="1191"/>
      <c r="N25" s="950"/>
      <c r="O25" s="1182"/>
      <c r="P25" s="950"/>
      <c r="Q25" s="950"/>
      <c r="R25" s="950"/>
      <c r="S25" s="950"/>
      <c r="T25" s="950"/>
      <c r="U25" s="950"/>
      <c r="V25" s="950"/>
      <c r="W25" s="950"/>
      <c r="X25" s="950"/>
      <c r="Y25" s="950"/>
      <c r="Z25" s="950"/>
      <c r="AA25" s="1182"/>
      <c r="AB25" s="950"/>
      <c r="AC25" s="950"/>
      <c r="AD25" s="950"/>
      <c r="AE25" s="950"/>
      <c r="AF25" s="950"/>
      <c r="AG25" s="950"/>
      <c r="AH25" s="950"/>
      <c r="AI25" s="950"/>
      <c r="AJ25" s="950"/>
      <c r="AK25" s="950"/>
      <c r="AL25" s="950"/>
      <c r="AM25" s="1182"/>
      <c r="AN25" s="950"/>
      <c r="AO25" s="950"/>
      <c r="AP25" s="950"/>
      <c r="AQ25" s="950"/>
      <c r="AR25" s="950"/>
      <c r="AS25" s="950"/>
      <c r="AT25" s="950"/>
      <c r="AU25" s="950"/>
      <c r="AV25" s="950"/>
      <c r="AW25" s="950"/>
      <c r="AX25" s="950"/>
      <c r="AY25" s="1182"/>
    </row>
    <row r="26" spans="1:51" x14ac:dyDescent="0.25">
      <c r="A26" s="1182" t="s">
        <v>1392</v>
      </c>
      <c r="B26" s="950"/>
      <c r="C26" s="950"/>
      <c r="D26" s="950"/>
      <c r="E26" s="950"/>
      <c r="F26" s="950"/>
      <c r="G26" s="950"/>
      <c r="H26" s="950"/>
      <c r="I26" s="950"/>
      <c r="J26" s="950"/>
      <c r="K26" s="950"/>
      <c r="L26" s="950"/>
      <c r="M26" s="950"/>
      <c r="N26" s="1183"/>
      <c r="O26" s="1192"/>
      <c r="P26" s="1183"/>
      <c r="Q26" s="950"/>
      <c r="R26" s="950"/>
      <c r="S26" s="950"/>
      <c r="T26" s="950"/>
      <c r="U26" s="950"/>
      <c r="V26" s="950"/>
      <c r="W26" s="950"/>
      <c r="X26" s="950"/>
      <c r="Y26" s="950"/>
      <c r="Z26" s="950"/>
      <c r="AA26" s="1182"/>
      <c r="AB26" s="950"/>
      <c r="AC26" s="950"/>
      <c r="AD26" s="950"/>
      <c r="AE26" s="950"/>
      <c r="AF26" s="950"/>
      <c r="AG26" s="950"/>
      <c r="AH26" s="950"/>
      <c r="AI26" s="950"/>
      <c r="AJ26" s="950"/>
      <c r="AK26" s="950"/>
      <c r="AL26" s="950"/>
      <c r="AM26" s="1182"/>
      <c r="AN26" s="950"/>
      <c r="AO26" s="950"/>
      <c r="AP26" s="950"/>
      <c r="AQ26" s="950"/>
      <c r="AR26" s="950"/>
      <c r="AS26" s="950"/>
      <c r="AT26" s="950"/>
      <c r="AU26" s="950"/>
      <c r="AV26" s="950"/>
      <c r="AW26" s="950"/>
      <c r="AX26" s="950"/>
      <c r="AY26" s="1182"/>
    </row>
    <row r="27" spans="1:51" x14ac:dyDescent="0.25">
      <c r="A27" s="1178" t="s">
        <v>1397</v>
      </c>
      <c r="B27" s="984"/>
      <c r="C27" s="984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1178"/>
      <c r="P27" s="984"/>
      <c r="Q27" s="1184"/>
      <c r="R27" s="1184"/>
      <c r="S27" s="1184"/>
      <c r="T27" s="1195"/>
      <c r="U27" s="1195"/>
      <c r="V27" s="1195"/>
      <c r="W27" s="1195"/>
      <c r="X27" s="1184"/>
      <c r="Y27" s="1184"/>
      <c r="Z27" s="1184"/>
      <c r="AA27" s="1184"/>
      <c r="AB27" s="1185"/>
      <c r="AC27" s="1184"/>
      <c r="AD27" s="1184"/>
      <c r="AE27" s="1184"/>
      <c r="AF27" s="1184"/>
      <c r="AG27" s="1184"/>
      <c r="AH27" s="1184"/>
      <c r="AI27" s="1184"/>
      <c r="AJ27" s="1184"/>
      <c r="AK27" s="1186"/>
      <c r="AL27" s="1186"/>
      <c r="AM27" s="1186"/>
      <c r="AN27" s="984"/>
      <c r="AO27" s="984"/>
      <c r="AP27" s="984"/>
      <c r="AQ27" s="984"/>
      <c r="AR27" s="984"/>
      <c r="AS27" s="984"/>
      <c r="AT27" s="984"/>
      <c r="AU27" s="984"/>
      <c r="AV27" s="984"/>
      <c r="AW27" s="984"/>
      <c r="AX27" s="984"/>
      <c r="AY27" s="1178"/>
    </row>
    <row r="28" spans="1:51" x14ac:dyDescent="0.25">
      <c r="A28" s="1182" t="s">
        <v>1389</v>
      </c>
      <c r="B28" s="950"/>
      <c r="C28" s="950"/>
      <c r="D28" s="950"/>
      <c r="E28" s="950"/>
      <c r="F28" s="950"/>
      <c r="G28" s="950"/>
      <c r="H28" s="950"/>
      <c r="I28" s="950"/>
      <c r="J28" s="950"/>
      <c r="K28" s="950"/>
      <c r="L28" s="950"/>
      <c r="M28" s="950"/>
      <c r="N28" s="950"/>
      <c r="O28" s="1193"/>
      <c r="P28" s="950"/>
      <c r="Q28" s="950"/>
      <c r="R28" s="950"/>
      <c r="S28" s="950"/>
      <c r="T28" s="950"/>
      <c r="U28" s="950"/>
      <c r="V28" s="950"/>
      <c r="W28" s="950"/>
      <c r="X28" s="950"/>
      <c r="Y28" s="950"/>
      <c r="Z28" s="950"/>
      <c r="AA28" s="1182"/>
      <c r="AB28" s="950"/>
      <c r="AC28" s="950"/>
      <c r="AD28" s="950"/>
      <c r="AE28" s="950"/>
      <c r="AF28" s="950"/>
      <c r="AG28" s="950"/>
      <c r="AH28" s="950"/>
      <c r="AI28" s="950"/>
      <c r="AJ28" s="950"/>
      <c r="AK28" s="950"/>
      <c r="AL28" s="950"/>
      <c r="AM28" s="1182"/>
      <c r="AN28" s="950"/>
      <c r="AO28" s="950"/>
      <c r="AP28" s="950"/>
      <c r="AQ28" s="950"/>
      <c r="AR28" s="950"/>
      <c r="AS28" s="950"/>
      <c r="AT28" s="950"/>
      <c r="AU28" s="950"/>
      <c r="AV28" s="950"/>
      <c r="AW28" s="950"/>
      <c r="AX28" s="950"/>
      <c r="AY28" s="1182"/>
    </row>
    <row r="29" spans="1:51" x14ac:dyDescent="0.25">
      <c r="A29" s="1182" t="s">
        <v>1390</v>
      </c>
      <c r="B29" s="950"/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1193"/>
      <c r="P29" s="950"/>
      <c r="Q29" s="950"/>
      <c r="R29" s="950"/>
      <c r="S29" s="950"/>
      <c r="T29" s="950"/>
      <c r="U29" s="950"/>
      <c r="V29" s="950"/>
      <c r="W29" s="950"/>
      <c r="X29" s="950"/>
      <c r="Y29" s="950"/>
      <c r="Z29" s="950"/>
      <c r="AA29" s="1182"/>
      <c r="AB29" s="950"/>
      <c r="AC29" s="950"/>
      <c r="AD29" s="950"/>
      <c r="AE29" s="950"/>
      <c r="AF29" s="950"/>
      <c r="AG29" s="950"/>
      <c r="AH29" s="950"/>
      <c r="AI29" s="950"/>
      <c r="AJ29" s="950"/>
      <c r="AK29" s="950"/>
      <c r="AL29" s="950"/>
      <c r="AM29" s="1182"/>
      <c r="AN29" s="950"/>
      <c r="AO29" s="950"/>
      <c r="AP29" s="950"/>
      <c r="AQ29" s="950"/>
      <c r="AR29" s="950"/>
      <c r="AS29" s="950"/>
      <c r="AT29" s="950"/>
      <c r="AU29" s="950"/>
      <c r="AV29" s="950"/>
      <c r="AW29" s="950"/>
      <c r="AX29" s="950"/>
      <c r="AY29" s="1182"/>
    </row>
    <row r="30" spans="1:51" x14ac:dyDescent="0.25">
      <c r="A30" s="1182" t="s">
        <v>1391</v>
      </c>
      <c r="B30" s="950"/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1194"/>
      <c r="P30" s="1191"/>
      <c r="Q30" s="950"/>
      <c r="R30" s="950"/>
      <c r="S30" s="950"/>
      <c r="T30" s="950"/>
      <c r="U30" s="950"/>
      <c r="V30" s="950"/>
      <c r="W30" s="950"/>
      <c r="X30" s="950"/>
      <c r="Y30" s="950"/>
      <c r="Z30" s="950"/>
      <c r="AA30" s="1182"/>
      <c r="AB30" s="950"/>
      <c r="AC30" s="950"/>
      <c r="AD30" s="950"/>
      <c r="AE30" s="950"/>
      <c r="AF30" s="950"/>
      <c r="AG30" s="950"/>
      <c r="AH30" s="950"/>
      <c r="AI30" s="950"/>
      <c r="AJ30" s="950"/>
      <c r="AK30" s="950"/>
      <c r="AL30" s="950"/>
      <c r="AM30" s="1182"/>
      <c r="AN30" s="950"/>
      <c r="AO30" s="950"/>
      <c r="AP30" s="950"/>
      <c r="AQ30" s="950"/>
      <c r="AR30" s="950"/>
      <c r="AS30" s="950"/>
      <c r="AT30" s="950"/>
      <c r="AU30" s="950"/>
      <c r="AV30" s="950"/>
      <c r="AW30" s="950"/>
      <c r="AX30" s="950"/>
      <c r="AY30" s="1182"/>
    </row>
    <row r="31" spans="1:51" x14ac:dyDescent="0.25">
      <c r="A31" s="1182" t="s">
        <v>1392</v>
      </c>
      <c r="B31" s="950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1182"/>
      <c r="P31" s="950"/>
      <c r="Q31" s="1183"/>
      <c r="R31" s="1183"/>
      <c r="S31" s="1183"/>
      <c r="T31" s="950"/>
      <c r="U31" s="950"/>
      <c r="V31" s="950"/>
      <c r="W31" s="950"/>
      <c r="X31" s="950"/>
      <c r="Y31" s="950"/>
      <c r="Z31" s="950"/>
      <c r="AA31" s="1182"/>
      <c r="AB31" s="950"/>
      <c r="AC31" s="950"/>
      <c r="AD31" s="950"/>
      <c r="AE31" s="950"/>
      <c r="AF31" s="950"/>
      <c r="AG31" s="950"/>
      <c r="AH31" s="950"/>
      <c r="AI31" s="950"/>
      <c r="AJ31" s="950"/>
      <c r="AK31" s="950"/>
      <c r="AL31" s="950"/>
      <c r="AM31" s="1182"/>
      <c r="AN31" s="950"/>
      <c r="AO31" s="950"/>
      <c r="AP31" s="950"/>
      <c r="AQ31" s="950"/>
      <c r="AR31" s="950"/>
      <c r="AS31" s="950"/>
      <c r="AT31" s="950"/>
      <c r="AU31" s="950"/>
      <c r="AV31" s="950"/>
      <c r="AW31" s="950"/>
      <c r="AX31" s="950"/>
      <c r="AY31" s="1182"/>
    </row>
    <row r="32" spans="1:51" x14ac:dyDescent="0.25">
      <c r="A32" s="1178" t="s">
        <v>1397</v>
      </c>
      <c r="B32" s="984"/>
      <c r="C32" s="984"/>
      <c r="D32" s="984"/>
      <c r="E32" s="984"/>
      <c r="F32" s="984"/>
      <c r="G32" s="984"/>
      <c r="H32" s="984"/>
      <c r="I32" s="984"/>
      <c r="J32" s="984"/>
      <c r="K32" s="984"/>
      <c r="L32" s="984"/>
      <c r="M32" s="984"/>
      <c r="N32" s="984"/>
      <c r="O32" s="1178"/>
      <c r="P32" s="984"/>
      <c r="Q32" s="984"/>
      <c r="R32" s="984"/>
      <c r="S32" s="984"/>
      <c r="T32" s="1184"/>
      <c r="U32" s="1184"/>
      <c r="V32" s="1184"/>
      <c r="W32" s="1195"/>
      <c r="X32" s="1195"/>
      <c r="Y32" s="1195"/>
      <c r="Z32" s="1195"/>
      <c r="AA32" s="1184"/>
      <c r="AB32" s="1184"/>
      <c r="AC32" s="1184"/>
      <c r="AD32" s="1184"/>
      <c r="AE32" s="1185"/>
      <c r="AF32" s="1184"/>
      <c r="AG32" s="1184"/>
      <c r="AH32" s="1184"/>
      <c r="AI32" s="1184"/>
      <c r="AJ32" s="1184"/>
      <c r="AK32" s="1184"/>
      <c r="AL32" s="1184"/>
      <c r="AM32" s="1184"/>
      <c r="AN32" s="1186"/>
      <c r="AO32" s="1186"/>
      <c r="AP32" s="1186"/>
      <c r="AQ32" s="984"/>
      <c r="AR32" s="984"/>
      <c r="AS32" s="984"/>
      <c r="AT32" s="984"/>
      <c r="AU32" s="984"/>
      <c r="AV32" s="984"/>
      <c r="AW32" s="984"/>
      <c r="AX32" s="984"/>
      <c r="AY32" s="1178"/>
    </row>
  </sheetData>
  <mergeCells count="4">
    <mergeCell ref="D1:O1"/>
    <mergeCell ref="P1:AA1"/>
    <mergeCell ref="AB1:AM1"/>
    <mergeCell ref="AN1:A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K6" sqref="K6"/>
    </sheetView>
  </sheetViews>
  <sheetFormatPr defaultColWidth="8.85546875" defaultRowHeight="12.75" x14ac:dyDescent="0.2"/>
  <cols>
    <col min="1" max="1" width="1.42578125" style="886" customWidth="1"/>
    <col min="2" max="2" width="36.7109375" style="886" customWidth="1"/>
    <col min="3" max="3" width="13.28515625" style="886" customWidth="1"/>
    <col min="4" max="14" width="12.7109375" style="886" customWidth="1"/>
    <col min="15" max="16384" width="8.85546875" style="886"/>
  </cols>
  <sheetData>
    <row r="1" spans="1:13" ht="34.5" customHeight="1" x14ac:dyDescent="0.2">
      <c r="A1" s="205" t="s">
        <v>1400</v>
      </c>
      <c r="B1" s="201" t="s">
        <v>1468</v>
      </c>
      <c r="C1" s="153"/>
      <c r="D1" s="153"/>
    </row>
    <row r="2" spans="1:13" s="887" customFormat="1" ht="20.100000000000001" customHeight="1" x14ac:dyDescent="0.2">
      <c r="B2" s="1201"/>
      <c r="C2" s="1202"/>
      <c r="D2" s="1266"/>
      <c r="E2" s="1203"/>
      <c r="F2" s="1203"/>
      <c r="G2" s="1203"/>
      <c r="H2" s="1204"/>
      <c r="I2" s="1204"/>
      <c r="J2" s="1203"/>
      <c r="K2" s="1205"/>
      <c r="L2" s="1205"/>
    </row>
    <row r="3" spans="1:13" s="31" customFormat="1" ht="20.100000000000001" customHeight="1" x14ac:dyDescent="0.25">
      <c r="B3" s="1326"/>
      <c r="C3" s="1326"/>
      <c r="D3" s="1262"/>
      <c r="E3" s="56"/>
      <c r="F3" s="56"/>
      <c r="G3" s="56"/>
      <c r="H3" s="56"/>
      <c r="I3" s="56"/>
      <c r="J3" s="56"/>
      <c r="K3" s="56"/>
      <c r="L3" s="56"/>
      <c r="M3" s="56"/>
    </row>
    <row r="4" spans="1:13" s="31" customFormat="1" ht="20.100000000000001" customHeight="1" x14ac:dyDescent="0.25">
      <c r="B4" s="1326"/>
      <c r="C4" s="1326"/>
      <c r="D4" s="1262"/>
      <c r="E4" s="56"/>
      <c r="F4" s="56"/>
      <c r="G4" s="56"/>
      <c r="H4" s="56"/>
      <c r="I4" s="56"/>
      <c r="J4" s="56"/>
      <c r="K4" s="56"/>
      <c r="L4" s="56"/>
      <c r="M4" s="56"/>
    </row>
    <row r="5" spans="1:13" s="1267" customFormat="1" ht="20.100000000000001" customHeight="1" x14ac:dyDescent="0.25">
      <c r="B5" s="1326"/>
      <c r="C5" s="1326"/>
      <c r="D5" s="1327"/>
      <c r="E5" s="1327"/>
      <c r="F5" s="1327"/>
      <c r="G5" s="1327"/>
      <c r="H5" s="1327"/>
      <c r="I5" s="1327"/>
      <c r="J5" s="1327"/>
      <c r="K5" s="1327"/>
      <c r="L5" s="1327"/>
      <c r="M5" s="1327"/>
    </row>
    <row r="6" spans="1:13" s="31" customFormat="1" ht="20.100000000000001" customHeight="1" x14ac:dyDescent="0.3">
      <c r="B6" s="684"/>
      <c r="C6" s="1268"/>
      <c r="D6" s="1269"/>
      <c r="E6" s="1269"/>
      <c r="F6" s="1269"/>
      <c r="G6" s="1269"/>
      <c r="H6" s="1269"/>
      <c r="I6" s="1269"/>
      <c r="J6" s="1269"/>
      <c r="K6" s="1269"/>
      <c r="L6" s="1269"/>
      <c r="M6" s="1269"/>
    </row>
    <row r="7" spans="1:13" s="1270" customFormat="1" ht="20.100000000000001" customHeight="1" x14ac:dyDescent="0.3">
      <c r="B7" s="1271"/>
      <c r="C7" s="1272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3" s="31" customFormat="1" ht="20.100000000000001" customHeight="1" x14ac:dyDescent="0.25">
      <c r="B8" s="1273"/>
      <c r="C8" s="1274"/>
      <c r="D8" s="1275"/>
      <c r="E8" s="1275"/>
      <c r="F8" s="1275"/>
      <c r="G8" s="1275"/>
      <c r="H8" s="1275"/>
      <c r="I8" s="1275"/>
      <c r="J8" s="1275"/>
      <c r="K8" s="1275"/>
      <c r="L8" s="1275"/>
      <c r="M8" s="1275"/>
    </row>
    <row r="9" spans="1:13" s="31" customFormat="1" ht="20.100000000000001" customHeight="1" x14ac:dyDescent="0.25">
      <c r="B9" s="1273"/>
      <c r="C9" s="1272"/>
      <c r="D9" s="1275"/>
      <c r="E9" s="1275"/>
      <c r="F9" s="1275"/>
      <c r="G9" s="1275"/>
      <c r="H9" s="1275"/>
      <c r="I9" s="1275"/>
      <c r="J9" s="1275"/>
      <c r="K9" s="1275"/>
      <c r="L9" s="1275"/>
      <c r="M9" s="1275"/>
    </row>
    <row r="10" spans="1:13" s="31" customFormat="1" ht="20.100000000000001" customHeight="1" x14ac:dyDescent="0.25">
      <c r="B10" s="1273"/>
      <c r="C10" s="1272"/>
      <c r="D10" s="1275"/>
      <c r="E10" s="1275"/>
      <c r="F10" s="1275"/>
      <c r="G10" s="1275"/>
      <c r="H10" s="1275"/>
      <c r="I10" s="1275"/>
      <c r="J10" s="1275"/>
      <c r="K10" s="1275"/>
      <c r="L10" s="1275"/>
      <c r="M10" s="1275"/>
    </row>
    <row r="11" spans="1:13" s="31" customFormat="1" ht="20.100000000000001" customHeight="1" x14ac:dyDescent="0.25">
      <c r="B11" s="1273"/>
      <c r="C11" s="1272"/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</row>
    <row r="12" spans="1:13" s="1270" customFormat="1" ht="20.100000000000001" customHeight="1" x14ac:dyDescent="0.3">
      <c r="B12" s="258"/>
      <c r="C12" s="1276"/>
      <c r="D12" s="259"/>
      <c r="E12" s="259"/>
      <c r="F12" s="259"/>
      <c r="G12" s="259"/>
      <c r="H12" s="259"/>
      <c r="I12" s="259"/>
      <c r="J12" s="259"/>
      <c r="K12" s="259"/>
      <c r="L12" s="259"/>
      <c r="M12" s="259"/>
    </row>
    <row r="13" spans="1:13" s="31" customFormat="1" ht="20.100000000000001" customHeight="1" x14ac:dyDescent="0.25">
      <c r="B13" s="1273"/>
      <c r="C13" s="1272"/>
      <c r="D13" s="1275"/>
      <c r="E13" s="1275"/>
      <c r="F13" s="1275"/>
      <c r="G13" s="1275"/>
      <c r="H13" s="1275"/>
      <c r="I13" s="1275"/>
      <c r="J13" s="1275"/>
      <c r="K13" s="1275"/>
      <c r="L13" s="1275"/>
      <c r="M13" s="1275"/>
    </row>
    <row r="14" spans="1:13" s="31" customFormat="1" ht="20.100000000000001" customHeight="1" x14ac:dyDescent="0.25">
      <c r="B14" s="1273"/>
      <c r="C14" s="1272"/>
      <c r="D14" s="1275"/>
      <c r="E14" s="1275"/>
      <c r="F14" s="1275"/>
      <c r="G14" s="1275"/>
      <c r="H14" s="1275"/>
      <c r="I14" s="1275"/>
      <c r="J14" s="1275"/>
      <c r="K14" s="1275"/>
      <c r="L14" s="1275"/>
      <c r="M14" s="1275"/>
    </row>
    <row r="15" spans="1:13" s="31" customFormat="1" ht="20.100000000000001" customHeight="1" x14ac:dyDescent="0.25">
      <c r="B15" s="1273"/>
      <c r="C15" s="1272"/>
      <c r="D15" s="1275"/>
      <c r="E15" s="1275"/>
      <c r="F15" s="1275"/>
      <c r="G15" s="1275"/>
      <c r="H15" s="1275"/>
      <c r="I15" s="1275"/>
      <c r="J15" s="1275"/>
      <c r="K15" s="1275"/>
      <c r="L15" s="1275"/>
      <c r="M15" s="1275"/>
    </row>
    <row r="16" spans="1:13" s="1270" customFormat="1" ht="20.100000000000001" customHeight="1" x14ac:dyDescent="0.3">
      <c r="B16" s="1271"/>
      <c r="C16" s="1272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</row>
    <row r="17" spans="2:13" s="31" customFormat="1" ht="20.100000000000001" customHeight="1" x14ac:dyDescent="0.25">
      <c r="B17" s="1273"/>
      <c r="C17" s="1272"/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</row>
    <row r="18" spans="2:13" s="1270" customFormat="1" ht="20.100000000000001" customHeight="1" x14ac:dyDescent="0.3">
      <c r="B18" s="1271"/>
      <c r="C18" s="1272"/>
      <c r="D18" s="259"/>
      <c r="E18" s="259"/>
      <c r="F18" s="259"/>
      <c r="G18" s="259"/>
      <c r="H18" s="259"/>
      <c r="I18" s="259"/>
      <c r="J18" s="259"/>
      <c r="K18" s="259"/>
      <c r="L18" s="259"/>
      <c r="M18" s="259"/>
    </row>
    <row r="19" spans="2:13" ht="20.100000000000001" customHeight="1" x14ac:dyDescent="0.2"/>
    <row r="20" spans="2:13" ht="20.100000000000001" customHeight="1" thickBot="1" x14ac:dyDescent="0.25"/>
    <row r="21" spans="2:13" s="6" customFormat="1" ht="27" customHeight="1" thickBot="1" x14ac:dyDescent="0.35">
      <c r="B21" s="99"/>
      <c r="C21" s="148"/>
      <c r="D21" s="100">
        <v>0</v>
      </c>
      <c r="E21" s="1278">
        <v>250</v>
      </c>
      <c r="F21" s="1279">
        <v>500</v>
      </c>
      <c r="G21" s="1280">
        <v>750</v>
      </c>
      <c r="H21" s="100">
        <v>1000</v>
      </c>
      <c r="I21" s="100">
        <v>1250</v>
      </c>
      <c r="J21" s="100">
        <v>1500</v>
      </c>
      <c r="K21" s="100">
        <v>1750</v>
      </c>
      <c r="L21" s="100">
        <v>2000</v>
      </c>
      <c r="M21" s="100">
        <v>2250</v>
      </c>
    </row>
    <row r="22" spans="2:13" s="71" customFormat="1" ht="26.25" customHeight="1" x14ac:dyDescent="0.3">
      <c r="B22" s="1261" t="s">
        <v>1444</v>
      </c>
      <c r="C22" s="143"/>
      <c r="D22" s="112"/>
      <c r="E22" s="1281"/>
      <c r="F22" s="1282">
        <f>'Capex Summary Sheet'!F22</f>
        <v>46402938.13949763</v>
      </c>
      <c r="G22" s="1283"/>
      <c r="H22" s="112"/>
      <c r="I22" s="112"/>
      <c r="J22" s="112"/>
      <c r="K22" s="112"/>
      <c r="L22" s="112"/>
      <c r="M22" s="112"/>
    </row>
    <row r="23" spans="2:13" s="6" customFormat="1" ht="18.75" customHeight="1" x14ac:dyDescent="0.25">
      <c r="B23" s="1264" t="s">
        <v>1445</v>
      </c>
      <c r="C23" s="1284">
        <v>15000000</v>
      </c>
      <c r="D23" s="113"/>
      <c r="E23" s="1285">
        <f>$C23</f>
        <v>15000000</v>
      </c>
      <c r="F23" s="1286">
        <f t="shared" ref="F23:M23" si="0">$C23</f>
        <v>15000000</v>
      </c>
      <c r="G23" s="1287">
        <f t="shared" si="0"/>
        <v>15000000</v>
      </c>
      <c r="H23" s="1288">
        <f t="shared" si="0"/>
        <v>15000000</v>
      </c>
      <c r="I23" s="1288">
        <f t="shared" si="0"/>
        <v>15000000</v>
      </c>
      <c r="J23" s="1288">
        <f t="shared" si="0"/>
        <v>15000000</v>
      </c>
      <c r="K23" s="1288">
        <f t="shared" si="0"/>
        <v>15000000</v>
      </c>
      <c r="L23" s="1288">
        <f t="shared" si="0"/>
        <v>15000000</v>
      </c>
      <c r="M23" s="1288">
        <f t="shared" si="0"/>
        <v>15000000</v>
      </c>
    </row>
    <row r="24" spans="2:13" s="6" customFormat="1" ht="18.75" customHeight="1" x14ac:dyDescent="0.25">
      <c r="B24" s="1264" t="s">
        <v>1446</v>
      </c>
      <c r="C24" s="1289">
        <f>(F22-C23)/(F21*1000)</f>
        <v>62.805876278995264</v>
      </c>
      <c r="D24" s="1290"/>
      <c r="E24" s="1291">
        <f>$C24*(E21*1000)</f>
        <v>15701469.069748815</v>
      </c>
      <c r="F24" s="1292">
        <f t="shared" ref="F24:M24" si="1">$C24*(F21*1000)</f>
        <v>31402938.13949763</v>
      </c>
      <c r="G24" s="1293">
        <f t="shared" si="1"/>
        <v>47104407.209246449</v>
      </c>
      <c r="H24" s="1290">
        <f t="shared" si="1"/>
        <v>62805876.278995261</v>
      </c>
      <c r="I24" s="1290">
        <f t="shared" si="1"/>
        <v>78507345.348744079</v>
      </c>
      <c r="J24" s="1290">
        <f t="shared" si="1"/>
        <v>94208814.418492898</v>
      </c>
      <c r="K24" s="1290">
        <f t="shared" si="1"/>
        <v>109910283.48824172</v>
      </c>
      <c r="L24" s="1290">
        <f t="shared" si="1"/>
        <v>125611752.55799052</v>
      </c>
      <c r="M24" s="1290">
        <f t="shared" si="1"/>
        <v>141313221.62773934</v>
      </c>
    </row>
    <row r="25" spans="2:13" s="71" customFormat="1" ht="26.25" customHeight="1" x14ac:dyDescent="0.3">
      <c r="B25" s="1261" t="s">
        <v>1447</v>
      </c>
      <c r="C25" s="143"/>
      <c r="D25" s="112"/>
      <c r="E25" s="1281"/>
      <c r="F25" s="1282"/>
      <c r="G25" s="1283"/>
      <c r="H25" s="112"/>
      <c r="I25" s="112"/>
      <c r="J25" s="112"/>
      <c r="K25" s="112"/>
      <c r="L25" s="112"/>
      <c r="M25" s="112"/>
    </row>
    <row r="26" spans="2:13" s="6" customFormat="1" ht="18.75" customHeight="1" x14ac:dyDescent="0.25">
      <c r="B26" s="1264" t="s">
        <v>1448</v>
      </c>
      <c r="C26" s="1294">
        <v>80</v>
      </c>
      <c r="D26" s="113">
        <f t="shared" ref="D26" si="2">(D$21*0.9*1000)*$C26</f>
        <v>0</v>
      </c>
      <c r="E26" s="1211">
        <f>$C26</f>
        <v>80</v>
      </c>
      <c r="F26" s="1212">
        <f t="shared" ref="F26:M26" si="3">$C26</f>
        <v>80</v>
      </c>
      <c r="G26" s="1295">
        <f t="shared" si="3"/>
        <v>80</v>
      </c>
      <c r="H26" s="1210">
        <f t="shared" si="3"/>
        <v>80</v>
      </c>
      <c r="I26" s="1210">
        <f t="shared" si="3"/>
        <v>80</v>
      </c>
      <c r="J26" s="1210">
        <f t="shared" si="3"/>
        <v>80</v>
      </c>
      <c r="K26" s="1210">
        <f t="shared" si="3"/>
        <v>80</v>
      </c>
      <c r="L26" s="1210">
        <f t="shared" si="3"/>
        <v>80</v>
      </c>
      <c r="M26" s="1210">
        <f t="shared" si="3"/>
        <v>80</v>
      </c>
    </row>
    <row r="27" spans="2:13" s="71" customFormat="1" ht="26.25" customHeight="1" x14ac:dyDescent="0.3">
      <c r="B27" s="1263" t="s">
        <v>1449</v>
      </c>
      <c r="C27" s="146"/>
      <c r="D27" s="112"/>
      <c r="E27" s="1281"/>
      <c r="F27" s="1282"/>
      <c r="G27" s="1283"/>
      <c r="H27" s="112"/>
      <c r="I27" s="112"/>
      <c r="J27" s="112"/>
      <c r="K27" s="112"/>
      <c r="L27" s="112"/>
      <c r="M27" s="112"/>
    </row>
    <row r="28" spans="2:13" s="6" customFormat="1" ht="19.5" customHeight="1" x14ac:dyDescent="0.25">
      <c r="B28" s="1264" t="s">
        <v>1450</v>
      </c>
      <c r="C28" s="1296">
        <f>Valuation!G31</f>
        <v>2.6056533215434503</v>
      </c>
      <c r="D28" s="113">
        <f>-D$21*1000*$C28</f>
        <v>0</v>
      </c>
      <c r="E28" s="1211">
        <f>$C28*1.05</f>
        <v>2.7359359876206231</v>
      </c>
      <c r="F28" s="1212">
        <f t="shared" ref="F28:M36" si="4">$C28</f>
        <v>2.6056533215434503</v>
      </c>
      <c r="G28" s="1295">
        <f>$C28*0.975</f>
        <v>2.5405119885048641</v>
      </c>
      <c r="H28" s="1210">
        <f>$C28*0.95</f>
        <v>2.4753706554662775</v>
      </c>
      <c r="I28" s="1210">
        <f>$C28*0.95</f>
        <v>2.4753706554662775</v>
      </c>
      <c r="J28" s="1210">
        <f>$C28*0.95</f>
        <v>2.4753706554662775</v>
      </c>
      <c r="K28" s="1210">
        <f t="shared" ref="K28:M29" si="5">$C28*0.9</f>
        <v>2.3450879893891052</v>
      </c>
      <c r="L28" s="1210">
        <f t="shared" si="5"/>
        <v>2.3450879893891052</v>
      </c>
      <c r="M28" s="1210">
        <f t="shared" si="5"/>
        <v>2.3450879893891052</v>
      </c>
    </row>
    <row r="29" spans="2:13" s="6" customFormat="1" ht="19.5" customHeight="1" x14ac:dyDescent="0.25">
      <c r="B29" s="1264" t="s">
        <v>1451</v>
      </c>
      <c r="C29" s="1296">
        <f>Valuation!G32</f>
        <v>6.561960303518215</v>
      </c>
      <c r="D29" s="113">
        <f t="shared" ref="D29:D36" si="6">-D$21*1000*$C29</f>
        <v>0</v>
      </c>
      <c r="E29" s="1297">
        <f>$C29*1.05</f>
        <v>6.890058318694126</v>
      </c>
      <c r="F29" s="1212">
        <f t="shared" si="4"/>
        <v>6.561960303518215</v>
      </c>
      <c r="G29" s="1298">
        <f>$C29*0.95</f>
        <v>6.233862288342304</v>
      </c>
      <c r="H29" s="1299">
        <f>$C29*0.9</f>
        <v>5.905764273166394</v>
      </c>
      <c r="I29" s="1299">
        <f>$C29*0.9</f>
        <v>5.905764273166394</v>
      </c>
      <c r="J29" s="1299">
        <f>$C29*0.9</f>
        <v>5.905764273166394</v>
      </c>
      <c r="K29" s="1299">
        <f t="shared" si="5"/>
        <v>5.905764273166394</v>
      </c>
      <c r="L29" s="1299">
        <f t="shared" si="5"/>
        <v>5.905764273166394</v>
      </c>
      <c r="M29" s="1299">
        <f t="shared" si="5"/>
        <v>5.905764273166394</v>
      </c>
    </row>
    <row r="30" spans="2:13" s="6" customFormat="1" ht="19.5" customHeight="1" x14ac:dyDescent="0.25">
      <c r="B30" s="1318" t="s">
        <v>1466</v>
      </c>
      <c r="C30" s="1296">
        <f>Valuation!G33</f>
        <v>0.7076538243891739</v>
      </c>
      <c r="D30" s="113"/>
      <c r="E30" s="1297">
        <f>$C30</f>
        <v>0.7076538243891739</v>
      </c>
      <c r="F30" s="1320">
        <f t="shared" si="4"/>
        <v>0.7076538243891739</v>
      </c>
      <c r="G30" s="1300">
        <f t="shared" si="4"/>
        <v>0.7076538243891739</v>
      </c>
      <c r="H30" s="1297">
        <f t="shared" si="4"/>
        <v>0.7076538243891739</v>
      </c>
      <c r="I30" s="1297">
        <f t="shared" si="4"/>
        <v>0.7076538243891739</v>
      </c>
      <c r="J30" s="1297">
        <f t="shared" si="4"/>
        <v>0.7076538243891739</v>
      </c>
      <c r="K30" s="1297">
        <f t="shared" si="4"/>
        <v>0.7076538243891739</v>
      </c>
      <c r="L30" s="1297">
        <f t="shared" si="4"/>
        <v>0.7076538243891739</v>
      </c>
      <c r="M30" s="1297">
        <f t="shared" si="4"/>
        <v>0.7076538243891739</v>
      </c>
    </row>
    <row r="31" spans="2:13" s="6" customFormat="1" ht="19.5" customHeight="1" x14ac:dyDescent="0.25">
      <c r="B31" s="1264" t="s">
        <v>1416</v>
      </c>
      <c r="C31" s="1296">
        <f>Valuation!G34</f>
        <v>36.864642825219065</v>
      </c>
      <c r="D31" s="113">
        <f t="shared" si="6"/>
        <v>0</v>
      </c>
      <c r="E31" s="1297">
        <f t="shared" ref="E31:E36" si="7">$C31</f>
        <v>36.864642825219065</v>
      </c>
      <c r="F31" s="1212">
        <f t="shared" si="4"/>
        <v>36.864642825219065</v>
      </c>
      <c r="G31" s="1298">
        <f t="shared" si="4"/>
        <v>36.864642825219065</v>
      </c>
      <c r="H31" s="1299">
        <f t="shared" si="4"/>
        <v>36.864642825219065</v>
      </c>
      <c r="I31" s="1299">
        <f t="shared" si="4"/>
        <v>36.864642825219065</v>
      </c>
      <c r="J31" s="1299">
        <f t="shared" si="4"/>
        <v>36.864642825219065</v>
      </c>
      <c r="K31" s="1299">
        <f t="shared" si="4"/>
        <v>36.864642825219065</v>
      </c>
      <c r="L31" s="1299">
        <f t="shared" si="4"/>
        <v>36.864642825219065</v>
      </c>
      <c r="M31" s="1299">
        <f t="shared" si="4"/>
        <v>36.864642825219065</v>
      </c>
    </row>
    <row r="32" spans="2:13" s="6" customFormat="1" ht="19.5" customHeight="1" x14ac:dyDescent="0.25">
      <c r="B32" s="1264" t="s">
        <v>1418</v>
      </c>
      <c r="C32" s="1296">
        <f>Valuation!G35</f>
        <v>1.6674216435955518</v>
      </c>
      <c r="D32" s="1301"/>
      <c r="E32" s="1300">
        <f>$C32*1.05</f>
        <v>1.7507927257753295</v>
      </c>
      <c r="F32" s="1212">
        <f>C32</f>
        <v>1.6674216435955518</v>
      </c>
      <c r="G32" s="1295">
        <f>$C32*0.95</f>
        <v>1.584050561415774</v>
      </c>
      <c r="H32" s="1210">
        <f>$C32*0.9</f>
        <v>1.5006794792359965</v>
      </c>
      <c r="I32" s="1210">
        <f t="shared" ref="I32:M33" si="8">$C32*0.8</f>
        <v>1.3339373148764415</v>
      </c>
      <c r="J32" s="1210">
        <f t="shared" si="8"/>
        <v>1.3339373148764415</v>
      </c>
      <c r="K32" s="1210">
        <f t="shared" si="8"/>
        <v>1.3339373148764415</v>
      </c>
      <c r="L32" s="1210">
        <f t="shared" si="8"/>
        <v>1.3339373148764415</v>
      </c>
      <c r="M32" s="1210">
        <f t="shared" si="8"/>
        <v>1.3339373148764415</v>
      </c>
    </row>
    <row r="33" spans="2:14" s="6" customFormat="1" ht="19.5" customHeight="1" x14ac:dyDescent="0.25">
      <c r="B33" s="1264" t="s">
        <v>1453</v>
      </c>
      <c r="C33" s="1319">
        <f>Valuation!G36</f>
        <v>6.6696865743822071</v>
      </c>
      <c r="D33" s="1301"/>
      <c r="E33" s="1300">
        <f>$C33*1.05</f>
        <v>7.0031709031013181</v>
      </c>
      <c r="F33" s="1320">
        <f>C33</f>
        <v>6.6696865743822071</v>
      </c>
      <c r="G33" s="1300">
        <f>$C33*0.95</f>
        <v>6.3362022456630962</v>
      </c>
      <c r="H33" s="1300">
        <f>$C33*0.9</f>
        <v>6.0027179169439862</v>
      </c>
      <c r="I33" s="1300">
        <f t="shared" si="8"/>
        <v>5.3357492595057661</v>
      </c>
      <c r="J33" s="1300">
        <f t="shared" si="8"/>
        <v>5.3357492595057661</v>
      </c>
      <c r="K33" s="1300">
        <f t="shared" si="8"/>
        <v>5.3357492595057661</v>
      </c>
      <c r="L33" s="1300">
        <f t="shared" si="8"/>
        <v>5.3357492595057661</v>
      </c>
      <c r="M33" s="1300">
        <f t="shared" si="8"/>
        <v>5.3357492595057661</v>
      </c>
    </row>
    <row r="34" spans="2:14" s="6" customFormat="1" ht="19.5" customHeight="1" x14ac:dyDescent="0.25">
      <c r="B34" s="1264" t="s">
        <v>1419</v>
      </c>
      <c r="C34" s="1296">
        <f>Valuation!G41</f>
        <v>7.3099338111368866</v>
      </c>
      <c r="D34" s="113">
        <f t="shared" si="6"/>
        <v>0</v>
      </c>
      <c r="E34" s="1300">
        <f>$C34*1.05</f>
        <v>7.6754305016937314</v>
      </c>
      <c r="F34" s="1212">
        <f>C34</f>
        <v>7.3099338111368866</v>
      </c>
      <c r="G34" s="1300">
        <f>$C34*0.95</f>
        <v>6.9444371205800417</v>
      </c>
      <c r="H34" s="1300">
        <f>$C34*0.95</f>
        <v>6.9444371205800417</v>
      </c>
      <c r="I34" s="1300">
        <f>$C34*0.925</f>
        <v>6.7616887753016206</v>
      </c>
      <c r="J34" s="1300">
        <f>$C34*0.925</f>
        <v>6.7616887753016206</v>
      </c>
      <c r="K34" s="1300">
        <f>$C34*0.925</f>
        <v>6.7616887753016206</v>
      </c>
      <c r="L34" s="1300">
        <f>$C34*0.925</f>
        <v>6.7616887753016206</v>
      </c>
      <c r="M34" s="1300">
        <f>$C34*0.925</f>
        <v>6.7616887753016206</v>
      </c>
    </row>
    <row r="35" spans="2:14" s="6" customFormat="1" ht="19.5" customHeight="1" x14ac:dyDescent="0.25">
      <c r="B35" s="1321" t="s">
        <v>1470</v>
      </c>
      <c r="C35" s="1296">
        <f>Valuation!G39</f>
        <v>6.6352569229552643</v>
      </c>
      <c r="D35" s="113"/>
      <c r="E35" s="1300">
        <f>C35</f>
        <v>6.6352569229552643</v>
      </c>
      <c r="F35" s="1212">
        <f>C35</f>
        <v>6.6352569229552643</v>
      </c>
      <c r="G35" s="1300">
        <f>C35</f>
        <v>6.6352569229552643</v>
      </c>
      <c r="H35" s="1300">
        <f>C35</f>
        <v>6.6352569229552643</v>
      </c>
      <c r="I35" s="1300">
        <f>C35</f>
        <v>6.6352569229552643</v>
      </c>
      <c r="J35" s="1300">
        <f t="shared" ref="J35:M35" si="9">E35</f>
        <v>6.6352569229552643</v>
      </c>
      <c r="K35" s="1300">
        <f t="shared" si="9"/>
        <v>6.6352569229552643</v>
      </c>
      <c r="L35" s="1300">
        <f t="shared" si="9"/>
        <v>6.6352569229552643</v>
      </c>
      <c r="M35" s="1300">
        <f t="shared" si="9"/>
        <v>6.6352569229552643</v>
      </c>
    </row>
    <row r="36" spans="2:14" s="6" customFormat="1" ht="19.5" customHeight="1" x14ac:dyDescent="0.25">
      <c r="B36" s="1264" t="s">
        <v>1452</v>
      </c>
      <c r="C36" s="1296">
        <f>Valuation!G43</f>
        <v>8.9679194830765123</v>
      </c>
      <c r="D36" s="113">
        <f t="shared" si="6"/>
        <v>0</v>
      </c>
      <c r="E36" s="1300">
        <f t="shared" si="7"/>
        <v>8.9679194830765123</v>
      </c>
      <c r="F36" s="1212">
        <f t="shared" si="4"/>
        <v>8.9679194830765123</v>
      </c>
      <c r="G36" s="1300">
        <f t="shared" si="4"/>
        <v>8.9679194830765123</v>
      </c>
      <c r="H36" s="1300">
        <f t="shared" si="4"/>
        <v>8.9679194830765123</v>
      </c>
      <c r="I36" s="1300">
        <f t="shared" si="4"/>
        <v>8.9679194830765123</v>
      </c>
      <c r="J36" s="1300">
        <f t="shared" si="4"/>
        <v>8.9679194830765123</v>
      </c>
      <c r="K36" s="1300">
        <f t="shared" si="4"/>
        <v>8.9679194830765123</v>
      </c>
      <c r="L36" s="1300">
        <f t="shared" si="4"/>
        <v>8.9679194830765123</v>
      </c>
      <c r="M36" s="1300">
        <f t="shared" si="4"/>
        <v>8.9679194830765123</v>
      </c>
    </row>
    <row r="37" spans="2:14" s="6" customFormat="1" ht="19.5" customHeight="1" x14ac:dyDescent="0.25">
      <c r="B37" s="1264" t="s">
        <v>1454</v>
      </c>
      <c r="C37" s="1302">
        <v>0.05</v>
      </c>
      <c r="D37" s="1301"/>
      <c r="E37" s="1300">
        <f>AMORLINC(E23+E24,1,2,(E23+E24)*0.2,1,$C37,0)/(E21*1000)</f>
        <v>6.1402938139497634</v>
      </c>
      <c r="F37" s="1212">
        <f t="shared" ref="F37:M37" si="10">AMORLINC(F23+F24,1,2,0,1,$C37,0)/(F21*1000)</f>
        <v>4.6402938139497625</v>
      </c>
      <c r="G37" s="1300">
        <f t="shared" si="10"/>
        <v>4.1402938139497634</v>
      </c>
      <c r="H37" s="1300">
        <f t="shared" si="10"/>
        <v>3.8902938139497634</v>
      </c>
      <c r="I37" s="1300">
        <f t="shared" si="10"/>
        <v>3.740293813949763</v>
      </c>
      <c r="J37" s="1300">
        <f t="shared" si="10"/>
        <v>3.6402938139497638</v>
      </c>
      <c r="K37" s="1300">
        <f t="shared" si="10"/>
        <v>3.5688652425211922</v>
      </c>
      <c r="L37" s="1300">
        <f t="shared" si="10"/>
        <v>3.5152938139497634</v>
      </c>
      <c r="M37" s="1300">
        <f t="shared" si="10"/>
        <v>3.4736271472830968</v>
      </c>
    </row>
    <row r="38" spans="2:14" s="71" customFormat="1" ht="26.25" customHeight="1" thickBot="1" x14ac:dyDescent="0.35">
      <c r="B38" s="1263" t="s">
        <v>1455</v>
      </c>
      <c r="C38" s="1303"/>
      <c r="D38" s="1303">
        <f t="shared" ref="D38:M38" si="11">SUM(D28:D37)</f>
        <v>0</v>
      </c>
      <c r="E38" s="1304">
        <f t="shared" si="11"/>
        <v>85.371155306474918</v>
      </c>
      <c r="F38" s="1305">
        <f t="shared" si="11"/>
        <v>82.6304225237661</v>
      </c>
      <c r="G38" s="1303">
        <f t="shared" si="11"/>
        <v>80.954831074095864</v>
      </c>
      <c r="H38" s="1303">
        <f t="shared" si="11"/>
        <v>79.894736314982481</v>
      </c>
      <c r="I38" s="1303">
        <f t="shared" si="11"/>
        <v>78.728277147906283</v>
      </c>
      <c r="J38" s="1303">
        <f t="shared" si="11"/>
        <v>78.628277147906289</v>
      </c>
      <c r="K38" s="1303">
        <f t="shared" si="11"/>
        <v>78.426565910400555</v>
      </c>
      <c r="L38" s="1303">
        <f t="shared" si="11"/>
        <v>78.372994481829124</v>
      </c>
      <c r="M38" s="1303">
        <f t="shared" si="11"/>
        <v>78.331327815162453</v>
      </c>
    </row>
    <row r="39" spans="2:14" s="71" customFormat="1" ht="38.25" customHeight="1" x14ac:dyDescent="0.3">
      <c r="B39" s="1263" t="s">
        <v>1456</v>
      </c>
      <c r="C39" s="146"/>
      <c r="D39" s="112"/>
      <c r="E39" s="1281"/>
      <c r="F39" s="1281"/>
      <c r="G39" s="1306"/>
      <c r="H39" s="1281"/>
      <c r="I39" s="1281"/>
      <c r="J39" s="1281"/>
      <c r="K39" s="1281"/>
      <c r="L39" s="1281"/>
      <c r="M39" s="1281"/>
    </row>
    <row r="40" spans="2:14" s="6" customFormat="1" ht="19.5" customHeight="1" x14ac:dyDescent="0.25">
      <c r="B40" s="1307" t="s">
        <v>1448</v>
      </c>
      <c r="C40" s="1308">
        <f>C26</f>
        <v>80</v>
      </c>
      <c r="D40" s="113"/>
      <c r="E40" s="1211">
        <f t="shared" ref="E40:M40" si="12">E26</f>
        <v>80</v>
      </c>
      <c r="F40" s="1211">
        <f t="shared" si="12"/>
        <v>80</v>
      </c>
      <c r="G40" s="1211">
        <f t="shared" si="12"/>
        <v>80</v>
      </c>
      <c r="H40" s="1211">
        <f t="shared" si="12"/>
        <v>80</v>
      </c>
      <c r="I40" s="1211">
        <f t="shared" si="12"/>
        <v>80</v>
      </c>
      <c r="J40" s="1211">
        <f t="shared" si="12"/>
        <v>80</v>
      </c>
      <c r="K40" s="1211">
        <f t="shared" si="12"/>
        <v>80</v>
      </c>
      <c r="L40" s="1211">
        <f t="shared" si="12"/>
        <v>80</v>
      </c>
      <c r="M40" s="1211">
        <f t="shared" si="12"/>
        <v>80</v>
      </c>
    </row>
    <row r="41" spans="2:14" s="6" customFormat="1" ht="19.5" customHeight="1" x14ac:dyDescent="0.25">
      <c r="B41" s="1264" t="s">
        <v>1457</v>
      </c>
      <c r="C41" s="1296">
        <v>1.05</v>
      </c>
      <c r="D41" s="113"/>
      <c r="E41" s="1297">
        <f>E40*$C41</f>
        <v>84</v>
      </c>
      <c r="F41" s="1297">
        <f t="shared" ref="F41:M41" si="13">F40*$C41</f>
        <v>84</v>
      </c>
      <c r="G41" s="1297">
        <f t="shared" si="13"/>
        <v>84</v>
      </c>
      <c r="H41" s="1297">
        <f t="shared" si="13"/>
        <v>84</v>
      </c>
      <c r="I41" s="1297">
        <f t="shared" si="13"/>
        <v>84</v>
      </c>
      <c r="J41" s="1297">
        <f t="shared" si="13"/>
        <v>84</v>
      </c>
      <c r="K41" s="1297">
        <f t="shared" si="13"/>
        <v>84</v>
      </c>
      <c r="L41" s="1297">
        <f t="shared" si="13"/>
        <v>84</v>
      </c>
      <c r="M41" s="1297">
        <f t="shared" si="13"/>
        <v>84</v>
      </c>
    </row>
    <row r="42" spans="2:14" s="6" customFormat="1" ht="19.5" customHeight="1" x14ac:dyDescent="0.25">
      <c r="B42" s="1264" t="s">
        <v>1458</v>
      </c>
      <c r="C42" s="1296">
        <v>0.85</v>
      </c>
      <c r="D42" s="113"/>
      <c r="E42" s="1297">
        <f>E40*$C42</f>
        <v>68</v>
      </c>
      <c r="F42" s="1297">
        <f t="shared" ref="F42:M42" si="14">F40*$C42</f>
        <v>68</v>
      </c>
      <c r="G42" s="1297">
        <f t="shared" si="14"/>
        <v>68</v>
      </c>
      <c r="H42" s="1297">
        <f t="shared" si="14"/>
        <v>68</v>
      </c>
      <c r="I42" s="1297">
        <f t="shared" si="14"/>
        <v>68</v>
      </c>
      <c r="J42" s="1297">
        <f t="shared" si="14"/>
        <v>68</v>
      </c>
      <c r="K42" s="1297">
        <f t="shared" si="14"/>
        <v>68</v>
      </c>
      <c r="L42" s="1297">
        <f t="shared" si="14"/>
        <v>68</v>
      </c>
      <c r="M42" s="1297">
        <f t="shared" si="14"/>
        <v>68</v>
      </c>
    </row>
    <row r="43" spans="2:14" ht="15" x14ac:dyDescent="0.25">
      <c r="E43" s="1297"/>
      <c r="F43" s="1297"/>
      <c r="G43" s="1297"/>
      <c r="H43" s="1297"/>
      <c r="I43" s="1297"/>
      <c r="J43" s="1297"/>
      <c r="K43" s="1297"/>
      <c r="L43" s="1297"/>
      <c r="M43" s="1297"/>
      <c r="N43" s="1309"/>
    </row>
    <row r="44" spans="2:14" s="6" customFormat="1" ht="19.5" customHeight="1" x14ac:dyDescent="0.25">
      <c r="B44" s="1310" t="s">
        <v>1450</v>
      </c>
      <c r="C44" s="1311">
        <f>C28</f>
        <v>2.6056533215434503</v>
      </c>
      <c r="D44" s="1312"/>
      <c r="E44" s="1313">
        <f t="shared" ref="E44:M44" si="15">E28</f>
        <v>2.7359359876206231</v>
      </c>
      <c r="F44" s="1313">
        <f t="shared" si="15"/>
        <v>2.6056533215434503</v>
      </c>
      <c r="G44" s="1313">
        <f t="shared" si="15"/>
        <v>2.5405119885048641</v>
      </c>
      <c r="H44" s="1313">
        <f t="shared" si="15"/>
        <v>2.4753706554662775</v>
      </c>
      <c r="I44" s="1313">
        <f t="shared" si="15"/>
        <v>2.4753706554662775</v>
      </c>
      <c r="J44" s="1313">
        <f t="shared" si="15"/>
        <v>2.4753706554662775</v>
      </c>
      <c r="K44" s="1313">
        <f t="shared" si="15"/>
        <v>2.3450879893891052</v>
      </c>
      <c r="L44" s="1313">
        <f t="shared" si="15"/>
        <v>2.3450879893891052</v>
      </c>
      <c r="M44" s="1313">
        <f t="shared" si="15"/>
        <v>2.3450879893891052</v>
      </c>
    </row>
    <row r="45" spans="2:14" s="6" customFormat="1" ht="19.5" customHeight="1" x14ac:dyDescent="0.25">
      <c r="B45" s="1314" t="s">
        <v>1459</v>
      </c>
      <c r="C45" s="1296">
        <v>1.05</v>
      </c>
      <c r="D45" s="1312"/>
      <c r="E45" s="1315">
        <f>E44*$C45</f>
        <v>2.8727327870016541</v>
      </c>
      <c r="F45" s="1315">
        <f t="shared" ref="F45:M45" si="16">F44*$C45</f>
        <v>2.7359359876206231</v>
      </c>
      <c r="G45" s="1315">
        <f t="shared" si="16"/>
        <v>2.6675375879301075</v>
      </c>
      <c r="H45" s="1315">
        <f t="shared" si="16"/>
        <v>2.5991391882395916</v>
      </c>
      <c r="I45" s="1315">
        <f t="shared" si="16"/>
        <v>2.5991391882395916</v>
      </c>
      <c r="J45" s="1315">
        <f t="shared" si="16"/>
        <v>2.5991391882395916</v>
      </c>
      <c r="K45" s="1315">
        <f t="shared" si="16"/>
        <v>2.4623423888585605</v>
      </c>
      <c r="L45" s="1315">
        <f t="shared" si="16"/>
        <v>2.4623423888585605</v>
      </c>
      <c r="M45" s="1315">
        <f t="shared" si="16"/>
        <v>2.4623423888585605</v>
      </c>
    </row>
    <row r="46" spans="2:14" s="6" customFormat="1" ht="19.5" customHeight="1" x14ac:dyDescent="0.25">
      <c r="B46" s="1314" t="s">
        <v>1460</v>
      </c>
      <c r="C46" s="1296">
        <v>0.95</v>
      </c>
      <c r="D46" s="1312"/>
      <c r="E46" s="1315">
        <f>E44*$C46</f>
        <v>2.599139188239592</v>
      </c>
      <c r="F46" s="1315">
        <f t="shared" ref="F46:M46" si="17">F44*$C46</f>
        <v>2.4753706554662775</v>
      </c>
      <c r="G46" s="1315">
        <f t="shared" si="17"/>
        <v>2.4134863890796208</v>
      </c>
      <c r="H46" s="1315">
        <f t="shared" si="17"/>
        <v>2.3516021226929635</v>
      </c>
      <c r="I46" s="1315">
        <f t="shared" si="17"/>
        <v>2.3516021226929635</v>
      </c>
      <c r="J46" s="1315">
        <f t="shared" si="17"/>
        <v>2.3516021226929635</v>
      </c>
      <c r="K46" s="1315">
        <f t="shared" si="17"/>
        <v>2.22783358991965</v>
      </c>
      <c r="L46" s="1315">
        <f t="shared" si="17"/>
        <v>2.22783358991965</v>
      </c>
      <c r="M46" s="1315">
        <f t="shared" si="17"/>
        <v>2.22783358991965</v>
      </c>
    </row>
    <row r="47" spans="2:14" ht="15" x14ac:dyDescent="0.25">
      <c r="E47" s="1297"/>
      <c r="F47" s="1297"/>
      <c r="G47" s="1297"/>
      <c r="H47" s="1297"/>
      <c r="I47" s="1297"/>
      <c r="J47" s="1297"/>
      <c r="K47" s="1297"/>
      <c r="L47" s="1297"/>
      <c r="M47" s="1297"/>
      <c r="N47" s="1309"/>
    </row>
    <row r="48" spans="2:14" s="6" customFormat="1" ht="19.5" customHeight="1" x14ac:dyDescent="0.25">
      <c r="B48" s="1310" t="s">
        <v>1451</v>
      </c>
      <c r="C48" s="1311">
        <f>C29</f>
        <v>6.561960303518215</v>
      </c>
      <c r="D48" s="1312"/>
      <c r="E48" s="1313">
        <f t="shared" ref="E48:M48" si="18">E29</f>
        <v>6.890058318694126</v>
      </c>
      <c r="F48" s="1313">
        <f t="shared" si="18"/>
        <v>6.561960303518215</v>
      </c>
      <c r="G48" s="1313">
        <f t="shared" si="18"/>
        <v>6.233862288342304</v>
      </c>
      <c r="H48" s="1313">
        <f t="shared" si="18"/>
        <v>5.905764273166394</v>
      </c>
      <c r="I48" s="1313">
        <f t="shared" si="18"/>
        <v>5.905764273166394</v>
      </c>
      <c r="J48" s="1313">
        <f t="shared" si="18"/>
        <v>5.905764273166394</v>
      </c>
      <c r="K48" s="1313">
        <f t="shared" si="18"/>
        <v>5.905764273166394</v>
      </c>
      <c r="L48" s="1313">
        <f t="shared" si="18"/>
        <v>5.905764273166394</v>
      </c>
      <c r="M48" s="1313">
        <f t="shared" si="18"/>
        <v>5.905764273166394</v>
      </c>
    </row>
    <row r="49" spans="2:13" s="6" customFormat="1" ht="19.5" customHeight="1" x14ac:dyDescent="0.25">
      <c r="B49" s="1314" t="s">
        <v>1459</v>
      </c>
      <c r="C49" s="1296">
        <v>1.05</v>
      </c>
      <c r="D49" s="1312"/>
      <c r="E49" s="1315">
        <f>E48*$C49</f>
        <v>7.2345612346288322</v>
      </c>
      <c r="F49" s="1315">
        <f t="shared" ref="F49:M49" si="19">F48*$C49</f>
        <v>6.890058318694126</v>
      </c>
      <c r="G49" s="1315">
        <f t="shared" si="19"/>
        <v>6.5455554027594198</v>
      </c>
      <c r="H49" s="1315">
        <f t="shared" si="19"/>
        <v>6.2010524868247137</v>
      </c>
      <c r="I49" s="1315">
        <f t="shared" si="19"/>
        <v>6.2010524868247137</v>
      </c>
      <c r="J49" s="1315">
        <f t="shared" si="19"/>
        <v>6.2010524868247137</v>
      </c>
      <c r="K49" s="1315">
        <f t="shared" si="19"/>
        <v>6.2010524868247137</v>
      </c>
      <c r="L49" s="1315">
        <f t="shared" si="19"/>
        <v>6.2010524868247137</v>
      </c>
      <c r="M49" s="1315">
        <f t="shared" si="19"/>
        <v>6.2010524868247137</v>
      </c>
    </row>
    <row r="50" spans="2:13" s="6" customFormat="1" ht="19.5" customHeight="1" x14ac:dyDescent="0.25">
      <c r="B50" s="1314" t="s">
        <v>1460</v>
      </c>
      <c r="C50" s="1296">
        <v>0.9</v>
      </c>
      <c r="D50" s="1312"/>
      <c r="E50" s="1315">
        <f>E48*$C50</f>
        <v>6.2010524868247137</v>
      </c>
      <c r="F50" s="1315">
        <f t="shared" ref="F50:M50" si="20">F48*$C50</f>
        <v>5.905764273166394</v>
      </c>
      <c r="G50" s="1315">
        <f t="shared" si="20"/>
        <v>5.6104760595080734</v>
      </c>
      <c r="H50" s="1315">
        <f t="shared" si="20"/>
        <v>5.3151878458497546</v>
      </c>
      <c r="I50" s="1315">
        <f t="shared" si="20"/>
        <v>5.3151878458497546</v>
      </c>
      <c r="J50" s="1315">
        <f t="shared" si="20"/>
        <v>5.3151878458497546</v>
      </c>
      <c r="K50" s="1315">
        <f t="shared" si="20"/>
        <v>5.3151878458497546</v>
      </c>
      <c r="L50" s="1315">
        <f t="shared" si="20"/>
        <v>5.3151878458497546</v>
      </c>
      <c r="M50" s="1315">
        <f t="shared" si="20"/>
        <v>5.3151878458497546</v>
      </c>
    </row>
    <row r="51" spans="2:13" ht="15" x14ac:dyDescent="0.25">
      <c r="E51" s="1297"/>
      <c r="F51" s="1297"/>
      <c r="G51" s="1297"/>
      <c r="H51" s="1297"/>
      <c r="I51" s="1297"/>
      <c r="J51" s="1297"/>
      <c r="K51" s="1297"/>
      <c r="L51" s="1297"/>
      <c r="M51" s="1297"/>
    </row>
    <row r="52" spans="2:13" s="6" customFormat="1" ht="19.5" customHeight="1" x14ac:dyDescent="0.25">
      <c r="B52" s="1310" t="s">
        <v>1416</v>
      </c>
      <c r="C52" s="1311">
        <f>C31</f>
        <v>36.864642825219065</v>
      </c>
      <c r="D52" s="1312"/>
      <c r="E52" s="1313">
        <f t="shared" ref="E52:M52" si="21">E31</f>
        <v>36.864642825219065</v>
      </c>
      <c r="F52" s="1313">
        <f t="shared" si="21"/>
        <v>36.864642825219065</v>
      </c>
      <c r="G52" s="1313">
        <f t="shared" si="21"/>
        <v>36.864642825219065</v>
      </c>
      <c r="H52" s="1313">
        <f t="shared" si="21"/>
        <v>36.864642825219065</v>
      </c>
      <c r="I52" s="1313">
        <f t="shared" si="21"/>
        <v>36.864642825219065</v>
      </c>
      <c r="J52" s="1313">
        <f t="shared" si="21"/>
        <v>36.864642825219065</v>
      </c>
      <c r="K52" s="1313">
        <f t="shared" si="21"/>
        <v>36.864642825219065</v>
      </c>
      <c r="L52" s="1313">
        <f t="shared" si="21"/>
        <v>36.864642825219065</v>
      </c>
      <c r="M52" s="1313">
        <f t="shared" si="21"/>
        <v>36.864642825219065</v>
      </c>
    </row>
    <row r="53" spans="2:13" s="6" customFormat="1" ht="19.5" customHeight="1" x14ac:dyDescent="0.25">
      <c r="B53" s="1314" t="s">
        <v>1459</v>
      </c>
      <c r="C53" s="1296">
        <v>1.05</v>
      </c>
      <c r="D53" s="1312"/>
      <c r="E53" s="1315">
        <f>E52*$C53</f>
        <v>38.70787496648002</v>
      </c>
      <c r="F53" s="1315">
        <f t="shared" ref="F53:M53" si="22">F52*$C53</f>
        <v>38.70787496648002</v>
      </c>
      <c r="G53" s="1315">
        <f t="shared" si="22"/>
        <v>38.70787496648002</v>
      </c>
      <c r="H53" s="1315">
        <f t="shared" si="22"/>
        <v>38.70787496648002</v>
      </c>
      <c r="I53" s="1315">
        <f t="shared" si="22"/>
        <v>38.70787496648002</v>
      </c>
      <c r="J53" s="1315">
        <f t="shared" si="22"/>
        <v>38.70787496648002</v>
      </c>
      <c r="K53" s="1315">
        <f t="shared" si="22"/>
        <v>38.70787496648002</v>
      </c>
      <c r="L53" s="1315">
        <f t="shared" si="22"/>
        <v>38.70787496648002</v>
      </c>
      <c r="M53" s="1315">
        <f t="shared" si="22"/>
        <v>38.70787496648002</v>
      </c>
    </row>
    <row r="54" spans="2:13" s="6" customFormat="1" ht="19.5" customHeight="1" x14ac:dyDescent="0.25">
      <c r="B54" s="1314" t="s">
        <v>1460</v>
      </c>
      <c r="C54" s="1296">
        <v>0.9</v>
      </c>
      <c r="D54" s="1312"/>
      <c r="E54" s="1315">
        <f>E52*$C54</f>
        <v>33.178178542697161</v>
      </c>
      <c r="F54" s="1315">
        <f t="shared" ref="F54:M54" si="23">F52*$C54</f>
        <v>33.178178542697161</v>
      </c>
      <c r="G54" s="1315">
        <f t="shared" si="23"/>
        <v>33.178178542697161</v>
      </c>
      <c r="H54" s="1315">
        <f t="shared" si="23"/>
        <v>33.178178542697161</v>
      </c>
      <c r="I54" s="1315">
        <f t="shared" si="23"/>
        <v>33.178178542697161</v>
      </c>
      <c r="J54" s="1315">
        <f t="shared" si="23"/>
        <v>33.178178542697161</v>
      </c>
      <c r="K54" s="1315">
        <f t="shared" si="23"/>
        <v>33.178178542697161</v>
      </c>
      <c r="L54" s="1315">
        <f t="shared" si="23"/>
        <v>33.178178542697161</v>
      </c>
      <c r="M54" s="1315">
        <f t="shared" si="23"/>
        <v>33.178178542697161</v>
      </c>
    </row>
    <row r="55" spans="2:13" ht="15" x14ac:dyDescent="0.25">
      <c r="E55" s="1297"/>
      <c r="F55" s="1297"/>
      <c r="G55" s="1297"/>
      <c r="H55" s="1297"/>
      <c r="I55" s="1297"/>
      <c r="J55" s="1297"/>
      <c r="K55" s="1297"/>
      <c r="L55" s="1297"/>
      <c r="M55" s="1297"/>
    </row>
    <row r="56" spans="2:13" s="6" customFormat="1" ht="19.5" customHeight="1" x14ac:dyDescent="0.25">
      <c r="B56" s="1310" t="s">
        <v>1419</v>
      </c>
      <c r="C56" s="1311">
        <f>C34</f>
        <v>7.3099338111368866</v>
      </c>
      <c r="D56" s="1312"/>
      <c r="E56" s="1313">
        <f t="shared" ref="E56:M56" si="24">E34</f>
        <v>7.6754305016937314</v>
      </c>
      <c r="F56" s="1313">
        <f t="shared" si="24"/>
        <v>7.3099338111368866</v>
      </c>
      <c r="G56" s="1313">
        <f t="shared" si="24"/>
        <v>6.9444371205800417</v>
      </c>
      <c r="H56" s="1313">
        <f t="shared" si="24"/>
        <v>6.9444371205800417</v>
      </c>
      <c r="I56" s="1313">
        <f t="shared" si="24"/>
        <v>6.7616887753016206</v>
      </c>
      <c r="J56" s="1313">
        <f t="shared" si="24"/>
        <v>6.7616887753016206</v>
      </c>
      <c r="K56" s="1313">
        <f t="shared" si="24"/>
        <v>6.7616887753016206</v>
      </c>
      <c r="L56" s="1313">
        <f t="shared" si="24"/>
        <v>6.7616887753016206</v>
      </c>
      <c r="M56" s="1313">
        <f t="shared" si="24"/>
        <v>6.7616887753016206</v>
      </c>
    </row>
    <row r="57" spans="2:13" s="6" customFormat="1" ht="19.5" customHeight="1" x14ac:dyDescent="0.25">
      <c r="B57" s="1314" t="s">
        <v>1459</v>
      </c>
      <c r="C57" s="1296">
        <v>1.05</v>
      </c>
      <c r="D57" s="1312"/>
      <c r="E57" s="1315">
        <f>E56*$C57</f>
        <v>8.0592020267784186</v>
      </c>
      <c r="F57" s="1315">
        <f t="shared" ref="F57:M57" si="25">F56*$C57</f>
        <v>7.6754305016937314</v>
      </c>
      <c r="G57" s="1315">
        <f t="shared" si="25"/>
        <v>7.2916589766090443</v>
      </c>
      <c r="H57" s="1315">
        <f t="shared" si="25"/>
        <v>7.2916589766090443</v>
      </c>
      <c r="I57" s="1315">
        <f t="shared" si="25"/>
        <v>7.099773214066702</v>
      </c>
      <c r="J57" s="1315">
        <f t="shared" si="25"/>
        <v>7.099773214066702</v>
      </c>
      <c r="K57" s="1315">
        <f t="shared" si="25"/>
        <v>7.099773214066702</v>
      </c>
      <c r="L57" s="1315">
        <f t="shared" si="25"/>
        <v>7.099773214066702</v>
      </c>
      <c r="M57" s="1315">
        <f t="shared" si="25"/>
        <v>7.099773214066702</v>
      </c>
    </row>
    <row r="58" spans="2:13" s="6" customFormat="1" ht="19.5" customHeight="1" x14ac:dyDescent="0.25">
      <c r="B58" s="1314" t="s">
        <v>1460</v>
      </c>
      <c r="C58" s="1296">
        <v>0.95</v>
      </c>
      <c r="D58" s="1312"/>
      <c r="E58" s="1315">
        <f>E56*$C58</f>
        <v>7.2916589766090443</v>
      </c>
      <c r="F58" s="1315">
        <f t="shared" ref="F58:M58" si="26">F56*$C58</f>
        <v>6.9444371205800417</v>
      </c>
      <c r="G58" s="1315">
        <f t="shared" si="26"/>
        <v>6.5972152645510391</v>
      </c>
      <c r="H58" s="1315">
        <f t="shared" si="26"/>
        <v>6.5972152645510391</v>
      </c>
      <c r="I58" s="1315">
        <f t="shared" si="26"/>
        <v>6.4236043365365392</v>
      </c>
      <c r="J58" s="1315">
        <f t="shared" si="26"/>
        <v>6.4236043365365392</v>
      </c>
      <c r="K58" s="1315">
        <f t="shared" si="26"/>
        <v>6.4236043365365392</v>
      </c>
      <c r="L58" s="1315">
        <f t="shared" si="26"/>
        <v>6.4236043365365392</v>
      </c>
      <c r="M58" s="1315">
        <f t="shared" si="26"/>
        <v>6.4236043365365392</v>
      </c>
    </row>
    <row r="59" spans="2:13" ht="15" x14ac:dyDescent="0.25">
      <c r="E59" s="1297"/>
      <c r="F59" s="1297"/>
      <c r="G59" s="1297"/>
      <c r="H59" s="1297"/>
      <c r="I59" s="1297"/>
      <c r="J59" s="1297"/>
      <c r="K59" s="1297"/>
      <c r="L59" s="1297"/>
      <c r="M59" s="1297"/>
    </row>
    <row r="60" spans="2:13" s="6" customFormat="1" ht="19.5" customHeight="1" x14ac:dyDescent="0.25">
      <c r="B60" s="1310" t="s">
        <v>1461</v>
      </c>
      <c r="C60" s="1311">
        <f>C36</f>
        <v>8.9679194830765123</v>
      </c>
      <c r="D60" s="1312"/>
      <c r="E60" s="1313">
        <f t="shared" ref="E60:M60" si="27">E36</f>
        <v>8.9679194830765123</v>
      </c>
      <c r="F60" s="1313">
        <f t="shared" si="27"/>
        <v>8.9679194830765123</v>
      </c>
      <c r="G60" s="1313">
        <f t="shared" si="27"/>
        <v>8.9679194830765123</v>
      </c>
      <c r="H60" s="1313">
        <f t="shared" si="27"/>
        <v>8.9679194830765123</v>
      </c>
      <c r="I60" s="1313">
        <f t="shared" si="27"/>
        <v>8.9679194830765123</v>
      </c>
      <c r="J60" s="1313">
        <f t="shared" si="27"/>
        <v>8.9679194830765123</v>
      </c>
      <c r="K60" s="1313">
        <f t="shared" si="27"/>
        <v>8.9679194830765123</v>
      </c>
      <c r="L60" s="1313">
        <f t="shared" si="27"/>
        <v>8.9679194830765123</v>
      </c>
      <c r="M60" s="1313">
        <f t="shared" si="27"/>
        <v>8.9679194830765123</v>
      </c>
    </row>
    <row r="61" spans="2:13" s="6" customFormat="1" ht="19.5" customHeight="1" x14ac:dyDescent="0.25">
      <c r="B61" s="1314" t="s">
        <v>1459</v>
      </c>
      <c r="C61" s="1296">
        <v>1.05</v>
      </c>
      <c r="D61" s="1312"/>
      <c r="E61" s="1315">
        <f>E60*$C61</f>
        <v>9.416315457230338</v>
      </c>
      <c r="F61" s="1315">
        <f t="shared" ref="F61:M61" si="28">F60*$C61</f>
        <v>9.416315457230338</v>
      </c>
      <c r="G61" s="1315">
        <f t="shared" si="28"/>
        <v>9.416315457230338</v>
      </c>
      <c r="H61" s="1315">
        <f t="shared" si="28"/>
        <v>9.416315457230338</v>
      </c>
      <c r="I61" s="1315">
        <f t="shared" si="28"/>
        <v>9.416315457230338</v>
      </c>
      <c r="J61" s="1315">
        <f t="shared" si="28"/>
        <v>9.416315457230338</v>
      </c>
      <c r="K61" s="1315">
        <f t="shared" si="28"/>
        <v>9.416315457230338</v>
      </c>
      <c r="L61" s="1315">
        <f t="shared" si="28"/>
        <v>9.416315457230338</v>
      </c>
      <c r="M61" s="1315">
        <f t="shared" si="28"/>
        <v>9.416315457230338</v>
      </c>
    </row>
    <row r="62" spans="2:13" s="6" customFormat="1" ht="19.5" customHeight="1" x14ac:dyDescent="0.25">
      <c r="B62" s="1314" t="s">
        <v>1460</v>
      </c>
      <c r="C62" s="1296">
        <v>0.9</v>
      </c>
      <c r="D62" s="1312"/>
      <c r="E62" s="1315">
        <f>E60*$C62</f>
        <v>8.0711275347688609</v>
      </c>
      <c r="F62" s="1315">
        <f t="shared" ref="F62:M62" si="29">F60*$C62</f>
        <v>8.0711275347688609</v>
      </c>
      <c r="G62" s="1315">
        <f t="shared" si="29"/>
        <v>8.0711275347688609</v>
      </c>
      <c r="H62" s="1315">
        <f t="shared" si="29"/>
        <v>8.0711275347688609</v>
      </c>
      <c r="I62" s="1315">
        <f t="shared" si="29"/>
        <v>8.0711275347688609</v>
      </c>
      <c r="J62" s="1315">
        <f t="shared" si="29"/>
        <v>8.0711275347688609</v>
      </c>
      <c r="K62" s="1315">
        <f t="shared" si="29"/>
        <v>8.0711275347688609</v>
      </c>
      <c r="L62" s="1315">
        <f t="shared" si="29"/>
        <v>8.0711275347688609</v>
      </c>
      <c r="M62" s="1315">
        <f t="shared" si="29"/>
        <v>8.0711275347688609</v>
      </c>
    </row>
    <row r="63" spans="2:13" ht="15" x14ac:dyDescent="0.25">
      <c r="E63" s="1297"/>
      <c r="F63" s="1297"/>
      <c r="G63" s="1297"/>
      <c r="H63" s="1297"/>
      <c r="I63" s="1297"/>
      <c r="J63" s="1297"/>
      <c r="K63" s="1297"/>
      <c r="L63" s="1297"/>
      <c r="M63" s="1297"/>
    </row>
    <row r="64" spans="2:13" s="6" customFormat="1" ht="19.5" customHeight="1" x14ac:dyDescent="0.25">
      <c r="B64" s="1310" t="s">
        <v>1418</v>
      </c>
      <c r="C64" s="1311">
        <f>C32</f>
        <v>1.6674216435955518</v>
      </c>
      <c r="D64" s="1312"/>
      <c r="E64" s="1313">
        <f t="shared" ref="E64:M64" si="30">E32</f>
        <v>1.7507927257753295</v>
      </c>
      <c r="F64" s="1313">
        <f t="shared" si="30"/>
        <v>1.6674216435955518</v>
      </c>
      <c r="G64" s="1313">
        <f t="shared" si="30"/>
        <v>1.584050561415774</v>
      </c>
      <c r="H64" s="1313">
        <f t="shared" si="30"/>
        <v>1.5006794792359965</v>
      </c>
      <c r="I64" s="1313">
        <f t="shared" si="30"/>
        <v>1.3339373148764415</v>
      </c>
      <c r="J64" s="1313">
        <f t="shared" si="30"/>
        <v>1.3339373148764415</v>
      </c>
      <c r="K64" s="1313">
        <f t="shared" si="30"/>
        <v>1.3339373148764415</v>
      </c>
      <c r="L64" s="1313">
        <f t="shared" si="30"/>
        <v>1.3339373148764415</v>
      </c>
      <c r="M64" s="1313">
        <f t="shared" si="30"/>
        <v>1.3339373148764415</v>
      </c>
    </row>
    <row r="65" spans="2:13" s="6" customFormat="1" ht="19.5" customHeight="1" x14ac:dyDescent="0.25">
      <c r="B65" s="1314" t="s">
        <v>1459</v>
      </c>
      <c r="C65" s="1296">
        <v>1.05</v>
      </c>
      <c r="D65" s="1312"/>
      <c r="E65" s="1315">
        <f>E64*$C65</f>
        <v>1.8383323620640961</v>
      </c>
      <c r="F65" s="1315">
        <f t="shared" ref="F65:M65" si="31">F64*$C65</f>
        <v>1.7507927257753295</v>
      </c>
      <c r="G65" s="1315">
        <f t="shared" si="31"/>
        <v>1.6632530894865629</v>
      </c>
      <c r="H65" s="1315">
        <f t="shared" si="31"/>
        <v>1.5757134531977965</v>
      </c>
      <c r="I65" s="1315">
        <f t="shared" si="31"/>
        <v>1.4006341806202636</v>
      </c>
      <c r="J65" s="1315">
        <f t="shared" si="31"/>
        <v>1.4006341806202636</v>
      </c>
      <c r="K65" s="1315">
        <f t="shared" si="31"/>
        <v>1.4006341806202636</v>
      </c>
      <c r="L65" s="1315">
        <f t="shared" si="31"/>
        <v>1.4006341806202636</v>
      </c>
      <c r="M65" s="1315">
        <f t="shared" si="31"/>
        <v>1.4006341806202636</v>
      </c>
    </row>
    <row r="66" spans="2:13" s="6" customFormat="1" ht="19.5" customHeight="1" x14ac:dyDescent="0.25">
      <c r="B66" s="1314" t="s">
        <v>1460</v>
      </c>
      <c r="C66" s="1296">
        <v>0.9</v>
      </c>
      <c r="D66" s="1312"/>
      <c r="E66" s="1315">
        <f>E64*$C66</f>
        <v>1.5757134531977965</v>
      </c>
      <c r="F66" s="1315">
        <f t="shared" ref="F66:M66" si="32">F64*$C66</f>
        <v>1.5006794792359965</v>
      </c>
      <c r="G66" s="1315">
        <f t="shared" si="32"/>
        <v>1.4256455052741968</v>
      </c>
      <c r="H66" s="1315">
        <f t="shared" si="32"/>
        <v>1.350611531312397</v>
      </c>
      <c r="I66" s="1315">
        <f t="shared" si="32"/>
        <v>1.2005435833887974</v>
      </c>
      <c r="J66" s="1315">
        <f t="shared" si="32"/>
        <v>1.2005435833887974</v>
      </c>
      <c r="K66" s="1315">
        <f t="shared" si="32"/>
        <v>1.2005435833887974</v>
      </c>
      <c r="L66" s="1315">
        <f t="shared" si="32"/>
        <v>1.2005435833887974</v>
      </c>
      <c r="M66" s="1315">
        <f t="shared" si="32"/>
        <v>1.2005435833887974</v>
      </c>
    </row>
    <row r="67" spans="2:13" ht="15" x14ac:dyDescent="0.25">
      <c r="E67" s="1297"/>
      <c r="F67" s="1297"/>
      <c r="G67" s="1297"/>
      <c r="H67" s="1297"/>
      <c r="I67" s="1297"/>
      <c r="J67" s="1297"/>
      <c r="K67" s="1297"/>
      <c r="L67" s="1297"/>
      <c r="M67" s="1297"/>
    </row>
    <row r="68" spans="2:13" s="6" customFormat="1" ht="19.5" customHeight="1" x14ac:dyDescent="0.25">
      <c r="B68" s="1310" t="s">
        <v>1453</v>
      </c>
      <c r="C68" s="1311">
        <f>C33</f>
        <v>6.6696865743822071</v>
      </c>
      <c r="D68" s="1312"/>
      <c r="E68" s="1313">
        <f t="shared" ref="E68:M68" si="33">E33</f>
        <v>7.0031709031013181</v>
      </c>
      <c r="F68" s="1313">
        <f t="shared" si="33"/>
        <v>6.6696865743822071</v>
      </c>
      <c r="G68" s="1313">
        <f t="shared" si="33"/>
        <v>6.3362022456630962</v>
      </c>
      <c r="H68" s="1313">
        <f t="shared" si="33"/>
        <v>6.0027179169439862</v>
      </c>
      <c r="I68" s="1313">
        <f t="shared" si="33"/>
        <v>5.3357492595057661</v>
      </c>
      <c r="J68" s="1313">
        <f t="shared" si="33"/>
        <v>5.3357492595057661</v>
      </c>
      <c r="K68" s="1313">
        <f t="shared" si="33"/>
        <v>5.3357492595057661</v>
      </c>
      <c r="L68" s="1313">
        <f t="shared" si="33"/>
        <v>5.3357492595057661</v>
      </c>
      <c r="M68" s="1313">
        <f t="shared" si="33"/>
        <v>5.3357492595057661</v>
      </c>
    </row>
    <row r="69" spans="2:13" s="6" customFormat="1" ht="19.5" customHeight="1" x14ac:dyDescent="0.25">
      <c r="B69" s="1314" t="s">
        <v>1459</v>
      </c>
      <c r="C69" s="1296">
        <v>1.05</v>
      </c>
      <c r="D69" s="1312"/>
      <c r="E69" s="1315">
        <f>E68*$C69</f>
        <v>7.3533294482563845</v>
      </c>
      <c r="F69" s="1315">
        <f t="shared" ref="F69:M69" si="34">F68*$C69</f>
        <v>7.0031709031013181</v>
      </c>
      <c r="G69" s="1315">
        <f t="shared" si="34"/>
        <v>6.6530123579462517</v>
      </c>
      <c r="H69" s="1315">
        <f t="shared" si="34"/>
        <v>6.3028538127911862</v>
      </c>
      <c r="I69" s="1315">
        <f t="shared" si="34"/>
        <v>5.6025367224810543</v>
      </c>
      <c r="J69" s="1315">
        <f t="shared" si="34"/>
        <v>5.6025367224810543</v>
      </c>
      <c r="K69" s="1315">
        <f t="shared" si="34"/>
        <v>5.6025367224810543</v>
      </c>
      <c r="L69" s="1315">
        <f t="shared" si="34"/>
        <v>5.6025367224810543</v>
      </c>
      <c r="M69" s="1315">
        <f t="shared" si="34"/>
        <v>5.6025367224810543</v>
      </c>
    </row>
    <row r="70" spans="2:13" s="6" customFormat="1" ht="19.5" customHeight="1" x14ac:dyDescent="0.25">
      <c r="B70" s="1314" t="s">
        <v>1460</v>
      </c>
      <c r="C70" s="1296">
        <v>0.9</v>
      </c>
      <c r="D70" s="1312"/>
      <c r="E70" s="1315">
        <f>E68*$C70</f>
        <v>6.3028538127911862</v>
      </c>
      <c r="F70" s="1315">
        <f t="shared" ref="F70:M70" si="35">F68*$C70</f>
        <v>6.0027179169439862</v>
      </c>
      <c r="G70" s="1315">
        <f t="shared" si="35"/>
        <v>5.702582021096787</v>
      </c>
      <c r="H70" s="1315">
        <f t="shared" si="35"/>
        <v>5.4024461252495879</v>
      </c>
      <c r="I70" s="1315">
        <f t="shared" si="35"/>
        <v>4.8021743335551896</v>
      </c>
      <c r="J70" s="1315">
        <f t="shared" si="35"/>
        <v>4.8021743335551896</v>
      </c>
      <c r="K70" s="1315">
        <f t="shared" si="35"/>
        <v>4.8021743335551896</v>
      </c>
      <c r="L70" s="1315">
        <f t="shared" si="35"/>
        <v>4.8021743335551896</v>
      </c>
      <c r="M70" s="1315">
        <f t="shared" si="35"/>
        <v>4.8021743335551896</v>
      </c>
    </row>
    <row r="71" spans="2:13" ht="15" x14ac:dyDescent="0.25">
      <c r="E71" s="1297"/>
      <c r="F71" s="1297"/>
      <c r="G71" s="1297"/>
      <c r="H71" s="1297"/>
      <c r="I71" s="1297"/>
      <c r="J71" s="1297"/>
      <c r="K71" s="1297"/>
      <c r="L71" s="1297"/>
      <c r="M71" s="1297"/>
    </row>
    <row r="72" spans="2:13" ht="15" x14ac:dyDescent="0.25">
      <c r="B72" s="1310" t="s">
        <v>1470</v>
      </c>
      <c r="C72" s="1311">
        <f>C35</f>
        <v>6.6352569229552643</v>
      </c>
      <c r="D72" s="1312"/>
      <c r="E72" s="1313">
        <f>E35</f>
        <v>6.6352569229552643</v>
      </c>
      <c r="F72" s="1313">
        <f t="shared" ref="F72:M72" si="36">F35</f>
        <v>6.6352569229552643</v>
      </c>
      <c r="G72" s="1313">
        <f t="shared" si="36"/>
        <v>6.6352569229552643</v>
      </c>
      <c r="H72" s="1313">
        <f t="shared" si="36"/>
        <v>6.6352569229552643</v>
      </c>
      <c r="I72" s="1313">
        <f t="shared" si="36"/>
        <v>6.6352569229552643</v>
      </c>
      <c r="J72" s="1313">
        <f t="shared" si="36"/>
        <v>6.6352569229552643</v>
      </c>
      <c r="K72" s="1313">
        <f t="shared" si="36"/>
        <v>6.6352569229552643</v>
      </c>
      <c r="L72" s="1313">
        <f t="shared" si="36"/>
        <v>6.6352569229552643</v>
      </c>
      <c r="M72" s="1313">
        <f t="shared" si="36"/>
        <v>6.6352569229552643</v>
      </c>
    </row>
    <row r="73" spans="2:13" ht="15" x14ac:dyDescent="0.25">
      <c r="B73" s="1314" t="s">
        <v>1459</v>
      </c>
      <c r="C73" s="1296">
        <v>1.02</v>
      </c>
      <c r="D73" s="1312"/>
      <c r="E73" s="1315">
        <f>E72*$C73</f>
        <v>6.7679620614143694</v>
      </c>
      <c r="F73" s="1315">
        <f t="shared" ref="F73:M73" si="37">F72*$C73</f>
        <v>6.7679620614143694</v>
      </c>
      <c r="G73" s="1315">
        <f t="shared" si="37"/>
        <v>6.7679620614143694</v>
      </c>
      <c r="H73" s="1315">
        <f t="shared" si="37"/>
        <v>6.7679620614143694</v>
      </c>
      <c r="I73" s="1315">
        <f t="shared" si="37"/>
        <v>6.7679620614143694</v>
      </c>
      <c r="J73" s="1315">
        <f t="shared" si="37"/>
        <v>6.7679620614143694</v>
      </c>
      <c r="K73" s="1315">
        <f t="shared" si="37"/>
        <v>6.7679620614143694</v>
      </c>
      <c r="L73" s="1315">
        <f t="shared" si="37"/>
        <v>6.7679620614143694</v>
      </c>
      <c r="M73" s="1315">
        <f t="shared" si="37"/>
        <v>6.7679620614143694</v>
      </c>
    </row>
    <row r="74" spans="2:13" ht="15" x14ac:dyDescent="0.25">
      <c r="B74" s="1314" t="s">
        <v>1460</v>
      </c>
      <c r="C74" s="1296">
        <v>0.98</v>
      </c>
      <c r="D74" s="1312"/>
      <c r="E74" s="1315">
        <f>E72*$C74</f>
        <v>6.5025517844961591</v>
      </c>
      <c r="F74" s="1315">
        <f t="shared" ref="F74:M74" si="38">F72*$C74</f>
        <v>6.5025517844961591</v>
      </c>
      <c r="G74" s="1315">
        <f t="shared" si="38"/>
        <v>6.5025517844961591</v>
      </c>
      <c r="H74" s="1315">
        <f t="shared" si="38"/>
        <v>6.5025517844961591</v>
      </c>
      <c r="I74" s="1315">
        <f t="shared" si="38"/>
        <v>6.5025517844961591</v>
      </c>
      <c r="J74" s="1315">
        <f t="shared" si="38"/>
        <v>6.5025517844961591</v>
      </c>
      <c r="K74" s="1315">
        <f t="shared" si="38"/>
        <v>6.5025517844961591</v>
      </c>
      <c r="L74" s="1315">
        <f t="shared" si="38"/>
        <v>6.5025517844961591</v>
      </c>
      <c r="M74" s="1315">
        <f t="shared" si="38"/>
        <v>6.5025517844961591</v>
      </c>
    </row>
    <row r="75" spans="2:13" ht="15" x14ac:dyDescent="0.25">
      <c r="E75" s="1297"/>
      <c r="F75" s="1297"/>
      <c r="G75" s="1297"/>
      <c r="H75" s="1297"/>
      <c r="I75" s="1297"/>
      <c r="J75" s="1297"/>
      <c r="K75" s="1297"/>
      <c r="L75" s="1297"/>
      <c r="M75" s="1297"/>
    </row>
    <row r="76" spans="2:13" s="6" customFormat="1" ht="19.5" customHeight="1" x14ac:dyDescent="0.25">
      <c r="B76" s="1310" t="s">
        <v>1454</v>
      </c>
      <c r="C76" s="1316">
        <f>C37</f>
        <v>0.05</v>
      </c>
      <c r="D76" s="1312"/>
      <c r="E76" s="1313">
        <f>E37</f>
        <v>6.1402938139497634</v>
      </c>
      <c r="F76" s="1313">
        <f t="shared" ref="F76:M76" si="39">F37</f>
        <v>4.6402938139497625</v>
      </c>
      <c r="G76" s="1313">
        <f t="shared" si="39"/>
        <v>4.1402938139497634</v>
      </c>
      <c r="H76" s="1313">
        <f t="shared" si="39"/>
        <v>3.8902938139497634</v>
      </c>
      <c r="I76" s="1313">
        <f t="shared" si="39"/>
        <v>3.740293813949763</v>
      </c>
      <c r="J76" s="1313">
        <f t="shared" si="39"/>
        <v>3.6402938139497638</v>
      </c>
      <c r="K76" s="1313">
        <f t="shared" si="39"/>
        <v>3.5688652425211922</v>
      </c>
      <c r="L76" s="1313">
        <f t="shared" si="39"/>
        <v>3.5152938139497634</v>
      </c>
      <c r="M76" s="1313">
        <f t="shared" si="39"/>
        <v>3.4736271472830968</v>
      </c>
    </row>
    <row r="77" spans="2:13" s="6" customFormat="1" ht="19.5" customHeight="1" x14ac:dyDescent="0.25">
      <c r="B77" s="1314" t="s">
        <v>1459</v>
      </c>
      <c r="C77" s="1296">
        <v>1.05</v>
      </c>
      <c r="D77" s="1312"/>
      <c r="E77" s="1315">
        <f>E76*$C77</f>
        <v>6.4473085046472516</v>
      </c>
      <c r="F77" s="1315">
        <f t="shared" ref="F77:M77" si="40">F76*$C77</f>
        <v>4.8723085046472505</v>
      </c>
      <c r="G77" s="1315">
        <f t="shared" si="40"/>
        <v>4.3473085046472519</v>
      </c>
      <c r="H77" s="1315">
        <f t="shared" si="40"/>
        <v>4.0848085046472518</v>
      </c>
      <c r="I77" s="1315">
        <f t="shared" si="40"/>
        <v>3.9273085046472511</v>
      </c>
      <c r="J77" s="1315">
        <f t="shared" si="40"/>
        <v>3.822308504647252</v>
      </c>
      <c r="K77" s="1315">
        <f t="shared" si="40"/>
        <v>3.7473085046472518</v>
      </c>
      <c r="L77" s="1315">
        <f t="shared" si="40"/>
        <v>3.6910585046472515</v>
      </c>
      <c r="M77" s="1315">
        <f t="shared" si="40"/>
        <v>3.6473085046472518</v>
      </c>
    </row>
    <row r="78" spans="2:13" s="6" customFormat="1" ht="19.5" customHeight="1" x14ac:dyDescent="0.25">
      <c r="B78" s="1314" t="s">
        <v>1460</v>
      </c>
      <c r="C78" s="1296">
        <v>0.9</v>
      </c>
      <c r="D78" s="1312"/>
      <c r="E78" s="1315">
        <f>E76*$C78</f>
        <v>5.5262644325547869</v>
      </c>
      <c r="F78" s="1315">
        <f t="shared" ref="F78:M78" si="41">F76*$C78</f>
        <v>4.1762644325547864</v>
      </c>
      <c r="G78" s="1315">
        <f t="shared" si="41"/>
        <v>3.7262644325547871</v>
      </c>
      <c r="H78" s="1315">
        <f t="shared" si="41"/>
        <v>3.501264432554787</v>
      </c>
      <c r="I78" s="1315">
        <f t="shared" si="41"/>
        <v>3.3662644325547868</v>
      </c>
      <c r="J78" s="1315">
        <f t="shared" si="41"/>
        <v>3.2762644325547874</v>
      </c>
      <c r="K78" s="1315">
        <f t="shared" si="41"/>
        <v>3.2119787182690729</v>
      </c>
      <c r="L78" s="1315">
        <f t="shared" si="41"/>
        <v>3.1637644325547871</v>
      </c>
      <c r="M78" s="1315">
        <f t="shared" si="41"/>
        <v>3.126264432554787</v>
      </c>
    </row>
    <row r="79" spans="2:13" ht="15" x14ac:dyDescent="0.25">
      <c r="E79" s="1297"/>
      <c r="F79" s="1297"/>
      <c r="G79" s="1297"/>
      <c r="H79" s="1297"/>
      <c r="I79" s="1297"/>
      <c r="J79" s="1297"/>
      <c r="K79" s="1297"/>
      <c r="L79" s="1297"/>
      <c r="M79" s="1297"/>
    </row>
    <row r="80" spans="2:13" s="6" customFormat="1" ht="19.5" customHeight="1" x14ac:dyDescent="0.25">
      <c r="B80" s="1307" t="s">
        <v>1411</v>
      </c>
      <c r="C80" s="1317"/>
      <c r="D80" s="113"/>
      <c r="E80" s="1211"/>
      <c r="F80" s="1211"/>
      <c r="G80" s="1211"/>
      <c r="H80" s="1211"/>
      <c r="I80" s="1211"/>
      <c r="J80" s="1211"/>
      <c r="K80" s="1211"/>
      <c r="L80" s="1211"/>
      <c r="M80" s="1211"/>
    </row>
    <row r="81" spans="2:13" s="6" customFormat="1" ht="19.5" customHeight="1" x14ac:dyDescent="0.25">
      <c r="B81" s="1264" t="s">
        <v>1462</v>
      </c>
      <c r="C81" s="1308"/>
      <c r="D81" s="113"/>
      <c r="E81" s="1297">
        <f>E45+E49+E53+E57+E61+E65+E69+E73+E77</f>
        <v>88.697618848501364</v>
      </c>
      <c r="F81" s="1297">
        <f t="shared" ref="F81:M81" si="42">F45+F49+F53+F57+F61+F65+F69+F73+F77</f>
        <v>85.8198494266571</v>
      </c>
      <c r="G81" s="1297">
        <f t="shared" si="42"/>
        <v>84.060478404503357</v>
      </c>
      <c r="H81" s="1297">
        <f t="shared" si="42"/>
        <v>82.947378907434299</v>
      </c>
      <c r="I81" s="1297">
        <f t="shared" si="42"/>
        <v>81.722596782004288</v>
      </c>
      <c r="J81" s="1297">
        <f>J45+J49+J53+J57+J61+J65+J69+J73+J77</f>
        <v>81.617596782004284</v>
      </c>
      <c r="K81" s="1297">
        <f t="shared" si="42"/>
        <v>81.405799982623265</v>
      </c>
      <c r="L81" s="1297">
        <f t="shared" si="42"/>
        <v>81.349549982623259</v>
      </c>
      <c r="M81" s="1297">
        <f t="shared" si="42"/>
        <v>81.30579998262327</v>
      </c>
    </row>
    <row r="82" spans="2:13" s="6" customFormat="1" ht="19.5" customHeight="1" x14ac:dyDescent="0.25">
      <c r="B82" s="1264" t="s">
        <v>1463</v>
      </c>
      <c r="C82" s="1308"/>
      <c r="D82" s="113"/>
      <c r="E82" s="1297">
        <f>E46+E50+E54+E58+E62+E66+E70+E74+E78</f>
        <v>77.248540212179307</v>
      </c>
      <c r="F82" s="1297">
        <f t="shared" ref="F82:M82" si="43">F46+F50+F54+F58+F62+F66+F70+F74+F78</f>
        <v>74.757091739909669</v>
      </c>
      <c r="G82" s="1297">
        <f t="shared" si="43"/>
        <v>73.227527534026692</v>
      </c>
      <c r="H82" s="1297">
        <f t="shared" si="43"/>
        <v>72.270185184172718</v>
      </c>
      <c r="I82" s="1297">
        <f t="shared" si="43"/>
        <v>71.211234516540216</v>
      </c>
      <c r="J82" s="1297">
        <f t="shared" si="43"/>
        <v>71.121234516540213</v>
      </c>
      <c r="K82" s="1297">
        <f t="shared" si="43"/>
        <v>70.933180269481198</v>
      </c>
      <c r="L82" s="1297">
        <f t="shared" si="43"/>
        <v>70.884965983766904</v>
      </c>
      <c r="M82" s="1297">
        <f t="shared" si="43"/>
        <v>70.847465983766909</v>
      </c>
    </row>
    <row r="83" spans="2:13" ht="15" x14ac:dyDescent="0.25">
      <c r="E83" s="1297"/>
      <c r="F83" s="1297"/>
      <c r="G83" s="1297"/>
      <c r="H83" s="1297"/>
      <c r="I83" s="1297"/>
      <c r="J83" s="1297"/>
      <c r="K83" s="1297"/>
      <c r="L83" s="1297"/>
      <c r="M83" s="1297"/>
    </row>
    <row r="86" spans="2:13" ht="25.5" customHeight="1" x14ac:dyDescent="0.2">
      <c r="B86" s="1201"/>
      <c r="C86" s="1202"/>
      <c r="D86" s="1266"/>
      <c r="E86" s="1203"/>
      <c r="F86" s="1203"/>
      <c r="G86" s="1203"/>
      <c r="H86" s="1204"/>
      <c r="I86" s="1204"/>
      <c r="J86" s="1203"/>
      <c r="K86" s="1205"/>
      <c r="L86" s="1205"/>
    </row>
    <row r="87" spans="2:13" s="6" customFormat="1" ht="15" customHeight="1" x14ac:dyDescent="0.25">
      <c r="B87" s="1326" t="s">
        <v>100</v>
      </c>
      <c r="C87" s="1326"/>
      <c r="D87" s="1262"/>
      <c r="E87" s="56"/>
      <c r="F87" s="56"/>
      <c r="G87" s="56"/>
      <c r="H87" s="56"/>
      <c r="I87" s="56"/>
      <c r="J87" s="56"/>
      <c r="K87" s="56"/>
      <c r="L87" s="56"/>
      <c r="M87" s="56"/>
    </row>
    <row r="88" spans="2:13" s="6" customFormat="1" ht="15" customHeight="1" x14ac:dyDescent="0.25">
      <c r="B88" s="1326"/>
      <c r="C88" s="1326"/>
      <c r="D88" s="1262"/>
      <c r="E88" s="56"/>
      <c r="F88" s="56"/>
      <c r="G88" s="56"/>
      <c r="H88" s="56"/>
      <c r="I88" s="56"/>
      <c r="J88" s="56"/>
      <c r="K88" s="56"/>
      <c r="L88" s="56"/>
      <c r="M88" s="56"/>
    </row>
    <row r="89" spans="2:13" s="90" customFormat="1" ht="15" customHeight="1" thickBot="1" x14ac:dyDescent="0.3">
      <c r="B89" s="1326"/>
      <c r="C89" s="1326"/>
      <c r="D89" s="1328" t="s">
        <v>102</v>
      </c>
      <c r="E89" s="1328"/>
      <c r="F89" s="1328"/>
      <c r="G89" s="1328"/>
      <c r="H89" s="1328"/>
      <c r="I89" s="1328"/>
      <c r="J89" s="1328"/>
      <c r="K89" s="1328"/>
      <c r="L89" s="1328"/>
      <c r="M89" s="1329"/>
    </row>
    <row r="90" spans="2:13" s="6" customFormat="1" ht="15" customHeight="1" thickBot="1" x14ac:dyDescent="0.35">
      <c r="B90" s="99"/>
      <c r="C90" s="148" t="s">
        <v>103</v>
      </c>
      <c r="D90" s="100" t="s">
        <v>454</v>
      </c>
      <c r="E90" s="100" t="s">
        <v>455</v>
      </c>
      <c r="F90" s="100" t="s">
        <v>456</v>
      </c>
      <c r="G90" s="100" t="s">
        <v>457</v>
      </c>
      <c r="H90" s="100" t="s">
        <v>458</v>
      </c>
      <c r="I90" s="100" t="s">
        <v>459</v>
      </c>
      <c r="J90" s="100" t="s">
        <v>460</v>
      </c>
      <c r="K90" s="100" t="s">
        <v>461</v>
      </c>
      <c r="L90" s="100" t="s">
        <v>462</v>
      </c>
      <c r="M90" s="100" t="s">
        <v>463</v>
      </c>
    </row>
    <row r="91" spans="2:13" s="71" customFormat="1" ht="26.25" customHeight="1" x14ac:dyDescent="0.3">
      <c r="B91" s="1261" t="s">
        <v>101</v>
      </c>
      <c r="C91" s="143">
        <v>1</v>
      </c>
      <c r="D91" s="112"/>
      <c r="E91" s="112"/>
      <c r="F91" s="112"/>
      <c r="G91" s="112"/>
      <c r="H91" s="112"/>
      <c r="I91" s="112"/>
      <c r="J91" s="112"/>
      <c r="K91" s="112"/>
      <c r="L91" s="112"/>
      <c r="M91" s="112"/>
    </row>
    <row r="92" spans="2:13" s="6" customFormat="1" ht="18.75" customHeight="1" x14ac:dyDescent="0.25">
      <c r="B92" s="1264" t="s">
        <v>300</v>
      </c>
      <c r="C92" s="35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2:13" s="6" customFormat="1" ht="18.75" customHeight="1" x14ac:dyDescent="0.25">
      <c r="B93" s="1264" t="s">
        <v>178</v>
      </c>
      <c r="C93" s="145">
        <v>2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2:13" s="6" customFormat="1" ht="18.75" customHeight="1" x14ac:dyDescent="0.25">
      <c r="B94" s="1264" t="s">
        <v>161</v>
      </c>
      <c r="C94" s="145">
        <v>3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2:13" s="6" customFormat="1" ht="18.75" customHeight="1" thickBot="1" x14ac:dyDescent="0.3">
      <c r="B95" s="1264" t="s">
        <v>162</v>
      </c>
      <c r="C95" s="145">
        <v>4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2:13" s="71" customFormat="1" ht="26.25" customHeight="1" x14ac:dyDescent="0.3">
      <c r="B96" s="1263" t="s">
        <v>50</v>
      </c>
      <c r="C96" s="146"/>
      <c r="D96" s="112"/>
      <c r="E96" s="112"/>
      <c r="F96" s="112"/>
      <c r="G96" s="112"/>
      <c r="H96" s="112"/>
      <c r="I96" s="112"/>
      <c r="J96" s="112"/>
      <c r="K96" s="112"/>
      <c r="L96" s="112"/>
      <c r="M96" s="112"/>
    </row>
    <row r="97" spans="2:13" s="6" customFormat="1" ht="18.75" customHeight="1" thickBot="1" x14ac:dyDescent="0.3">
      <c r="B97" s="1264" t="s">
        <v>104</v>
      </c>
      <c r="C97" s="145">
        <v>5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2:13" s="6" customFormat="1" ht="19.5" customHeight="1" x14ac:dyDescent="0.25">
      <c r="B98" s="1264" t="s">
        <v>106</v>
      </c>
      <c r="C98" s="147">
        <v>6</v>
      </c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2:13" s="6" customFormat="1" ht="18.75" customHeight="1" thickBot="1" x14ac:dyDescent="0.3">
      <c r="B99" s="1264" t="s">
        <v>92</v>
      </c>
      <c r="C99" s="147">
        <v>7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2:13" s="71" customFormat="1" ht="26.25" customHeight="1" x14ac:dyDescent="0.3">
      <c r="B100" s="1265" t="s">
        <v>107</v>
      </c>
      <c r="C100" s="14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2:13" s="6" customFormat="1" ht="18.75" customHeight="1" thickBot="1" x14ac:dyDescent="0.3">
      <c r="B101" s="1264" t="s">
        <v>108</v>
      </c>
      <c r="C101" s="147">
        <v>8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2:13" s="71" customFormat="1" ht="26.25" customHeight="1" thickBot="1" x14ac:dyDescent="0.35">
      <c r="B102" s="1265" t="s">
        <v>109</v>
      </c>
      <c r="C102" s="145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</row>
  </sheetData>
  <mergeCells count="4">
    <mergeCell ref="B3:C5"/>
    <mergeCell ref="D5:M5"/>
    <mergeCell ref="B87:C89"/>
    <mergeCell ref="D89:M89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F5" sqref="F5"/>
    </sheetView>
  </sheetViews>
  <sheetFormatPr defaultColWidth="9.140625" defaultRowHeight="15" x14ac:dyDescent="0.25"/>
  <cols>
    <col min="1" max="1" width="12.85546875" style="858" customWidth="1"/>
    <col min="2" max="2" width="78.42578125" style="885" customWidth="1"/>
    <col min="3" max="3" width="6.7109375" style="885" customWidth="1"/>
    <col min="4" max="5" width="13.5703125" style="885" customWidth="1"/>
    <col min="6" max="6" width="24" style="857" customWidth="1"/>
    <col min="7" max="16384" width="9.140625" style="885"/>
  </cols>
  <sheetData>
    <row r="1" spans="1:6" x14ac:dyDescent="0.25">
      <c r="A1" s="994" t="s">
        <v>658</v>
      </c>
      <c r="B1" s="995" t="s">
        <v>659</v>
      </c>
      <c r="C1" s="996" t="s">
        <v>660</v>
      </c>
      <c r="D1" s="997" t="s">
        <v>661</v>
      </c>
      <c r="E1" s="1200" t="s">
        <v>200</v>
      </c>
      <c r="F1" s="999" t="s">
        <v>662</v>
      </c>
    </row>
    <row r="2" spans="1:6" x14ac:dyDescent="0.25">
      <c r="A2" s="948"/>
      <c r="B2" s="945"/>
      <c r="C2" s="949"/>
      <c r="D2" s="949"/>
      <c r="E2" s="945"/>
      <c r="F2" s="956"/>
    </row>
    <row r="3" spans="1:6" x14ac:dyDescent="0.25">
      <c r="A3" s="948"/>
      <c r="B3" s="952" t="s">
        <v>663</v>
      </c>
      <c r="C3" s="949"/>
      <c r="D3" s="949"/>
      <c r="E3" s="945"/>
      <c r="F3" s="956"/>
    </row>
    <row r="4" spans="1:6" x14ac:dyDescent="0.25">
      <c r="A4" s="951"/>
      <c r="B4" s="953"/>
      <c r="C4" s="945"/>
      <c r="D4" s="949"/>
      <c r="E4" s="945"/>
      <c r="F4" s="956"/>
    </row>
    <row r="5" spans="1:6" x14ac:dyDescent="0.25">
      <c r="A5" s="949">
        <v>1</v>
      </c>
      <c r="B5" s="954" t="s">
        <v>580</v>
      </c>
      <c r="C5" s="949"/>
      <c r="D5" s="949"/>
      <c r="E5" s="945"/>
      <c r="F5" s="957">
        <f>'1. Pre-Development'!F15</f>
        <v>435853.94087369426</v>
      </c>
    </row>
    <row r="6" spans="1:6" x14ac:dyDescent="0.25">
      <c r="A6" s="949">
        <v>2</v>
      </c>
      <c r="B6" s="954" t="s">
        <v>581</v>
      </c>
      <c r="C6" s="949"/>
      <c r="D6" s="949"/>
      <c r="E6" s="945"/>
      <c r="F6" s="957">
        <f>'2. Land'!F18</f>
        <v>5000000</v>
      </c>
    </row>
    <row r="7" spans="1:6" x14ac:dyDescent="0.25">
      <c r="A7" s="949">
        <v>3</v>
      </c>
      <c r="B7" s="954" t="s">
        <v>582</v>
      </c>
      <c r="C7" s="949"/>
      <c r="D7" s="949"/>
      <c r="E7" s="945"/>
      <c r="F7" s="957">
        <f>'3. Infrastructure'!F50</f>
        <v>2532000</v>
      </c>
    </row>
    <row r="8" spans="1:6" x14ac:dyDescent="0.25">
      <c r="A8" s="949">
        <v>4</v>
      </c>
      <c r="B8" s="954" t="s">
        <v>65</v>
      </c>
      <c r="C8" s="949"/>
      <c r="D8" s="949"/>
      <c r="E8" s="945"/>
      <c r="F8" s="957">
        <f>'4. Buildings'!F91</f>
        <v>14014800</v>
      </c>
    </row>
    <row r="9" spans="1:6" x14ac:dyDescent="0.25">
      <c r="A9" s="949">
        <v>5</v>
      </c>
      <c r="B9" s="954" t="s">
        <v>469</v>
      </c>
      <c r="C9" s="949"/>
      <c r="D9" s="949"/>
      <c r="E9" s="945"/>
      <c r="F9" s="957">
        <f>'5. Services'!F52</f>
        <v>3779750</v>
      </c>
    </row>
    <row r="10" spans="1:6" x14ac:dyDescent="0.25">
      <c r="A10" s="949">
        <v>6</v>
      </c>
      <c r="B10" s="954" t="s">
        <v>696</v>
      </c>
      <c r="C10" s="949"/>
      <c r="D10" s="949"/>
      <c r="E10" s="945"/>
      <c r="F10" s="957">
        <f>'6.Aquaculture system - Hatchery'!F97</f>
        <v>3921469.3915796182</v>
      </c>
    </row>
    <row r="11" spans="1:6" x14ac:dyDescent="0.25">
      <c r="A11" s="949">
        <v>7</v>
      </c>
      <c r="B11" s="954" t="s">
        <v>697</v>
      </c>
      <c r="C11" s="949"/>
      <c r="D11" s="949"/>
      <c r="E11" s="945"/>
      <c r="F11" s="957">
        <f>'7. Aquaculture system - Cages'!F18</f>
        <v>7340910</v>
      </c>
    </row>
    <row r="12" spans="1:6" x14ac:dyDescent="0.25">
      <c r="A12" s="949">
        <v>8</v>
      </c>
      <c r="B12" s="954" t="s">
        <v>664</v>
      </c>
      <c r="C12" s="949"/>
      <c r="D12" s="949"/>
      <c r="E12" s="945"/>
      <c r="F12" s="957">
        <f>'8. Vehicles'!F10</f>
        <v>2357500</v>
      </c>
    </row>
    <row r="13" spans="1:6" x14ac:dyDescent="0.25">
      <c r="A13" s="949">
        <v>9</v>
      </c>
      <c r="B13" s="954" t="s">
        <v>665</v>
      </c>
      <c r="C13" s="949"/>
      <c r="D13" s="949"/>
      <c r="E13" s="945"/>
      <c r="F13" s="957">
        <f>'9. Transport and Logistics'!F9</f>
        <v>250000</v>
      </c>
    </row>
    <row r="14" spans="1:6" x14ac:dyDescent="0.25">
      <c r="A14" s="949">
        <v>10</v>
      </c>
      <c r="B14" s="954" t="s">
        <v>353</v>
      </c>
      <c r="C14" s="949"/>
      <c r="D14" s="949"/>
      <c r="E14" s="945"/>
      <c r="F14" s="957">
        <f>'10. Professional Fees'!F19</f>
        <v>4560991.0861158604</v>
      </c>
    </row>
    <row r="15" spans="1:6" x14ac:dyDescent="0.25">
      <c r="A15" s="949">
        <v>11</v>
      </c>
      <c r="B15" s="954" t="s">
        <v>349</v>
      </c>
      <c r="C15" s="949"/>
      <c r="D15" s="949"/>
      <c r="E15" s="945"/>
      <c r="F15" s="957">
        <f>'11. Contingency'!F8</f>
        <v>2209663.7209284585</v>
      </c>
    </row>
    <row r="16" spans="1:6" x14ac:dyDescent="0.25">
      <c r="A16" s="949"/>
      <c r="B16" s="954"/>
      <c r="C16" s="949"/>
      <c r="D16" s="949"/>
      <c r="E16" s="945"/>
      <c r="F16" s="959"/>
    </row>
    <row r="17" spans="1:6" x14ac:dyDescent="0.25">
      <c r="A17" s="949"/>
      <c r="B17" s="1196" t="s">
        <v>727</v>
      </c>
      <c r="C17" s="949"/>
      <c r="D17" s="949"/>
      <c r="E17" s="945"/>
      <c r="F17" s="956">
        <f>F22-(F15+F14)</f>
        <v>39632283.33245331</v>
      </c>
    </row>
    <row r="18" spans="1:6" x14ac:dyDescent="0.25">
      <c r="A18" s="948"/>
      <c r="B18" s="1196" t="s">
        <v>666</v>
      </c>
      <c r="C18" s="949"/>
      <c r="D18" s="949"/>
      <c r="E18" s="945"/>
      <c r="F18" s="956">
        <f>F14</f>
        <v>4560991.0861158604</v>
      </c>
    </row>
    <row r="19" spans="1:6" x14ac:dyDescent="0.25">
      <c r="A19" s="948"/>
      <c r="B19" s="1196" t="s">
        <v>667</v>
      </c>
      <c r="C19" s="949"/>
      <c r="D19" s="949"/>
      <c r="E19" s="945"/>
      <c r="F19" s="958">
        <f>F18/F17</f>
        <v>0.11508272303809064</v>
      </c>
    </row>
    <row r="20" spans="1:6" x14ac:dyDescent="0.25">
      <c r="A20" s="948"/>
      <c r="B20" s="945"/>
      <c r="C20" s="949"/>
      <c r="D20" s="949"/>
      <c r="E20" s="945"/>
      <c r="F20" s="956"/>
    </row>
    <row r="21" spans="1:6" x14ac:dyDescent="0.25">
      <c r="A21" s="948"/>
      <c r="B21" s="945"/>
      <c r="C21" s="949"/>
      <c r="D21" s="949"/>
      <c r="E21" s="945"/>
      <c r="F21" s="956"/>
    </row>
    <row r="22" spans="1:6" ht="16.5" thickBot="1" x14ac:dyDescent="0.3">
      <c r="A22" s="1065"/>
      <c r="B22" s="1003" t="s">
        <v>1270</v>
      </c>
      <c r="C22" s="1034"/>
      <c r="D22" s="1034"/>
      <c r="E22" s="1035"/>
      <c r="F22" s="978">
        <f>SUM(F5:F15)</f>
        <v>46402938.13949763</v>
      </c>
    </row>
    <row r="23" spans="1:6" ht="15.75" thickTop="1" x14ac:dyDescent="0.25">
      <c r="A23" s="945"/>
      <c r="B23" s="945"/>
      <c r="C23" s="945"/>
      <c r="D23" s="945"/>
      <c r="E23" s="945"/>
      <c r="F23" s="945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"/>
  <sheetViews>
    <sheetView workbookViewId="0">
      <selection activeCell="E5" sqref="E5"/>
    </sheetView>
  </sheetViews>
  <sheetFormatPr defaultColWidth="9.140625" defaultRowHeight="15" x14ac:dyDescent="0.25"/>
  <cols>
    <col min="1" max="1" width="9.140625" style="858"/>
    <col min="2" max="2" width="45.7109375" style="945" customWidth="1"/>
    <col min="3" max="3" width="6.7109375" style="945" customWidth="1"/>
    <col min="4" max="4" width="13.5703125" style="945" customWidth="1"/>
    <col min="5" max="5" width="15.42578125" style="971" bestFit="1" customWidth="1"/>
    <col min="6" max="6" width="19" style="971" customWidth="1"/>
    <col min="7" max="7" width="16" style="945" customWidth="1"/>
    <col min="8" max="16384" width="9.140625" style="945"/>
  </cols>
  <sheetData>
    <row r="1" spans="1:7" x14ac:dyDescent="0.25">
      <c r="A1" s="994" t="s">
        <v>658</v>
      </c>
      <c r="B1" s="995" t="s">
        <v>659</v>
      </c>
      <c r="C1" s="996" t="s">
        <v>660</v>
      </c>
      <c r="D1" s="997" t="s">
        <v>661</v>
      </c>
      <c r="E1" s="1001" t="s">
        <v>200</v>
      </c>
      <c r="F1" s="1000" t="s">
        <v>662</v>
      </c>
    </row>
    <row r="2" spans="1:7" x14ac:dyDescent="0.25">
      <c r="A2" s="948"/>
      <c r="B2" s="950"/>
      <c r="C2" s="949"/>
      <c r="D2" s="949"/>
      <c r="E2" s="972"/>
      <c r="F2" s="980"/>
    </row>
    <row r="3" spans="1:7" x14ac:dyDescent="0.25">
      <c r="A3" s="948" t="s">
        <v>739</v>
      </c>
      <c r="B3" s="981" t="s">
        <v>740</v>
      </c>
      <c r="C3" s="949"/>
      <c r="D3" s="949"/>
      <c r="E3" s="972"/>
      <c r="F3" s="980"/>
    </row>
    <row r="4" spans="1:7" x14ac:dyDescent="0.25">
      <c r="A4" s="946" t="s">
        <v>741</v>
      </c>
      <c r="B4" s="982" t="s">
        <v>742</v>
      </c>
      <c r="C4" s="949" t="s">
        <v>743</v>
      </c>
      <c r="D4" s="975">
        <v>5.0000000000000001E-3</v>
      </c>
      <c r="E4" s="972">
        <f>SUM('Capex Summary Sheet'!F8:F11)</f>
        <v>29056929.391579617</v>
      </c>
      <c r="F4" s="980">
        <f>E4*D4</f>
        <v>145284.64695789808</v>
      </c>
    </row>
    <row r="5" spans="1:7" x14ac:dyDescent="0.25">
      <c r="A5" s="948"/>
      <c r="B5" s="950"/>
      <c r="C5" s="949"/>
      <c r="D5" s="975"/>
      <c r="E5" s="972"/>
      <c r="F5" s="980"/>
    </row>
    <row r="6" spans="1:7" x14ac:dyDescent="0.25">
      <c r="A6" s="946" t="s">
        <v>744</v>
      </c>
      <c r="B6" s="983" t="s">
        <v>745</v>
      </c>
      <c r="C6" s="949" t="s">
        <v>743</v>
      </c>
      <c r="D6" s="975">
        <v>0.01</v>
      </c>
      <c r="E6" s="972">
        <f>E4</f>
        <v>29056929.391579617</v>
      </c>
      <c r="F6" s="980">
        <f t="shared" ref="F6" si="0">E6*D6</f>
        <v>290569.29391579615</v>
      </c>
    </row>
    <row r="7" spans="1:7" x14ac:dyDescent="0.25">
      <c r="A7" s="948"/>
      <c r="B7" s="950"/>
      <c r="C7" s="949"/>
      <c r="D7" s="949"/>
      <c r="E7" s="972"/>
      <c r="F7" s="980"/>
    </row>
    <row r="8" spans="1:7" x14ac:dyDescent="0.25">
      <c r="A8" s="946" t="s">
        <v>746</v>
      </c>
      <c r="B8" s="983" t="s">
        <v>747</v>
      </c>
      <c r="C8" s="949"/>
      <c r="D8" s="949"/>
      <c r="E8" s="972"/>
      <c r="F8" s="980"/>
    </row>
    <row r="9" spans="1:7" x14ac:dyDescent="0.25">
      <c r="A9" s="948" t="s">
        <v>748</v>
      </c>
      <c r="B9" s="950" t="s">
        <v>749</v>
      </c>
      <c r="C9" s="949" t="s">
        <v>750</v>
      </c>
      <c r="D9" s="949">
        <v>0</v>
      </c>
      <c r="E9" s="972">
        <v>0</v>
      </c>
      <c r="F9" s="980">
        <f t="shared" ref="F9" si="1">D9*E9</f>
        <v>0</v>
      </c>
    </row>
    <row r="10" spans="1:7" x14ac:dyDescent="0.25">
      <c r="A10" s="948" t="s">
        <v>751</v>
      </c>
      <c r="B10" s="950" t="s">
        <v>752</v>
      </c>
      <c r="C10" s="949" t="s">
        <v>750</v>
      </c>
      <c r="D10" s="949">
        <v>0</v>
      </c>
      <c r="E10" s="972">
        <v>0</v>
      </c>
      <c r="F10" s="980">
        <v>0</v>
      </c>
      <c r="G10" s="971"/>
    </row>
    <row r="11" spans="1:7" x14ac:dyDescent="0.25">
      <c r="A11" s="948"/>
      <c r="B11" s="950"/>
      <c r="C11" s="949"/>
      <c r="D11" s="949"/>
      <c r="E11" s="972"/>
      <c r="F11" s="980"/>
    </row>
    <row r="12" spans="1:7" x14ac:dyDescent="0.25">
      <c r="A12" s="946" t="s">
        <v>753</v>
      </c>
      <c r="B12" s="950" t="s">
        <v>754</v>
      </c>
      <c r="C12" s="949" t="s">
        <v>750</v>
      </c>
      <c r="D12" s="949">
        <v>0</v>
      </c>
      <c r="E12" s="972">
        <v>0</v>
      </c>
      <c r="F12" s="980">
        <v>0</v>
      </c>
    </row>
    <row r="13" spans="1:7" x14ac:dyDescent="0.25">
      <c r="A13" s="948"/>
      <c r="B13" s="950"/>
      <c r="C13" s="949"/>
      <c r="D13" s="949"/>
      <c r="E13" s="972"/>
      <c r="F13" s="980"/>
    </row>
    <row r="14" spans="1:7" x14ac:dyDescent="0.25">
      <c r="A14" s="991"/>
      <c r="B14" s="984"/>
      <c r="C14" s="992"/>
      <c r="D14" s="992"/>
      <c r="E14" s="993"/>
      <c r="F14" s="985"/>
    </row>
    <row r="15" spans="1:7" ht="16.5" thickBot="1" x14ac:dyDescent="0.3">
      <c r="A15" s="986"/>
      <c r="B15" s="987" t="s">
        <v>755</v>
      </c>
      <c r="C15" s="988"/>
      <c r="D15" s="988"/>
      <c r="E15" s="989"/>
      <c r="F15" s="990">
        <f>SUM(F4:F12)</f>
        <v>435853.94087369426</v>
      </c>
    </row>
    <row r="16" spans="1:7" ht="15.75" thickTop="1" x14ac:dyDescent="0.25"/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workbookViewId="0">
      <selection activeCell="G9" sqref="G9"/>
    </sheetView>
  </sheetViews>
  <sheetFormatPr defaultColWidth="9.140625" defaultRowHeight="15" x14ac:dyDescent="0.25"/>
  <cols>
    <col min="1" max="1" width="9.140625" style="858"/>
    <col min="2" max="2" width="45.7109375" style="945" customWidth="1"/>
    <col min="3" max="3" width="6.7109375" style="945" customWidth="1"/>
    <col min="4" max="4" width="13.5703125" style="945" customWidth="1"/>
    <col min="5" max="5" width="13.5703125" style="971" customWidth="1"/>
    <col min="6" max="6" width="17.7109375" style="971" bestFit="1" customWidth="1"/>
    <col min="7" max="16384" width="9.140625" style="945"/>
  </cols>
  <sheetData>
    <row r="1" spans="1:6" x14ac:dyDescent="0.25">
      <c r="A1" s="994" t="s">
        <v>658</v>
      </c>
      <c r="B1" s="995" t="s">
        <v>659</v>
      </c>
      <c r="C1" s="996" t="s">
        <v>660</v>
      </c>
      <c r="D1" s="997" t="s">
        <v>661</v>
      </c>
      <c r="E1" s="998" t="s">
        <v>200</v>
      </c>
      <c r="F1" s="999" t="s">
        <v>662</v>
      </c>
    </row>
    <row r="2" spans="1:6" x14ac:dyDescent="0.25">
      <c r="A2" s="948"/>
      <c r="C2" s="949"/>
      <c r="D2" s="949"/>
      <c r="F2" s="972"/>
    </row>
    <row r="3" spans="1:6" x14ac:dyDescent="0.25">
      <c r="A3" s="946" t="s">
        <v>756</v>
      </c>
      <c r="B3" s="973" t="s">
        <v>757</v>
      </c>
      <c r="C3" s="949"/>
      <c r="D3" s="949"/>
      <c r="F3" s="972"/>
    </row>
    <row r="4" spans="1:6" x14ac:dyDescent="0.25">
      <c r="A4" s="946" t="s">
        <v>758</v>
      </c>
      <c r="B4" s="976" t="s">
        <v>759</v>
      </c>
      <c r="C4" s="949"/>
      <c r="D4" s="949"/>
      <c r="F4" s="972"/>
    </row>
    <row r="5" spans="1:6" x14ac:dyDescent="0.25">
      <c r="A5" s="948" t="s">
        <v>760</v>
      </c>
      <c r="B5" s="945" t="s">
        <v>759</v>
      </c>
      <c r="C5" s="949" t="s">
        <v>750</v>
      </c>
      <c r="D5" s="949">
        <v>0</v>
      </c>
      <c r="E5" s="971">
        <v>0</v>
      </c>
      <c r="F5" s="972">
        <f>D5*E5</f>
        <v>0</v>
      </c>
    </row>
    <row r="6" spans="1:6" x14ac:dyDescent="0.25">
      <c r="A6" s="948"/>
      <c r="C6" s="949"/>
      <c r="D6" s="949"/>
      <c r="F6" s="972"/>
    </row>
    <row r="7" spans="1:6" x14ac:dyDescent="0.25">
      <c r="A7" s="946" t="s">
        <v>761</v>
      </c>
      <c r="B7" s="976" t="s">
        <v>762</v>
      </c>
      <c r="C7" s="949"/>
      <c r="D7" s="949"/>
      <c r="F7" s="972"/>
    </row>
    <row r="8" spans="1:6" x14ac:dyDescent="0.25">
      <c r="A8" s="948" t="s">
        <v>763</v>
      </c>
      <c r="B8" s="945" t="s">
        <v>764</v>
      </c>
      <c r="C8" s="949" t="s">
        <v>750</v>
      </c>
      <c r="D8" s="949">
        <v>0</v>
      </c>
      <c r="E8" s="971">
        <v>0</v>
      </c>
      <c r="F8" s="972">
        <f t="shared" ref="F8:F14" si="0">D8*E8</f>
        <v>0</v>
      </c>
    </row>
    <row r="9" spans="1:6" x14ac:dyDescent="0.25">
      <c r="A9" s="948"/>
      <c r="C9" s="949"/>
      <c r="D9" s="949"/>
      <c r="F9" s="972"/>
    </row>
    <row r="10" spans="1:6" x14ac:dyDescent="0.25">
      <c r="A10" s="946" t="s">
        <v>765</v>
      </c>
      <c r="B10" s="976" t="s">
        <v>766</v>
      </c>
      <c r="C10" s="949"/>
      <c r="D10" s="949"/>
      <c r="F10" s="972"/>
    </row>
    <row r="11" spans="1:6" x14ac:dyDescent="0.25">
      <c r="A11" s="948" t="s">
        <v>767</v>
      </c>
      <c r="B11" s="945" t="s">
        <v>768</v>
      </c>
      <c r="C11" s="949" t="s">
        <v>750</v>
      </c>
      <c r="D11" s="949">
        <v>0</v>
      </c>
      <c r="E11" s="971">
        <v>0</v>
      </c>
      <c r="F11" s="972">
        <f t="shared" si="0"/>
        <v>0</v>
      </c>
    </row>
    <row r="12" spans="1:6" x14ac:dyDescent="0.25">
      <c r="A12" s="948"/>
      <c r="C12" s="949"/>
      <c r="D12" s="949"/>
      <c r="F12" s="972"/>
    </row>
    <row r="13" spans="1:6" x14ac:dyDescent="0.25">
      <c r="A13" s="946" t="s">
        <v>769</v>
      </c>
      <c r="B13" s="976" t="s">
        <v>770</v>
      </c>
      <c r="C13" s="949"/>
      <c r="D13" s="949"/>
      <c r="F13" s="972"/>
    </row>
    <row r="14" spans="1:6" x14ac:dyDescent="0.25">
      <c r="A14" s="948" t="s">
        <v>771</v>
      </c>
      <c r="B14" s="945" t="s">
        <v>772</v>
      </c>
      <c r="C14" s="949" t="s">
        <v>750</v>
      </c>
      <c r="D14" s="949">
        <v>0</v>
      </c>
      <c r="E14" s="971">
        <v>0</v>
      </c>
      <c r="F14" s="972">
        <f t="shared" si="0"/>
        <v>0</v>
      </c>
    </row>
    <row r="15" spans="1:6" x14ac:dyDescent="0.25">
      <c r="A15" s="948"/>
      <c r="C15" s="949"/>
      <c r="D15" s="949"/>
      <c r="F15" s="972"/>
    </row>
    <row r="16" spans="1:6" x14ac:dyDescent="0.25">
      <c r="A16" s="948"/>
      <c r="C16" s="949"/>
      <c r="D16" s="949"/>
      <c r="F16" s="972"/>
    </row>
    <row r="17" spans="1:6" x14ac:dyDescent="0.25">
      <c r="A17" s="948"/>
      <c r="C17" s="949"/>
      <c r="D17" s="949"/>
      <c r="F17" s="972"/>
    </row>
    <row r="18" spans="1:6" ht="16.5" thickBot="1" x14ac:dyDescent="0.3">
      <c r="A18" s="1002"/>
      <c r="B18" s="1003" t="s">
        <v>755</v>
      </c>
      <c r="C18" s="1004"/>
      <c r="D18" s="1004"/>
      <c r="E18" s="1005"/>
      <c r="F18" s="978">
        <v>5000000</v>
      </c>
    </row>
    <row r="19" spans="1:6" ht="15.75" thickTop="1" x14ac:dyDescent="0.25"/>
  </sheetData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2"/>
  <sheetViews>
    <sheetView topLeftCell="A4" workbookViewId="0">
      <selection activeCell="H13" sqref="H13"/>
    </sheetView>
  </sheetViews>
  <sheetFormatPr defaultColWidth="9.140625" defaultRowHeight="15" x14ac:dyDescent="0.25"/>
  <cols>
    <col min="1" max="1" width="9.140625" style="858"/>
    <col min="2" max="2" width="45.7109375" style="945" customWidth="1"/>
    <col min="3" max="3" width="6.7109375" style="945" customWidth="1"/>
    <col min="4" max="4" width="13.5703125" style="945" customWidth="1"/>
    <col min="5" max="5" width="13.5703125" style="971" customWidth="1"/>
    <col min="6" max="6" width="20" style="971" customWidth="1"/>
    <col min="7" max="16384" width="9.140625" style="945"/>
  </cols>
  <sheetData>
    <row r="1" spans="1:6" x14ac:dyDescent="0.25">
      <c r="A1" s="994" t="s">
        <v>658</v>
      </c>
      <c r="B1" s="995" t="s">
        <v>659</v>
      </c>
      <c r="C1" s="996" t="s">
        <v>660</v>
      </c>
      <c r="D1" s="997" t="s">
        <v>661</v>
      </c>
      <c r="E1" s="998" t="s">
        <v>200</v>
      </c>
      <c r="F1" s="999" t="s">
        <v>662</v>
      </c>
    </row>
    <row r="2" spans="1:6" x14ac:dyDescent="0.25">
      <c r="A2" s="948"/>
      <c r="C2" s="949"/>
      <c r="D2" s="949"/>
      <c r="F2" s="972"/>
    </row>
    <row r="3" spans="1:6" x14ac:dyDescent="0.25">
      <c r="A3" s="948" t="s">
        <v>773</v>
      </c>
      <c r="B3" s="973" t="s">
        <v>774</v>
      </c>
      <c r="C3" s="949"/>
      <c r="D3" s="949"/>
      <c r="F3" s="972"/>
    </row>
    <row r="4" spans="1:6" x14ac:dyDescent="0.25">
      <c r="A4" s="946" t="s">
        <v>775</v>
      </c>
      <c r="B4" s="1006" t="s">
        <v>776</v>
      </c>
      <c r="C4" s="1007"/>
      <c r="D4" s="1007"/>
      <c r="F4" s="972"/>
    </row>
    <row r="5" spans="1:6" x14ac:dyDescent="0.25">
      <c r="A5" s="948" t="s">
        <v>777</v>
      </c>
      <c r="B5" s="1008" t="s">
        <v>778</v>
      </c>
      <c r="C5" s="1007" t="s">
        <v>779</v>
      </c>
      <c r="D5" s="1007">
        <v>30</v>
      </c>
      <c r="E5" s="971">
        <v>2500</v>
      </c>
      <c r="F5" s="972">
        <f>D5*E5</f>
        <v>75000</v>
      </c>
    </row>
    <row r="6" spans="1:6" x14ac:dyDescent="0.25">
      <c r="A6" s="948" t="s">
        <v>780</v>
      </c>
      <c r="B6" s="1008" t="s">
        <v>781</v>
      </c>
      <c r="C6" s="1007" t="s">
        <v>516</v>
      </c>
      <c r="D6" s="1007">
        <v>5</v>
      </c>
      <c r="E6" s="971">
        <v>30000</v>
      </c>
      <c r="F6" s="972">
        <f t="shared" ref="F6:F47" si="0">D6*E6</f>
        <v>150000</v>
      </c>
    </row>
    <row r="7" spans="1:6" x14ac:dyDescent="0.25">
      <c r="A7" s="948" t="s">
        <v>782</v>
      </c>
      <c r="B7" s="1008" t="s">
        <v>783</v>
      </c>
      <c r="C7" s="1007" t="s">
        <v>779</v>
      </c>
      <c r="D7" s="1007">
        <v>20</v>
      </c>
      <c r="E7" s="971">
        <v>1500</v>
      </c>
      <c r="F7" s="972">
        <f t="shared" si="0"/>
        <v>30000</v>
      </c>
    </row>
    <row r="8" spans="1:6" x14ac:dyDescent="0.25">
      <c r="A8" s="948"/>
      <c r="C8" s="949"/>
      <c r="D8" s="949"/>
      <c r="F8" s="972"/>
    </row>
    <row r="9" spans="1:6" x14ac:dyDescent="0.25">
      <c r="A9" s="946" t="s">
        <v>784</v>
      </c>
      <c r="B9" s="976" t="s">
        <v>785</v>
      </c>
      <c r="C9" s="949"/>
      <c r="D9" s="949"/>
      <c r="F9" s="972"/>
    </row>
    <row r="10" spans="1:6" x14ac:dyDescent="0.25">
      <c r="A10" s="948" t="s">
        <v>786</v>
      </c>
      <c r="B10" s="945" t="s">
        <v>787</v>
      </c>
      <c r="C10" s="949" t="s">
        <v>670</v>
      </c>
      <c r="D10" s="949">
        <v>2500</v>
      </c>
      <c r="E10" s="971">
        <v>75</v>
      </c>
      <c r="F10" s="972">
        <f t="shared" si="0"/>
        <v>187500</v>
      </c>
    </row>
    <row r="11" spans="1:6" x14ac:dyDescent="0.25">
      <c r="A11" s="948"/>
      <c r="C11" s="949"/>
      <c r="D11" s="949"/>
      <c r="F11" s="972"/>
    </row>
    <row r="12" spans="1:6" x14ac:dyDescent="0.25">
      <c r="A12" s="946" t="s">
        <v>788</v>
      </c>
      <c r="B12" s="976" t="s">
        <v>789</v>
      </c>
      <c r="C12" s="949"/>
      <c r="D12" s="949"/>
      <c r="F12" s="972"/>
    </row>
    <row r="13" spans="1:6" x14ac:dyDescent="0.25">
      <c r="A13" s="948" t="s">
        <v>790</v>
      </c>
      <c r="B13" s="945" t="s">
        <v>791</v>
      </c>
      <c r="C13" s="949" t="s">
        <v>779</v>
      </c>
      <c r="D13" s="1007">
        <v>50</v>
      </c>
      <c r="E13" s="971">
        <v>3000</v>
      </c>
      <c r="F13" s="972">
        <f t="shared" si="0"/>
        <v>150000</v>
      </c>
    </row>
    <row r="14" spans="1:6" x14ac:dyDescent="0.25">
      <c r="A14" s="948" t="s">
        <v>792</v>
      </c>
      <c r="B14" s="945" t="s">
        <v>793</v>
      </c>
      <c r="C14" s="949" t="s">
        <v>670</v>
      </c>
      <c r="D14" s="949">
        <v>120</v>
      </c>
      <c r="E14" s="1009">
        <v>2250</v>
      </c>
      <c r="F14" s="972">
        <f t="shared" si="0"/>
        <v>270000</v>
      </c>
    </row>
    <row r="15" spans="1:6" x14ac:dyDescent="0.25">
      <c r="A15" s="948"/>
      <c r="C15" s="949"/>
      <c r="D15" s="949"/>
      <c r="F15" s="972"/>
    </row>
    <row r="16" spans="1:6" x14ac:dyDescent="0.25">
      <c r="A16" s="946" t="s">
        <v>794</v>
      </c>
      <c r="B16" s="976" t="s">
        <v>795</v>
      </c>
      <c r="C16" s="949"/>
      <c r="D16" s="949"/>
      <c r="F16" s="972"/>
    </row>
    <row r="17" spans="1:6" x14ac:dyDescent="0.25">
      <c r="A17" s="948" t="s">
        <v>796</v>
      </c>
      <c r="B17" s="945" t="s">
        <v>797</v>
      </c>
      <c r="C17" s="949" t="s">
        <v>779</v>
      </c>
      <c r="D17" s="949">
        <v>200</v>
      </c>
      <c r="E17" s="971">
        <v>1000</v>
      </c>
      <c r="F17" s="972">
        <f t="shared" si="0"/>
        <v>200000</v>
      </c>
    </row>
    <row r="18" spans="1:6" x14ac:dyDescent="0.25">
      <c r="A18" s="948" t="s">
        <v>798</v>
      </c>
      <c r="B18" s="945" t="s">
        <v>799</v>
      </c>
      <c r="C18" s="949" t="s">
        <v>750</v>
      </c>
      <c r="D18" s="949">
        <v>1</v>
      </c>
      <c r="E18" s="971">
        <v>30000</v>
      </c>
      <c r="F18" s="972">
        <f t="shared" si="0"/>
        <v>30000</v>
      </c>
    </row>
    <row r="19" spans="1:6" x14ac:dyDescent="0.25">
      <c r="A19" s="948" t="s">
        <v>800</v>
      </c>
      <c r="B19" s="945" t="s">
        <v>801</v>
      </c>
      <c r="C19" s="949" t="s">
        <v>750</v>
      </c>
      <c r="D19" s="949">
        <v>1</v>
      </c>
      <c r="E19" s="971">
        <v>30000</v>
      </c>
      <c r="F19" s="972">
        <f t="shared" si="0"/>
        <v>30000</v>
      </c>
    </row>
    <row r="20" spans="1:6" x14ac:dyDescent="0.25">
      <c r="A20" s="948" t="s">
        <v>802</v>
      </c>
      <c r="B20" s="945" t="s">
        <v>803</v>
      </c>
      <c r="C20" s="949" t="s">
        <v>750</v>
      </c>
      <c r="D20" s="949">
        <v>1</v>
      </c>
      <c r="E20" s="971">
        <v>6000</v>
      </c>
      <c r="F20" s="972">
        <f t="shared" si="0"/>
        <v>6000</v>
      </c>
    </row>
    <row r="21" spans="1:6" x14ac:dyDescent="0.25">
      <c r="A21" s="948" t="s">
        <v>804</v>
      </c>
      <c r="B21" s="945" t="s">
        <v>805</v>
      </c>
      <c r="C21" s="949" t="s">
        <v>750</v>
      </c>
      <c r="D21" s="949">
        <v>1</v>
      </c>
      <c r="E21" s="971">
        <v>45000</v>
      </c>
      <c r="F21" s="972">
        <f t="shared" si="0"/>
        <v>45000</v>
      </c>
    </row>
    <row r="22" spans="1:6" x14ac:dyDescent="0.25">
      <c r="A22" s="948" t="s">
        <v>806</v>
      </c>
      <c r="B22" s="945" t="s">
        <v>807</v>
      </c>
      <c r="C22" s="949" t="s">
        <v>750</v>
      </c>
      <c r="D22" s="949">
        <v>0</v>
      </c>
      <c r="E22" s="971">
        <v>0</v>
      </c>
      <c r="F22" s="972">
        <f t="shared" si="0"/>
        <v>0</v>
      </c>
    </row>
    <row r="23" spans="1:6" x14ac:dyDescent="0.25">
      <c r="A23" s="948" t="s">
        <v>808</v>
      </c>
      <c r="B23" s="945" t="s">
        <v>809</v>
      </c>
      <c r="C23" s="949" t="s">
        <v>750</v>
      </c>
      <c r="D23" s="949">
        <v>0</v>
      </c>
      <c r="E23" s="971">
        <v>0</v>
      </c>
      <c r="F23" s="972">
        <f t="shared" si="0"/>
        <v>0</v>
      </c>
    </row>
    <row r="24" spans="1:6" x14ac:dyDescent="0.25">
      <c r="A24" s="948"/>
      <c r="C24" s="949"/>
      <c r="D24" s="949"/>
      <c r="F24" s="972"/>
    </row>
    <row r="25" spans="1:6" x14ac:dyDescent="0.25">
      <c r="A25" s="946" t="s">
        <v>810</v>
      </c>
      <c r="B25" s="976" t="s">
        <v>811</v>
      </c>
      <c r="C25" s="949"/>
      <c r="D25" s="949"/>
      <c r="F25" s="972"/>
    </row>
    <row r="26" spans="1:6" x14ac:dyDescent="0.25">
      <c r="A26" s="948" t="s">
        <v>812</v>
      </c>
      <c r="B26" s="945" t="s">
        <v>813</v>
      </c>
      <c r="C26" s="949" t="s">
        <v>670</v>
      </c>
      <c r="D26" s="949">
        <v>300</v>
      </c>
      <c r="E26" s="971">
        <v>500</v>
      </c>
      <c r="F26" s="1010">
        <f t="shared" si="0"/>
        <v>150000</v>
      </c>
    </row>
    <row r="27" spans="1:6" x14ac:dyDescent="0.25">
      <c r="A27" s="948" t="s">
        <v>814</v>
      </c>
      <c r="B27" s="945" t="s">
        <v>815</v>
      </c>
      <c r="C27" s="949" t="s">
        <v>750</v>
      </c>
      <c r="D27" s="949">
        <v>1</v>
      </c>
      <c r="E27" s="971">
        <v>15000</v>
      </c>
      <c r="F27" s="972">
        <f t="shared" si="0"/>
        <v>15000</v>
      </c>
    </row>
    <row r="28" spans="1:6" x14ac:dyDescent="0.25">
      <c r="A28" s="948"/>
      <c r="C28" s="949"/>
      <c r="D28" s="949"/>
      <c r="F28" s="972"/>
    </row>
    <row r="29" spans="1:6" x14ac:dyDescent="0.25">
      <c r="A29" s="946" t="s">
        <v>816</v>
      </c>
      <c r="B29" s="976" t="s">
        <v>817</v>
      </c>
      <c r="C29" s="949"/>
      <c r="D29" s="949"/>
      <c r="F29" s="972"/>
    </row>
    <row r="30" spans="1:6" x14ac:dyDescent="0.25">
      <c r="A30" s="948" t="s">
        <v>818</v>
      </c>
      <c r="B30" s="945" t="s">
        <v>819</v>
      </c>
      <c r="C30" s="949" t="s">
        <v>750</v>
      </c>
      <c r="D30" s="949">
        <v>1</v>
      </c>
      <c r="E30" s="971">
        <v>7500</v>
      </c>
      <c r="F30" s="972">
        <f t="shared" si="0"/>
        <v>7500</v>
      </c>
    </row>
    <row r="31" spans="1:6" x14ac:dyDescent="0.25">
      <c r="A31" s="948" t="s">
        <v>820</v>
      </c>
      <c r="B31" s="945" t="s">
        <v>821</v>
      </c>
      <c r="C31" s="949" t="s">
        <v>750</v>
      </c>
      <c r="D31" s="949">
        <v>1</v>
      </c>
      <c r="E31" s="971">
        <v>7500</v>
      </c>
      <c r="F31" s="972">
        <f t="shared" si="0"/>
        <v>7500</v>
      </c>
    </row>
    <row r="32" spans="1:6" x14ac:dyDescent="0.25">
      <c r="A32" s="948" t="s">
        <v>822</v>
      </c>
      <c r="B32" s="945" t="s">
        <v>823</v>
      </c>
      <c r="C32" s="949" t="s">
        <v>750</v>
      </c>
      <c r="D32" s="949">
        <v>1</v>
      </c>
      <c r="E32" s="971">
        <v>50000</v>
      </c>
      <c r="F32" s="972">
        <f t="shared" si="0"/>
        <v>50000</v>
      </c>
    </row>
    <row r="33" spans="1:6" x14ac:dyDescent="0.25">
      <c r="A33" s="948"/>
      <c r="C33" s="949"/>
      <c r="D33" s="949"/>
      <c r="F33" s="972"/>
    </row>
    <row r="34" spans="1:6" x14ac:dyDescent="0.25">
      <c r="A34" s="946" t="s">
        <v>824</v>
      </c>
      <c r="B34" s="1006" t="s">
        <v>825</v>
      </c>
      <c r="C34" s="949"/>
      <c r="D34" s="949"/>
      <c r="F34" s="972"/>
    </row>
    <row r="35" spans="1:6" x14ac:dyDescent="0.25">
      <c r="A35" s="948" t="s">
        <v>826</v>
      </c>
      <c r="B35" s="945" t="s">
        <v>827</v>
      </c>
      <c r="C35" s="949" t="s">
        <v>750</v>
      </c>
      <c r="D35" s="949">
        <v>1</v>
      </c>
      <c r="E35" s="1009">
        <v>150000</v>
      </c>
      <c r="F35" s="1010">
        <f t="shared" si="0"/>
        <v>150000</v>
      </c>
    </row>
    <row r="36" spans="1:6" x14ac:dyDescent="0.25">
      <c r="A36" s="948" t="s">
        <v>828</v>
      </c>
      <c r="B36" s="945" t="s">
        <v>829</v>
      </c>
      <c r="C36" s="949" t="s">
        <v>750</v>
      </c>
      <c r="D36" s="949">
        <v>1</v>
      </c>
      <c r="E36" s="971">
        <v>7500</v>
      </c>
      <c r="F36" s="1010">
        <f t="shared" si="0"/>
        <v>7500</v>
      </c>
    </row>
    <row r="37" spans="1:6" x14ac:dyDescent="0.25">
      <c r="A37" s="948" t="s">
        <v>830</v>
      </c>
      <c r="B37" s="1008" t="s">
        <v>831</v>
      </c>
      <c r="C37" s="949" t="s">
        <v>750</v>
      </c>
      <c r="D37" s="949">
        <v>2</v>
      </c>
      <c r="E37" s="971">
        <v>380000</v>
      </c>
      <c r="F37" s="1010">
        <f t="shared" si="0"/>
        <v>760000</v>
      </c>
    </row>
    <row r="38" spans="1:6" x14ac:dyDescent="0.25">
      <c r="A38" s="948" t="s">
        <v>832</v>
      </c>
      <c r="B38" s="945" t="s">
        <v>833</v>
      </c>
      <c r="C38" s="949" t="s">
        <v>750</v>
      </c>
      <c r="D38" s="949">
        <v>1</v>
      </c>
      <c r="E38" s="971">
        <v>6000</v>
      </c>
      <c r="F38" s="1010">
        <f t="shared" si="0"/>
        <v>6000</v>
      </c>
    </row>
    <row r="39" spans="1:6" x14ac:dyDescent="0.25">
      <c r="A39" s="948" t="s">
        <v>834</v>
      </c>
      <c r="B39" s="945" t="s">
        <v>835</v>
      </c>
      <c r="C39" s="949" t="s">
        <v>750</v>
      </c>
      <c r="D39" s="949">
        <v>1</v>
      </c>
      <c r="E39" s="971">
        <v>7500</v>
      </c>
      <c r="F39" s="1010">
        <f t="shared" si="0"/>
        <v>7500</v>
      </c>
    </row>
    <row r="40" spans="1:6" x14ac:dyDescent="0.25">
      <c r="A40" s="948" t="s">
        <v>836</v>
      </c>
      <c r="B40" s="945" t="s">
        <v>837</v>
      </c>
      <c r="C40" s="949" t="s">
        <v>750</v>
      </c>
      <c r="D40" s="949">
        <v>1</v>
      </c>
      <c r="E40" s="971">
        <v>25000</v>
      </c>
      <c r="F40" s="1010">
        <f t="shared" si="0"/>
        <v>25000</v>
      </c>
    </row>
    <row r="41" spans="1:6" x14ac:dyDescent="0.25">
      <c r="A41" s="948" t="s">
        <v>838</v>
      </c>
      <c r="B41" s="945" t="s">
        <v>839</v>
      </c>
      <c r="C41" s="949" t="s">
        <v>750</v>
      </c>
      <c r="D41" s="949">
        <v>1</v>
      </c>
      <c r="E41" s="971">
        <v>37500</v>
      </c>
      <c r="F41" s="1010">
        <f t="shared" si="0"/>
        <v>37500</v>
      </c>
    </row>
    <row r="42" spans="1:6" x14ac:dyDescent="0.25">
      <c r="A42" s="948" t="s">
        <v>840</v>
      </c>
      <c r="B42" s="945" t="s">
        <v>841</v>
      </c>
      <c r="C42" s="949" t="s">
        <v>750</v>
      </c>
      <c r="D42" s="949">
        <v>1</v>
      </c>
      <c r="E42" s="971">
        <v>15000</v>
      </c>
      <c r="F42" s="1010">
        <f t="shared" si="0"/>
        <v>15000</v>
      </c>
    </row>
    <row r="43" spans="1:6" x14ac:dyDescent="0.25">
      <c r="A43" s="948"/>
      <c r="C43" s="949"/>
      <c r="D43" s="949"/>
      <c r="F43" s="972"/>
    </row>
    <row r="44" spans="1:6" x14ac:dyDescent="0.25">
      <c r="A44" s="946" t="s">
        <v>842</v>
      </c>
      <c r="B44" s="976" t="s">
        <v>843</v>
      </c>
      <c r="C44" s="949"/>
      <c r="D44" s="949"/>
      <c r="F44" s="972"/>
    </row>
    <row r="45" spans="1:6" x14ac:dyDescent="0.25">
      <c r="A45" s="948" t="s">
        <v>844</v>
      </c>
      <c r="B45" s="945" t="s">
        <v>845</v>
      </c>
      <c r="C45" s="949" t="s">
        <v>779</v>
      </c>
      <c r="D45" s="949">
        <v>100</v>
      </c>
      <c r="E45" s="971">
        <v>525</v>
      </c>
      <c r="F45" s="972">
        <f t="shared" si="0"/>
        <v>52500</v>
      </c>
    </row>
    <row r="46" spans="1:6" x14ac:dyDescent="0.25">
      <c r="A46" s="948" t="s">
        <v>846</v>
      </c>
      <c r="B46" s="945" t="s">
        <v>847</v>
      </c>
      <c r="C46" s="949" t="s">
        <v>848</v>
      </c>
      <c r="D46" s="949">
        <v>10</v>
      </c>
      <c r="E46" s="971">
        <v>6000</v>
      </c>
      <c r="F46" s="972">
        <f t="shared" si="0"/>
        <v>60000</v>
      </c>
    </row>
    <row r="47" spans="1:6" x14ac:dyDescent="0.25">
      <c r="A47" s="948" t="s">
        <v>849</v>
      </c>
      <c r="B47" s="945" t="s">
        <v>850</v>
      </c>
      <c r="C47" s="949" t="s">
        <v>848</v>
      </c>
      <c r="D47" s="949">
        <v>1</v>
      </c>
      <c r="E47" s="971">
        <v>7500</v>
      </c>
      <c r="F47" s="972">
        <f t="shared" si="0"/>
        <v>7500</v>
      </c>
    </row>
    <row r="48" spans="1:6" x14ac:dyDescent="0.25">
      <c r="A48" s="948"/>
      <c r="C48" s="949"/>
      <c r="D48" s="949"/>
      <c r="F48" s="972"/>
    </row>
    <row r="49" spans="1:7" x14ac:dyDescent="0.25">
      <c r="A49" s="948"/>
      <c r="C49" s="949"/>
      <c r="D49" s="949"/>
      <c r="F49" s="972"/>
    </row>
    <row r="50" spans="1:7" ht="15.75" thickBot="1" x14ac:dyDescent="0.3">
      <c r="A50" s="1002"/>
      <c r="B50" s="1003" t="s">
        <v>755</v>
      </c>
      <c r="C50" s="1034"/>
      <c r="D50" s="1034"/>
      <c r="E50" s="1035"/>
      <c r="F50" s="955">
        <f>SUM(F5:F49)</f>
        <v>2532000</v>
      </c>
    </row>
    <row r="51" spans="1:7" ht="15.75" thickTop="1" x14ac:dyDescent="0.25">
      <c r="A51" s="979"/>
      <c r="B51" s="950"/>
      <c r="C51" s="950"/>
      <c r="D51" s="950"/>
      <c r="E51" s="977"/>
      <c r="F51" s="977"/>
      <c r="G51" s="950"/>
    </row>
    <row r="52" spans="1:7" x14ac:dyDescent="0.25">
      <c r="A52" s="979"/>
      <c r="B52" s="950"/>
      <c r="C52" s="950"/>
      <c r="D52" s="950"/>
      <c r="E52" s="977"/>
      <c r="F52" s="97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6"/>
  <sheetViews>
    <sheetView topLeftCell="A19" zoomScale="59" zoomScaleNormal="59" workbookViewId="0">
      <selection activeCell="D93" sqref="D93"/>
    </sheetView>
  </sheetViews>
  <sheetFormatPr defaultColWidth="9.140625" defaultRowHeight="21" x14ac:dyDescent="0.35"/>
  <cols>
    <col min="1" max="1" width="12.28515625" style="1028" customWidth="1"/>
    <col min="2" max="2" width="111.5703125" style="1012" customWidth="1"/>
    <col min="3" max="3" width="6.85546875" style="1012" customWidth="1"/>
    <col min="4" max="4" width="16.5703125" style="1012" customWidth="1"/>
    <col min="5" max="6" width="25" style="1015" customWidth="1"/>
    <col min="7" max="7" width="24.7109375" style="1012" customWidth="1"/>
    <col min="8" max="16384" width="9.140625" style="1012"/>
  </cols>
  <sheetData>
    <row r="1" spans="1:6" x14ac:dyDescent="0.35">
      <c r="A1" s="1048" t="s">
        <v>658</v>
      </c>
      <c r="B1" s="1048" t="s">
        <v>659</v>
      </c>
      <c r="C1" s="1048" t="s">
        <v>660</v>
      </c>
      <c r="D1" s="1197" t="s">
        <v>661</v>
      </c>
      <c r="E1" s="1050" t="s">
        <v>200</v>
      </c>
      <c r="F1" s="1198" t="s">
        <v>662</v>
      </c>
    </row>
    <row r="2" spans="1:6" x14ac:dyDescent="0.35">
      <c r="A2" s="1013"/>
      <c r="C2" s="1014"/>
      <c r="D2" s="1014"/>
      <c r="F2" s="1016"/>
    </row>
    <row r="3" spans="1:6" x14ac:dyDescent="0.35">
      <c r="A3" s="1017" t="s">
        <v>851</v>
      </c>
      <c r="B3" s="1018" t="s">
        <v>852</v>
      </c>
      <c r="C3" s="1014"/>
      <c r="D3" s="1014"/>
      <c r="F3" s="1016"/>
    </row>
    <row r="4" spans="1:6" x14ac:dyDescent="0.35">
      <c r="A4" s="1011" t="s">
        <v>1048</v>
      </c>
      <c r="B4" s="1019" t="s">
        <v>853</v>
      </c>
      <c r="C4" s="1014"/>
      <c r="D4" s="1014"/>
      <c r="F4" s="1016"/>
    </row>
    <row r="5" spans="1:6" ht="42" x14ac:dyDescent="0.35">
      <c r="A5" s="1013" t="s">
        <v>854</v>
      </c>
      <c r="B5" s="1020" t="s">
        <v>855</v>
      </c>
      <c r="C5" s="1014" t="s">
        <v>670</v>
      </c>
      <c r="D5" s="1014">
        <v>800</v>
      </c>
      <c r="E5" s="1015">
        <v>2000</v>
      </c>
      <c r="F5" s="1016">
        <f t="shared" ref="F5:F21" si="0">D5*E5</f>
        <v>1600000</v>
      </c>
    </row>
    <row r="6" spans="1:6" x14ac:dyDescent="0.35">
      <c r="A6" s="1013" t="s">
        <v>856</v>
      </c>
      <c r="B6" s="1020" t="s">
        <v>857</v>
      </c>
      <c r="C6" s="1021" t="s">
        <v>670</v>
      </c>
      <c r="D6" s="1014">
        <f>D5</f>
        <v>800</v>
      </c>
      <c r="E6" s="1015">
        <v>1000</v>
      </c>
      <c r="F6" s="1016">
        <f t="shared" si="0"/>
        <v>800000</v>
      </c>
    </row>
    <row r="7" spans="1:6" x14ac:dyDescent="0.35">
      <c r="A7" s="1013" t="s">
        <v>858</v>
      </c>
      <c r="B7" s="1020" t="s">
        <v>859</v>
      </c>
      <c r="C7" s="1021" t="s">
        <v>670</v>
      </c>
      <c r="D7" s="1014">
        <f>D5/2</f>
        <v>400</v>
      </c>
      <c r="E7" s="1015">
        <v>2000</v>
      </c>
      <c r="F7" s="1016">
        <f t="shared" si="0"/>
        <v>800000</v>
      </c>
    </row>
    <row r="8" spans="1:6" x14ac:dyDescent="0.35">
      <c r="A8" s="1013" t="s">
        <v>860</v>
      </c>
      <c r="B8" s="1020" t="s">
        <v>861</v>
      </c>
      <c r="C8" s="1014" t="s">
        <v>670</v>
      </c>
      <c r="D8" s="1014">
        <f>D5</f>
        <v>800</v>
      </c>
      <c r="E8" s="1015">
        <v>600</v>
      </c>
      <c r="F8" s="1016">
        <f t="shared" si="0"/>
        <v>480000</v>
      </c>
    </row>
    <row r="9" spans="1:6" ht="22.5" customHeight="1" x14ac:dyDescent="0.35">
      <c r="A9" s="1013" t="s">
        <v>862</v>
      </c>
      <c r="B9" s="1020" t="s">
        <v>863</v>
      </c>
      <c r="C9" s="1014" t="s">
        <v>670</v>
      </c>
      <c r="D9" s="1014">
        <f>D5</f>
        <v>800</v>
      </c>
      <c r="E9" s="1015">
        <v>1500</v>
      </c>
      <c r="F9" s="1016">
        <f t="shared" si="0"/>
        <v>1200000</v>
      </c>
    </row>
    <row r="10" spans="1:6" x14ac:dyDescent="0.35">
      <c r="A10" s="1013" t="s">
        <v>864</v>
      </c>
      <c r="B10" s="1020" t="s">
        <v>865</v>
      </c>
      <c r="C10" s="1021" t="s">
        <v>670</v>
      </c>
      <c r="D10" s="1014">
        <f>D5*0.25</f>
        <v>200</v>
      </c>
      <c r="E10" s="1015">
        <v>1500</v>
      </c>
      <c r="F10" s="1016">
        <f t="shared" si="0"/>
        <v>300000</v>
      </c>
    </row>
    <row r="11" spans="1:6" x14ac:dyDescent="0.35">
      <c r="A11" s="1013" t="s">
        <v>866</v>
      </c>
      <c r="B11" s="1020" t="s">
        <v>867</v>
      </c>
      <c r="C11" s="1014" t="s">
        <v>848</v>
      </c>
      <c r="D11" s="1014">
        <v>10</v>
      </c>
      <c r="E11" s="1015">
        <v>1500</v>
      </c>
      <c r="F11" s="1016">
        <f t="shared" si="0"/>
        <v>15000</v>
      </c>
    </row>
    <row r="12" spans="1:6" x14ac:dyDescent="0.35">
      <c r="A12" s="1013" t="s">
        <v>868</v>
      </c>
      <c r="B12" s="1020" t="s">
        <v>869</v>
      </c>
      <c r="C12" s="1014" t="s">
        <v>750</v>
      </c>
      <c r="D12" s="1014">
        <v>1</v>
      </c>
      <c r="E12" s="1015">
        <v>75000</v>
      </c>
      <c r="F12" s="1016">
        <f t="shared" si="0"/>
        <v>75000</v>
      </c>
    </row>
    <row r="13" spans="1:6" x14ac:dyDescent="0.35">
      <c r="A13" s="1013" t="s">
        <v>870</v>
      </c>
      <c r="B13" s="1020" t="s">
        <v>871</v>
      </c>
      <c r="C13" s="1014" t="s">
        <v>670</v>
      </c>
      <c r="D13" s="1014">
        <f>D5</f>
        <v>800</v>
      </c>
      <c r="E13" s="1015">
        <v>650</v>
      </c>
      <c r="F13" s="1016">
        <f t="shared" si="0"/>
        <v>520000</v>
      </c>
    </row>
    <row r="14" spans="1:6" x14ac:dyDescent="0.35">
      <c r="A14" s="1013" t="s">
        <v>872</v>
      </c>
      <c r="B14" s="1020" t="s">
        <v>873</v>
      </c>
      <c r="C14" s="1014" t="s">
        <v>670</v>
      </c>
      <c r="D14" s="1014">
        <v>100</v>
      </c>
      <c r="E14" s="1015">
        <v>5000</v>
      </c>
      <c r="F14" s="1016">
        <f t="shared" si="0"/>
        <v>500000</v>
      </c>
    </row>
    <row r="15" spans="1:6" x14ac:dyDescent="0.35">
      <c r="A15" s="1013" t="s">
        <v>874</v>
      </c>
      <c r="B15" s="1020" t="s">
        <v>875</v>
      </c>
      <c r="C15" s="1014" t="s">
        <v>670</v>
      </c>
      <c r="D15" s="1014">
        <v>60</v>
      </c>
      <c r="E15" s="1015">
        <v>5000</v>
      </c>
      <c r="F15" s="1016">
        <f t="shared" si="0"/>
        <v>300000</v>
      </c>
    </row>
    <row r="16" spans="1:6" x14ac:dyDescent="0.35">
      <c r="A16" s="1013" t="s">
        <v>876</v>
      </c>
      <c r="B16" s="1020" t="s">
        <v>877</v>
      </c>
      <c r="C16" s="1014" t="s">
        <v>670</v>
      </c>
      <c r="D16" s="1014">
        <v>10</v>
      </c>
      <c r="E16" s="1015">
        <v>5000</v>
      </c>
      <c r="F16" s="1016">
        <f t="shared" si="0"/>
        <v>50000</v>
      </c>
    </row>
    <row r="17" spans="1:7" x14ac:dyDescent="0.35">
      <c r="A17" s="1013" t="s">
        <v>878</v>
      </c>
      <c r="B17" s="1020" t="s">
        <v>879</v>
      </c>
      <c r="C17" s="1014" t="s">
        <v>670</v>
      </c>
      <c r="D17" s="1014">
        <v>50</v>
      </c>
      <c r="E17" s="1015">
        <v>7500</v>
      </c>
      <c r="F17" s="1016">
        <f t="shared" si="0"/>
        <v>375000</v>
      </c>
    </row>
    <row r="18" spans="1:7" x14ac:dyDescent="0.35">
      <c r="A18" s="1013" t="s">
        <v>880</v>
      </c>
      <c r="B18" s="1020" t="s">
        <v>881</v>
      </c>
      <c r="C18" s="1014" t="s">
        <v>670</v>
      </c>
      <c r="D18" s="1014">
        <v>35</v>
      </c>
      <c r="E18" s="1015">
        <v>5000</v>
      </c>
      <c r="F18" s="1016">
        <f t="shared" si="0"/>
        <v>175000</v>
      </c>
    </row>
    <row r="19" spans="1:7" x14ac:dyDescent="0.35">
      <c r="A19" s="1013" t="s">
        <v>882</v>
      </c>
      <c r="B19" s="1020" t="s">
        <v>883</v>
      </c>
      <c r="C19" s="1014" t="s">
        <v>670</v>
      </c>
      <c r="D19" s="1014">
        <v>40</v>
      </c>
      <c r="E19" s="1015">
        <v>4000</v>
      </c>
      <c r="F19" s="1016">
        <f t="shared" si="0"/>
        <v>160000</v>
      </c>
    </row>
    <row r="20" spans="1:7" x14ac:dyDescent="0.35">
      <c r="A20" s="1013" t="s">
        <v>884</v>
      </c>
      <c r="B20" s="1020" t="s">
        <v>885</v>
      </c>
      <c r="C20" s="1014" t="s">
        <v>670</v>
      </c>
      <c r="D20" s="1014">
        <v>50</v>
      </c>
      <c r="E20" s="1015">
        <v>4000</v>
      </c>
      <c r="F20" s="1016">
        <f t="shared" si="0"/>
        <v>200000</v>
      </c>
    </row>
    <row r="21" spans="1:7" x14ac:dyDescent="0.35">
      <c r="A21" s="1013" t="s">
        <v>886</v>
      </c>
      <c r="B21" s="1020" t="s">
        <v>887</v>
      </c>
      <c r="C21" s="1014" t="s">
        <v>670</v>
      </c>
      <c r="D21" s="1021">
        <v>50</v>
      </c>
      <c r="E21" s="1022">
        <v>5000</v>
      </c>
      <c r="F21" s="1023">
        <f t="shared" si="0"/>
        <v>250000</v>
      </c>
      <c r="G21" s="1024"/>
    </row>
    <row r="22" spans="1:7" x14ac:dyDescent="0.35">
      <c r="A22" s="1013"/>
      <c r="B22" s="1020"/>
      <c r="C22" s="1014"/>
      <c r="D22" s="1021"/>
      <c r="E22" s="1022"/>
      <c r="F22" s="1023"/>
      <c r="G22" s="1024"/>
    </row>
    <row r="23" spans="1:7" x14ac:dyDescent="0.35">
      <c r="A23" s="1011" t="s">
        <v>888</v>
      </c>
      <c r="B23" s="1025" t="s">
        <v>889</v>
      </c>
      <c r="C23" s="1014"/>
      <c r="D23" s="1021"/>
      <c r="E23" s="1022"/>
      <c r="F23" s="1023"/>
      <c r="G23" s="1024"/>
    </row>
    <row r="24" spans="1:7" x14ac:dyDescent="0.35">
      <c r="A24" s="1013" t="s">
        <v>890</v>
      </c>
      <c r="B24" s="1020" t="s">
        <v>891</v>
      </c>
      <c r="C24" s="1014" t="s">
        <v>670</v>
      </c>
      <c r="D24" s="1014">
        <v>15</v>
      </c>
      <c r="E24" s="1015">
        <v>12500</v>
      </c>
      <c r="F24" s="1023">
        <f>E24*D24</f>
        <v>187500</v>
      </c>
      <c r="G24" s="1024"/>
    </row>
    <row r="25" spans="1:7" x14ac:dyDescent="0.35">
      <c r="A25" s="1013" t="s">
        <v>892</v>
      </c>
      <c r="B25" s="1020" t="s">
        <v>893</v>
      </c>
      <c r="C25" s="1021" t="s">
        <v>670</v>
      </c>
      <c r="D25" s="1014">
        <v>25</v>
      </c>
      <c r="E25" s="1015">
        <v>12500</v>
      </c>
      <c r="F25" s="1023">
        <f>E25*D25</f>
        <v>312500</v>
      </c>
    </row>
    <row r="26" spans="1:7" x14ac:dyDescent="0.35">
      <c r="A26" s="1013" t="s">
        <v>894</v>
      </c>
      <c r="B26" s="1020" t="s">
        <v>895</v>
      </c>
      <c r="C26" s="1021" t="s">
        <v>670</v>
      </c>
      <c r="D26" s="1014">
        <v>15</v>
      </c>
      <c r="E26" s="1015">
        <v>12500</v>
      </c>
      <c r="F26" s="1023">
        <f t="shared" ref="F26:F34" si="1">E26*D26</f>
        <v>187500</v>
      </c>
    </row>
    <row r="27" spans="1:7" x14ac:dyDescent="0.35">
      <c r="A27" s="1013" t="s">
        <v>896</v>
      </c>
      <c r="B27" s="1020" t="s">
        <v>681</v>
      </c>
      <c r="C27" s="1014" t="s">
        <v>670</v>
      </c>
      <c r="D27" s="1014">
        <v>15</v>
      </c>
      <c r="E27" s="1015">
        <v>25000</v>
      </c>
      <c r="F27" s="1023">
        <f t="shared" si="1"/>
        <v>375000</v>
      </c>
    </row>
    <row r="28" spans="1:7" x14ac:dyDescent="0.35">
      <c r="A28" s="1013" t="s">
        <v>897</v>
      </c>
      <c r="B28" s="1020" t="s">
        <v>898</v>
      </c>
      <c r="C28" s="1014" t="s">
        <v>670</v>
      </c>
      <c r="D28" s="1014">
        <v>100</v>
      </c>
      <c r="E28" s="1015">
        <v>15000</v>
      </c>
      <c r="F28" s="1023">
        <f t="shared" si="1"/>
        <v>1500000</v>
      </c>
    </row>
    <row r="29" spans="1:7" s="945" customFormat="1" x14ac:dyDescent="0.35">
      <c r="A29" s="1013" t="s">
        <v>899</v>
      </c>
      <c r="B29" s="1020" t="s">
        <v>900</v>
      </c>
      <c r="C29" s="1021" t="s">
        <v>670</v>
      </c>
      <c r="D29" s="1014">
        <v>15</v>
      </c>
      <c r="E29" s="1015">
        <v>10000</v>
      </c>
      <c r="F29" s="1023">
        <f t="shared" si="1"/>
        <v>150000</v>
      </c>
    </row>
    <row r="30" spans="1:7" s="945" customFormat="1" x14ac:dyDescent="0.35">
      <c r="A30" s="1013" t="s">
        <v>901</v>
      </c>
      <c r="B30" s="1020" t="s">
        <v>902</v>
      </c>
      <c r="C30" s="1021" t="s">
        <v>670</v>
      </c>
      <c r="D30" s="1014">
        <v>40</v>
      </c>
      <c r="E30" s="1015">
        <v>10000</v>
      </c>
      <c r="F30" s="1023">
        <f t="shared" si="1"/>
        <v>400000</v>
      </c>
    </row>
    <row r="31" spans="1:7" s="945" customFormat="1" x14ac:dyDescent="0.35">
      <c r="A31" s="1013" t="s">
        <v>903</v>
      </c>
      <c r="B31" s="1020" t="s">
        <v>904</v>
      </c>
      <c r="C31" s="1021" t="s">
        <v>670</v>
      </c>
      <c r="D31" s="1014">
        <v>30</v>
      </c>
      <c r="E31" s="1015">
        <v>20000</v>
      </c>
      <c r="F31" s="1023">
        <f t="shared" si="1"/>
        <v>600000</v>
      </c>
    </row>
    <row r="32" spans="1:7" s="945" customFormat="1" x14ac:dyDescent="0.35">
      <c r="A32" s="1013" t="s">
        <v>905</v>
      </c>
      <c r="B32" s="1020" t="s">
        <v>906</v>
      </c>
      <c r="C32" s="1014" t="s">
        <v>670</v>
      </c>
      <c r="D32" s="1014">
        <v>40</v>
      </c>
      <c r="E32" s="1015">
        <v>10000</v>
      </c>
      <c r="F32" s="1023">
        <f t="shared" si="1"/>
        <v>400000</v>
      </c>
    </row>
    <row r="33" spans="1:6" s="945" customFormat="1" x14ac:dyDescent="0.35">
      <c r="A33" s="1013" t="s">
        <v>1035</v>
      </c>
      <c r="B33" s="1020" t="s">
        <v>908</v>
      </c>
      <c r="C33" s="1014" t="s">
        <v>670</v>
      </c>
      <c r="D33" s="1014">
        <v>20</v>
      </c>
      <c r="E33" s="1015">
        <v>10000</v>
      </c>
      <c r="F33" s="1023">
        <f t="shared" si="1"/>
        <v>200000</v>
      </c>
    </row>
    <row r="34" spans="1:6" s="945" customFormat="1" x14ac:dyDescent="0.35">
      <c r="A34" s="1013" t="s">
        <v>907</v>
      </c>
      <c r="B34" s="1020" t="s">
        <v>910</v>
      </c>
      <c r="C34" s="1014" t="s">
        <v>670</v>
      </c>
      <c r="D34" s="1014">
        <v>10</v>
      </c>
      <c r="E34" s="1015">
        <v>10000</v>
      </c>
      <c r="F34" s="1023">
        <f t="shared" si="1"/>
        <v>100000</v>
      </c>
    </row>
    <row r="35" spans="1:6" x14ac:dyDescent="0.35">
      <c r="A35" s="1013" t="s">
        <v>909</v>
      </c>
      <c r="B35" s="1020" t="s">
        <v>869</v>
      </c>
      <c r="C35" s="1014" t="s">
        <v>750</v>
      </c>
      <c r="D35" s="1014">
        <v>1</v>
      </c>
      <c r="E35" s="1015">
        <v>30000</v>
      </c>
      <c r="F35" s="1016">
        <f t="shared" ref="F35:F38" si="2">D35*E35</f>
        <v>30000</v>
      </c>
    </row>
    <row r="36" spans="1:6" x14ac:dyDescent="0.35">
      <c r="A36" s="1013" t="s">
        <v>911</v>
      </c>
      <c r="B36" s="1020" t="s">
        <v>913</v>
      </c>
      <c r="C36" s="1014" t="s">
        <v>670</v>
      </c>
      <c r="D36" s="1014">
        <f>D24+D25+D26+D29+D30+D33+D34</f>
        <v>140</v>
      </c>
      <c r="E36" s="1015">
        <v>700</v>
      </c>
      <c r="F36" s="1016">
        <f t="shared" si="2"/>
        <v>98000</v>
      </c>
    </row>
    <row r="37" spans="1:6" x14ac:dyDescent="0.35">
      <c r="A37" s="1013" t="s">
        <v>912</v>
      </c>
      <c r="B37" s="1012" t="s">
        <v>915</v>
      </c>
      <c r="C37" s="1014" t="s">
        <v>848</v>
      </c>
      <c r="D37" s="1014">
        <v>1</v>
      </c>
      <c r="E37" s="1015">
        <v>10000</v>
      </c>
      <c r="F37" s="1016">
        <f t="shared" si="2"/>
        <v>10000</v>
      </c>
    </row>
    <row r="38" spans="1:6" x14ac:dyDescent="0.35">
      <c r="A38" s="1013" t="s">
        <v>1036</v>
      </c>
      <c r="B38" s="1012" t="s">
        <v>917</v>
      </c>
      <c r="C38" s="1014" t="s">
        <v>848</v>
      </c>
      <c r="D38" s="1014">
        <v>1</v>
      </c>
      <c r="E38" s="1015">
        <v>10000</v>
      </c>
      <c r="F38" s="1016">
        <f t="shared" si="2"/>
        <v>10000</v>
      </c>
    </row>
    <row r="39" spans="1:6" s="945" customFormat="1" x14ac:dyDescent="0.35">
      <c r="A39" s="1013" t="s">
        <v>1037</v>
      </c>
      <c r="B39" s="1012" t="s">
        <v>920</v>
      </c>
      <c r="C39" s="1014" t="s">
        <v>750</v>
      </c>
      <c r="D39" s="1014">
        <v>1</v>
      </c>
      <c r="E39" s="1015">
        <v>4500</v>
      </c>
      <c r="F39" s="1016">
        <f>D39*E39</f>
        <v>4500</v>
      </c>
    </row>
    <row r="40" spans="1:6" s="945" customFormat="1" x14ac:dyDescent="0.35">
      <c r="A40" s="1013" t="s">
        <v>1038</v>
      </c>
      <c r="B40" s="1012" t="s">
        <v>922</v>
      </c>
      <c r="C40" s="1014" t="s">
        <v>750</v>
      </c>
      <c r="D40" s="1014">
        <v>5</v>
      </c>
      <c r="E40" s="1015">
        <v>500</v>
      </c>
      <c r="F40" s="1016">
        <f t="shared" ref="F40:F63" si="3">D40*E40</f>
        <v>2500</v>
      </c>
    </row>
    <row r="41" spans="1:6" s="945" customFormat="1" x14ac:dyDescent="0.35">
      <c r="A41" s="1013" t="s">
        <v>1039</v>
      </c>
      <c r="B41" s="1012" t="s">
        <v>924</v>
      </c>
      <c r="C41" s="1014" t="s">
        <v>750</v>
      </c>
      <c r="D41" s="1014">
        <v>1</v>
      </c>
      <c r="E41" s="1015">
        <v>750</v>
      </c>
      <c r="F41" s="1016">
        <f t="shared" si="3"/>
        <v>750</v>
      </c>
    </row>
    <row r="42" spans="1:6" s="945" customFormat="1" x14ac:dyDescent="0.35">
      <c r="A42" s="1013" t="s">
        <v>1040</v>
      </c>
      <c r="B42" s="1012" t="s">
        <v>926</v>
      </c>
      <c r="C42" s="1014" t="s">
        <v>750</v>
      </c>
      <c r="D42" s="1014">
        <v>1</v>
      </c>
      <c r="E42" s="1015">
        <v>105000</v>
      </c>
      <c r="F42" s="1016">
        <f t="shared" si="3"/>
        <v>105000</v>
      </c>
    </row>
    <row r="43" spans="1:6" s="945" customFormat="1" x14ac:dyDescent="0.35">
      <c r="A43" s="1013" t="s">
        <v>1041</v>
      </c>
      <c r="B43" s="1012" t="s">
        <v>928</v>
      </c>
      <c r="C43" s="1014" t="s">
        <v>750</v>
      </c>
      <c r="D43" s="1014">
        <v>1</v>
      </c>
      <c r="E43" s="1015">
        <v>60000</v>
      </c>
      <c r="F43" s="1016">
        <f t="shared" si="3"/>
        <v>60000</v>
      </c>
    </row>
    <row r="44" spans="1:6" s="945" customFormat="1" x14ac:dyDescent="0.35">
      <c r="A44" s="1013" t="s">
        <v>1042</v>
      </c>
      <c r="B44" s="1012" t="s">
        <v>930</v>
      </c>
      <c r="C44" s="1014" t="s">
        <v>750</v>
      </c>
      <c r="D44" s="1014">
        <v>2</v>
      </c>
      <c r="E44" s="1015">
        <v>15000</v>
      </c>
      <c r="F44" s="1016">
        <f t="shared" si="3"/>
        <v>30000</v>
      </c>
    </row>
    <row r="45" spans="1:6" x14ac:dyDescent="0.35">
      <c r="A45" s="1013" t="s">
        <v>1043</v>
      </c>
      <c r="B45" s="1012" t="s">
        <v>931</v>
      </c>
      <c r="C45" s="1014" t="s">
        <v>750</v>
      </c>
      <c r="D45" s="1014">
        <v>1</v>
      </c>
      <c r="E45" s="1015">
        <v>7500</v>
      </c>
      <c r="F45" s="1016">
        <f t="shared" si="3"/>
        <v>7500</v>
      </c>
    </row>
    <row r="46" spans="1:6" x14ac:dyDescent="0.35">
      <c r="A46" s="1013" t="s">
        <v>1044</v>
      </c>
      <c r="B46" s="1012" t="s">
        <v>933</v>
      </c>
      <c r="C46" s="1014" t="s">
        <v>750</v>
      </c>
      <c r="D46" s="1014">
        <v>10</v>
      </c>
      <c r="E46" s="1015">
        <v>600</v>
      </c>
      <c r="F46" s="1016">
        <f t="shared" si="3"/>
        <v>6000</v>
      </c>
    </row>
    <row r="47" spans="1:6" x14ac:dyDescent="0.35">
      <c r="A47" s="1013" t="s">
        <v>1045</v>
      </c>
      <c r="B47" s="1012" t="s">
        <v>935</v>
      </c>
      <c r="C47" s="1014" t="s">
        <v>750</v>
      </c>
      <c r="D47" s="1014">
        <v>10</v>
      </c>
      <c r="E47" s="1015">
        <v>750</v>
      </c>
      <c r="F47" s="1016">
        <f t="shared" si="3"/>
        <v>7500</v>
      </c>
    </row>
    <row r="48" spans="1:6" x14ac:dyDescent="0.35">
      <c r="A48" s="1013" t="s">
        <v>1046</v>
      </c>
      <c r="B48" s="1012" t="s">
        <v>936</v>
      </c>
      <c r="C48" s="1014" t="s">
        <v>750</v>
      </c>
      <c r="D48" s="1014">
        <v>1</v>
      </c>
      <c r="E48" s="1015">
        <v>1500</v>
      </c>
      <c r="F48" s="1016">
        <f t="shared" si="3"/>
        <v>1500</v>
      </c>
    </row>
    <row r="49" spans="1:6" x14ac:dyDescent="0.35">
      <c r="A49" s="1013" t="s">
        <v>914</v>
      </c>
      <c r="B49" s="1012" t="s">
        <v>937</v>
      </c>
      <c r="C49" s="1014" t="s">
        <v>750</v>
      </c>
      <c r="D49" s="1014">
        <v>1</v>
      </c>
      <c r="E49" s="1015">
        <v>2400</v>
      </c>
      <c r="F49" s="1016">
        <f t="shared" si="3"/>
        <v>2400</v>
      </c>
    </row>
    <row r="50" spans="1:6" x14ac:dyDescent="0.35">
      <c r="A50" s="1013" t="s">
        <v>916</v>
      </c>
      <c r="B50" s="1012" t="s">
        <v>938</v>
      </c>
      <c r="C50" s="1014" t="s">
        <v>750</v>
      </c>
      <c r="D50" s="1014">
        <v>1</v>
      </c>
      <c r="E50" s="1015">
        <v>2400</v>
      </c>
      <c r="F50" s="1016">
        <f t="shared" si="3"/>
        <v>2400</v>
      </c>
    </row>
    <row r="51" spans="1:6" x14ac:dyDescent="0.35">
      <c r="A51" s="1013" t="s">
        <v>1023</v>
      </c>
      <c r="B51" s="1012" t="s">
        <v>939</v>
      </c>
      <c r="C51" s="1014" t="s">
        <v>750</v>
      </c>
      <c r="D51" s="1014">
        <v>1</v>
      </c>
      <c r="E51" s="1015">
        <v>15000</v>
      </c>
      <c r="F51" s="1016">
        <f t="shared" si="3"/>
        <v>15000</v>
      </c>
    </row>
    <row r="52" spans="1:6" x14ac:dyDescent="0.35">
      <c r="A52" s="1013" t="s">
        <v>1024</v>
      </c>
      <c r="B52" s="1012" t="s">
        <v>941</v>
      </c>
      <c r="C52" s="1014" t="s">
        <v>750</v>
      </c>
      <c r="D52" s="1014">
        <v>3</v>
      </c>
      <c r="E52" s="1015">
        <v>2500</v>
      </c>
      <c r="F52" s="1016">
        <f t="shared" si="3"/>
        <v>7500</v>
      </c>
    </row>
    <row r="53" spans="1:6" x14ac:dyDescent="0.35">
      <c r="A53" s="1013" t="s">
        <v>1025</v>
      </c>
      <c r="B53" s="1012" t="s">
        <v>943</v>
      </c>
      <c r="C53" s="1014" t="s">
        <v>750</v>
      </c>
      <c r="D53" s="1014">
        <v>1</v>
      </c>
      <c r="E53" s="1015">
        <v>15000</v>
      </c>
      <c r="F53" s="1016">
        <f t="shared" si="3"/>
        <v>15000</v>
      </c>
    </row>
    <row r="54" spans="1:6" x14ac:dyDescent="0.35">
      <c r="A54" s="1013" t="s">
        <v>1026</v>
      </c>
      <c r="B54" s="1012" t="s">
        <v>933</v>
      </c>
      <c r="C54" s="1014" t="s">
        <v>750</v>
      </c>
      <c r="D54" s="1014">
        <v>5</v>
      </c>
      <c r="E54" s="1022">
        <v>600</v>
      </c>
      <c r="F54" s="1016">
        <f t="shared" si="3"/>
        <v>3000</v>
      </c>
    </row>
    <row r="55" spans="1:6" x14ac:dyDescent="0.35">
      <c r="A55" s="1013" t="s">
        <v>1027</v>
      </c>
      <c r="B55" s="1012" t="s">
        <v>924</v>
      </c>
      <c r="C55" s="1014" t="s">
        <v>750</v>
      </c>
      <c r="D55" s="1014">
        <v>1</v>
      </c>
      <c r="E55" s="1022">
        <v>750</v>
      </c>
      <c r="F55" s="1016">
        <f t="shared" si="3"/>
        <v>750</v>
      </c>
    </row>
    <row r="56" spans="1:6" x14ac:dyDescent="0.35">
      <c r="A56" s="1013" t="s">
        <v>1028</v>
      </c>
      <c r="B56" s="1012" t="s">
        <v>948</v>
      </c>
      <c r="C56" s="1014" t="s">
        <v>750</v>
      </c>
      <c r="D56" s="1014">
        <v>10</v>
      </c>
      <c r="E56" s="1015">
        <v>3000</v>
      </c>
      <c r="F56" s="1016">
        <f t="shared" si="3"/>
        <v>30000</v>
      </c>
    </row>
    <row r="57" spans="1:6" x14ac:dyDescent="0.35">
      <c r="A57" s="1013" t="s">
        <v>1029</v>
      </c>
      <c r="B57" s="1012" t="s">
        <v>950</v>
      </c>
      <c r="C57" s="1014" t="s">
        <v>750</v>
      </c>
      <c r="D57" s="1014">
        <v>1</v>
      </c>
      <c r="E57" s="1015">
        <v>7500</v>
      </c>
      <c r="F57" s="1016">
        <f t="shared" si="3"/>
        <v>7500</v>
      </c>
    </row>
    <row r="58" spans="1:6" x14ac:dyDescent="0.35">
      <c r="A58" s="1013" t="s">
        <v>1030</v>
      </c>
      <c r="B58" s="1012" t="s">
        <v>952</v>
      </c>
      <c r="C58" s="1014" t="s">
        <v>750</v>
      </c>
      <c r="D58" s="1014">
        <v>4</v>
      </c>
      <c r="E58" s="1015">
        <v>750</v>
      </c>
      <c r="F58" s="1016">
        <f t="shared" si="3"/>
        <v>3000</v>
      </c>
    </row>
    <row r="59" spans="1:6" x14ac:dyDescent="0.35">
      <c r="A59" s="1013" t="s">
        <v>1031</v>
      </c>
      <c r="B59" s="1020" t="s">
        <v>953</v>
      </c>
      <c r="C59" s="1014" t="s">
        <v>750</v>
      </c>
      <c r="D59" s="1014">
        <v>1</v>
      </c>
      <c r="E59" s="1015">
        <v>250000</v>
      </c>
      <c r="F59" s="1016">
        <f>D59*E59</f>
        <v>250000</v>
      </c>
    </row>
    <row r="60" spans="1:6" x14ac:dyDescent="0.35">
      <c r="A60" s="1013" t="s">
        <v>1032</v>
      </c>
      <c r="B60" s="1012" t="s">
        <v>954</v>
      </c>
      <c r="C60" s="1014" t="s">
        <v>750</v>
      </c>
      <c r="D60" s="1014">
        <v>1</v>
      </c>
      <c r="E60" s="1015">
        <v>50000</v>
      </c>
      <c r="F60" s="1016">
        <f t="shared" si="3"/>
        <v>50000</v>
      </c>
    </row>
    <row r="61" spans="1:6" x14ac:dyDescent="0.35">
      <c r="A61" s="1013" t="s">
        <v>1033</v>
      </c>
      <c r="B61" s="1012" t="s">
        <v>955</v>
      </c>
      <c r="C61" s="1014" t="s">
        <v>750</v>
      </c>
      <c r="D61" s="1014">
        <v>1</v>
      </c>
      <c r="E61" s="1015">
        <v>150000</v>
      </c>
      <c r="F61" s="1016">
        <f t="shared" si="3"/>
        <v>150000</v>
      </c>
    </row>
    <row r="62" spans="1:6" x14ac:dyDescent="0.35">
      <c r="A62" s="1013" t="s">
        <v>1034</v>
      </c>
      <c r="B62" s="1012" t="s">
        <v>956</v>
      </c>
      <c r="C62" s="1014" t="s">
        <v>750</v>
      </c>
      <c r="D62" s="1014">
        <v>1</v>
      </c>
      <c r="E62" s="1015">
        <v>50000</v>
      </c>
      <c r="F62" s="1016">
        <f t="shared" si="3"/>
        <v>50000</v>
      </c>
    </row>
    <row r="63" spans="1:6" x14ac:dyDescent="0.35">
      <c r="A63" s="1013" t="s">
        <v>1047</v>
      </c>
      <c r="B63" s="1012" t="s">
        <v>957</v>
      </c>
      <c r="C63" s="1014" t="s">
        <v>750</v>
      </c>
      <c r="D63" s="1014">
        <v>1</v>
      </c>
      <c r="E63" s="1015">
        <v>50000</v>
      </c>
      <c r="F63" s="1016">
        <f t="shared" si="3"/>
        <v>50000</v>
      </c>
    </row>
    <row r="64" spans="1:6" x14ac:dyDescent="0.35">
      <c r="A64" s="1013"/>
      <c r="C64" s="1014"/>
      <c r="D64" s="1014"/>
      <c r="F64" s="1016"/>
    </row>
    <row r="65" spans="1:6" x14ac:dyDescent="0.35">
      <c r="A65" s="1011" t="s">
        <v>979</v>
      </c>
      <c r="B65" s="1019" t="s">
        <v>958</v>
      </c>
      <c r="C65" s="1014"/>
      <c r="D65" s="1014"/>
      <c r="E65" s="1022"/>
      <c r="F65" s="1016"/>
    </row>
    <row r="66" spans="1:6" x14ac:dyDescent="0.35">
      <c r="A66" s="1013" t="s">
        <v>1049</v>
      </c>
      <c r="B66" s="1012" t="s">
        <v>959</v>
      </c>
      <c r="C66" s="1014" t="s">
        <v>848</v>
      </c>
      <c r="D66" s="1014">
        <v>1</v>
      </c>
      <c r="E66" s="1022">
        <v>5000</v>
      </c>
      <c r="F66" s="1016">
        <f>E66*D66</f>
        <v>5000</v>
      </c>
    </row>
    <row r="67" spans="1:6" x14ac:dyDescent="0.35">
      <c r="A67" s="1013" t="s">
        <v>1050</v>
      </c>
      <c r="B67" s="1012" t="s">
        <v>960</v>
      </c>
      <c r="C67" s="1014" t="s">
        <v>848</v>
      </c>
      <c r="D67" s="1014">
        <v>6</v>
      </c>
      <c r="E67" s="1022">
        <v>15000</v>
      </c>
      <c r="F67" s="1016">
        <f>E67*D67</f>
        <v>90000</v>
      </c>
    </row>
    <row r="68" spans="1:6" x14ac:dyDescent="0.35">
      <c r="A68" s="1013"/>
      <c r="B68" s="1019"/>
      <c r="C68" s="1014"/>
      <c r="D68" s="1014"/>
      <c r="E68" s="1022"/>
      <c r="F68" s="1016"/>
    </row>
    <row r="69" spans="1:6" x14ac:dyDescent="0.35">
      <c r="A69" s="1011" t="s">
        <v>1051</v>
      </c>
      <c r="B69" s="1019" t="s">
        <v>961</v>
      </c>
      <c r="C69" s="1014"/>
      <c r="D69" s="1014"/>
      <c r="E69" s="1022"/>
      <c r="F69" s="1016"/>
    </row>
    <row r="70" spans="1:6" x14ac:dyDescent="0.35">
      <c r="A70" s="1013" t="s">
        <v>1052</v>
      </c>
      <c r="B70" s="1012" t="s">
        <v>962</v>
      </c>
      <c r="C70" s="1014" t="s">
        <v>848</v>
      </c>
      <c r="D70" s="1014">
        <v>6</v>
      </c>
      <c r="E70" s="1022">
        <v>10000</v>
      </c>
      <c r="F70" s="1016">
        <f>D70*E70</f>
        <v>60000</v>
      </c>
    </row>
    <row r="71" spans="1:6" x14ac:dyDescent="0.35">
      <c r="A71" s="1013" t="s">
        <v>1054</v>
      </c>
      <c r="B71" s="1012" t="s">
        <v>963</v>
      </c>
      <c r="C71" s="1014" t="s">
        <v>848</v>
      </c>
      <c r="D71" s="1014">
        <v>50</v>
      </c>
      <c r="E71" s="1022">
        <v>1000</v>
      </c>
      <c r="F71" s="1016">
        <f t="shared" ref="F71:F75" si="4">D71*E71</f>
        <v>50000</v>
      </c>
    </row>
    <row r="72" spans="1:6" x14ac:dyDescent="0.35">
      <c r="A72" s="1013" t="s">
        <v>1053</v>
      </c>
      <c r="B72" s="1012" t="s">
        <v>964</v>
      </c>
      <c r="C72" s="1014" t="s">
        <v>750</v>
      </c>
      <c r="D72" s="1014">
        <v>1</v>
      </c>
      <c r="E72" s="1022">
        <v>30000</v>
      </c>
      <c r="F72" s="1016">
        <f t="shared" si="4"/>
        <v>30000</v>
      </c>
    </row>
    <row r="73" spans="1:6" x14ac:dyDescent="0.35">
      <c r="A73" s="1013" t="s">
        <v>1055</v>
      </c>
      <c r="B73" s="1012" t="s">
        <v>965</v>
      </c>
      <c r="C73" s="1014" t="s">
        <v>848</v>
      </c>
      <c r="D73" s="1014">
        <v>50</v>
      </c>
      <c r="E73" s="1022">
        <v>250</v>
      </c>
      <c r="F73" s="1016">
        <f t="shared" si="4"/>
        <v>12500</v>
      </c>
    </row>
    <row r="74" spans="1:6" x14ac:dyDescent="0.35">
      <c r="A74" s="1013" t="s">
        <v>1056</v>
      </c>
      <c r="B74" s="1012" t="s">
        <v>966</v>
      </c>
      <c r="C74" s="1014" t="s">
        <v>848</v>
      </c>
      <c r="D74" s="1014">
        <v>50</v>
      </c>
      <c r="E74" s="1022">
        <v>300</v>
      </c>
      <c r="F74" s="1016">
        <f t="shared" si="4"/>
        <v>15000</v>
      </c>
    </row>
    <row r="75" spans="1:6" x14ac:dyDescent="0.35">
      <c r="A75" s="1013" t="s">
        <v>1057</v>
      </c>
      <c r="B75" s="1012" t="s">
        <v>967</v>
      </c>
      <c r="C75" s="1014" t="s">
        <v>750</v>
      </c>
      <c r="D75" s="1014">
        <v>1</v>
      </c>
      <c r="E75" s="1022">
        <v>100000</v>
      </c>
      <c r="F75" s="1016">
        <f t="shared" si="4"/>
        <v>100000</v>
      </c>
    </row>
    <row r="76" spans="1:6" x14ac:dyDescent="0.35">
      <c r="A76" s="1013"/>
      <c r="C76" s="1014"/>
      <c r="D76" s="1014"/>
      <c r="E76" s="1022"/>
      <c r="F76" s="1016"/>
    </row>
    <row r="77" spans="1:6" x14ac:dyDescent="0.35">
      <c r="A77" s="1011" t="s">
        <v>1058</v>
      </c>
      <c r="B77" s="1019" t="s">
        <v>885</v>
      </c>
      <c r="C77" s="1014"/>
      <c r="D77" s="1014"/>
      <c r="E77" s="1022"/>
      <c r="F77" s="1016"/>
    </row>
    <row r="78" spans="1:6" x14ac:dyDescent="0.35">
      <c r="A78" s="1013" t="s">
        <v>1059</v>
      </c>
      <c r="B78" s="1012" t="s">
        <v>968</v>
      </c>
      <c r="C78" s="1014" t="s">
        <v>750</v>
      </c>
      <c r="D78" s="1014">
        <v>1</v>
      </c>
      <c r="E78" s="1022">
        <v>75000</v>
      </c>
      <c r="F78" s="1016">
        <f>E78*D78</f>
        <v>75000</v>
      </c>
    </row>
    <row r="79" spans="1:6" x14ac:dyDescent="0.35">
      <c r="A79" s="1013"/>
      <c r="B79" s="1019"/>
      <c r="C79" s="1014"/>
      <c r="D79" s="1014"/>
      <c r="E79" s="1022"/>
      <c r="F79" s="1016"/>
    </row>
    <row r="80" spans="1:6" x14ac:dyDescent="0.35">
      <c r="A80" s="1011" t="s">
        <v>1060</v>
      </c>
      <c r="B80" s="1019" t="s">
        <v>969</v>
      </c>
      <c r="C80" s="1014"/>
      <c r="D80" s="1014"/>
      <c r="E80" s="1022"/>
      <c r="F80" s="1016"/>
    </row>
    <row r="81" spans="1:6" x14ac:dyDescent="0.35">
      <c r="A81" s="1013" t="s">
        <v>1061</v>
      </c>
      <c r="B81" s="1012" t="s">
        <v>970</v>
      </c>
      <c r="C81" s="1014" t="s">
        <v>750</v>
      </c>
      <c r="D81" s="1014">
        <v>1</v>
      </c>
      <c r="E81" s="1022">
        <v>50000</v>
      </c>
      <c r="F81" s="1016">
        <f t="shared" ref="F81:F87" si="5">D81*E81</f>
        <v>50000</v>
      </c>
    </row>
    <row r="82" spans="1:6" x14ac:dyDescent="0.35">
      <c r="A82" s="1013" t="s">
        <v>1062</v>
      </c>
      <c r="B82" s="1012" t="s">
        <v>971</v>
      </c>
      <c r="C82" s="1014" t="s">
        <v>848</v>
      </c>
      <c r="D82" s="1014">
        <v>3</v>
      </c>
      <c r="E82" s="1022">
        <v>40000</v>
      </c>
      <c r="F82" s="1016">
        <f t="shared" si="5"/>
        <v>120000</v>
      </c>
    </row>
    <row r="83" spans="1:6" x14ac:dyDescent="0.35">
      <c r="A83" s="1013" t="s">
        <v>1063</v>
      </c>
      <c r="B83" s="1012" t="s">
        <v>972</v>
      </c>
      <c r="C83" s="1014" t="s">
        <v>848</v>
      </c>
      <c r="D83" s="1014">
        <v>2</v>
      </c>
      <c r="E83" s="1022">
        <v>35000</v>
      </c>
      <c r="F83" s="1016">
        <f t="shared" si="5"/>
        <v>70000</v>
      </c>
    </row>
    <row r="84" spans="1:6" x14ac:dyDescent="0.35">
      <c r="A84" s="1013" t="s">
        <v>1064</v>
      </c>
      <c r="B84" s="1012" t="s">
        <v>973</v>
      </c>
      <c r="C84" s="1014" t="s">
        <v>848</v>
      </c>
      <c r="D84" s="1014">
        <v>1</v>
      </c>
      <c r="E84" s="1022">
        <v>10000</v>
      </c>
      <c r="F84" s="1016">
        <f t="shared" si="5"/>
        <v>10000</v>
      </c>
    </row>
    <row r="85" spans="1:6" x14ac:dyDescent="0.35">
      <c r="A85" s="1013" t="s">
        <v>1065</v>
      </c>
      <c r="B85" s="1012" t="s">
        <v>974</v>
      </c>
      <c r="C85" s="1014" t="s">
        <v>750</v>
      </c>
      <c r="D85" s="1014">
        <v>1</v>
      </c>
      <c r="E85" s="1022">
        <v>80000</v>
      </c>
      <c r="F85" s="1016">
        <f t="shared" si="5"/>
        <v>80000</v>
      </c>
    </row>
    <row r="86" spans="1:6" x14ac:dyDescent="0.35">
      <c r="A86" s="1013" t="s">
        <v>1066</v>
      </c>
      <c r="B86" s="1012" t="s">
        <v>975</v>
      </c>
      <c r="C86" s="1014" t="s">
        <v>750</v>
      </c>
      <c r="D86" s="1014">
        <v>1</v>
      </c>
      <c r="E86" s="1022">
        <v>5000</v>
      </c>
      <c r="F86" s="1016">
        <f t="shared" si="5"/>
        <v>5000</v>
      </c>
    </row>
    <row r="87" spans="1:6" x14ac:dyDescent="0.35">
      <c r="A87" s="1013" t="s">
        <v>1067</v>
      </c>
      <c r="B87" s="1012" t="s">
        <v>976</v>
      </c>
      <c r="C87" s="1014" t="s">
        <v>750</v>
      </c>
      <c r="D87" s="1014">
        <v>1</v>
      </c>
      <c r="E87" s="1022">
        <v>20000</v>
      </c>
      <c r="F87" s="1016">
        <f t="shared" si="5"/>
        <v>20000</v>
      </c>
    </row>
    <row r="88" spans="1:6" x14ac:dyDescent="0.35">
      <c r="A88" s="1013" t="s">
        <v>1068</v>
      </c>
      <c r="B88" s="1012" t="s">
        <v>977</v>
      </c>
      <c r="C88" s="1014"/>
      <c r="D88" s="1014"/>
      <c r="E88" s="1022"/>
      <c r="F88" s="1016"/>
    </row>
    <row r="89" spans="1:6" x14ac:dyDescent="0.35">
      <c r="A89" s="1013" t="s">
        <v>1069</v>
      </c>
      <c r="B89" s="1012" t="s">
        <v>841</v>
      </c>
      <c r="C89" s="1014"/>
      <c r="D89" s="1014"/>
      <c r="E89" s="1022"/>
      <c r="F89" s="1016"/>
    </row>
    <row r="90" spans="1:6" x14ac:dyDescent="0.35">
      <c r="A90" s="1013"/>
      <c r="C90" s="1014"/>
      <c r="D90" s="1014"/>
      <c r="E90" s="1022"/>
      <c r="F90" s="1016"/>
    </row>
    <row r="91" spans="1:6" ht="21.75" thickBot="1" x14ac:dyDescent="0.4">
      <c r="A91" s="1031"/>
      <c r="B91" s="1032" t="s">
        <v>978</v>
      </c>
      <c r="C91" s="1042"/>
      <c r="D91" s="1042"/>
      <c r="E91" s="1033"/>
      <c r="F91" s="1260">
        <f>SUM(F5:F90)</f>
        <v>14014800</v>
      </c>
    </row>
    <row r="92" spans="1:6" ht="21.75" thickTop="1" x14ac:dyDescent="0.35">
      <c r="A92" s="1036"/>
      <c r="B92" s="1037"/>
      <c r="C92" s="1038"/>
      <c r="D92" s="1038"/>
      <c r="E92" s="1039"/>
      <c r="F92" s="977"/>
    </row>
    <row r="93" spans="1:6" x14ac:dyDescent="0.35">
      <c r="A93" s="1036"/>
      <c r="B93" s="1038"/>
      <c r="C93" s="1038"/>
      <c r="D93" s="1038"/>
      <c r="E93" s="1039"/>
      <c r="F93" s="977"/>
    </row>
    <row r="94" spans="1:6" x14ac:dyDescent="0.35">
      <c r="A94" s="1036"/>
      <c r="B94" s="1038"/>
      <c r="C94" s="1038"/>
      <c r="D94" s="1038"/>
      <c r="E94" s="1039"/>
      <c r="F94" s="977"/>
    </row>
    <row r="95" spans="1:6" x14ac:dyDescent="0.35">
      <c r="A95" s="1036"/>
      <c r="B95" s="1037"/>
      <c r="C95" s="1038"/>
      <c r="D95" s="1038"/>
      <c r="E95" s="1039"/>
      <c r="F95" s="977"/>
    </row>
    <row r="96" spans="1:6" x14ac:dyDescent="0.35">
      <c r="A96" s="1036"/>
      <c r="B96" s="950"/>
      <c r="C96" s="950"/>
      <c r="D96" s="950"/>
      <c r="E96" s="977"/>
      <c r="F96" s="977"/>
    </row>
    <row r="97" spans="1:6" x14ac:dyDescent="0.35">
      <c r="A97" s="1036"/>
      <c r="B97" s="950"/>
      <c r="C97" s="950"/>
      <c r="D97" s="950"/>
      <c r="E97" s="977"/>
      <c r="F97" s="977"/>
    </row>
    <row r="98" spans="1:6" x14ac:dyDescent="0.35">
      <c r="A98" s="1036"/>
      <c r="B98" s="983"/>
      <c r="C98" s="950"/>
      <c r="D98" s="950"/>
      <c r="E98" s="977"/>
      <c r="F98" s="977"/>
    </row>
    <row r="99" spans="1:6" x14ac:dyDescent="0.35">
      <c r="A99" s="1036"/>
      <c r="B99" s="950"/>
      <c r="C99" s="950"/>
      <c r="D99" s="950"/>
      <c r="E99" s="977"/>
      <c r="F99" s="977"/>
    </row>
    <row r="100" spans="1:6" x14ac:dyDescent="0.35">
      <c r="A100" s="1036"/>
      <c r="B100" s="950"/>
      <c r="C100" s="950"/>
      <c r="D100" s="950"/>
      <c r="E100" s="977"/>
      <c r="F100" s="977"/>
    </row>
    <row r="101" spans="1:6" x14ac:dyDescent="0.35">
      <c r="A101" s="1036"/>
      <c r="B101" s="950"/>
      <c r="C101" s="950"/>
      <c r="D101" s="950"/>
      <c r="E101" s="977"/>
      <c r="F101" s="977"/>
    </row>
    <row r="102" spans="1:6" x14ac:dyDescent="0.35">
      <c r="A102" s="1036"/>
      <c r="B102" s="950"/>
      <c r="C102" s="950"/>
      <c r="D102" s="950"/>
      <c r="E102" s="977"/>
      <c r="F102" s="977"/>
    </row>
    <row r="103" spans="1:6" x14ac:dyDescent="0.35">
      <c r="A103" s="1036"/>
      <c r="B103" s="950"/>
      <c r="C103" s="950"/>
      <c r="D103" s="950"/>
      <c r="E103" s="977"/>
      <c r="F103" s="977"/>
    </row>
    <row r="104" spans="1:6" x14ac:dyDescent="0.35">
      <c r="A104" s="1036"/>
      <c r="B104" s="950"/>
      <c r="C104" s="950"/>
      <c r="D104" s="950"/>
      <c r="E104" s="977"/>
      <c r="F104" s="977"/>
    </row>
    <row r="105" spans="1:6" x14ac:dyDescent="0.35">
      <c r="A105" s="1036"/>
      <c r="B105" s="950"/>
      <c r="C105" s="950"/>
      <c r="D105" s="950"/>
      <c r="E105" s="977"/>
      <c r="F105" s="977"/>
    </row>
    <row r="106" spans="1:6" x14ac:dyDescent="0.35">
      <c r="A106" s="1036"/>
      <c r="B106" s="950"/>
      <c r="C106" s="950"/>
      <c r="D106" s="950"/>
      <c r="E106" s="977"/>
      <c r="F106" s="977"/>
    </row>
    <row r="107" spans="1:6" x14ac:dyDescent="0.35">
      <c r="A107" s="1036"/>
      <c r="B107" s="950"/>
      <c r="C107" s="950"/>
      <c r="D107" s="950"/>
      <c r="E107" s="977"/>
      <c r="F107" s="977"/>
    </row>
    <row r="108" spans="1:6" x14ac:dyDescent="0.35">
      <c r="A108" s="1036"/>
      <c r="B108" s="950"/>
      <c r="C108" s="950"/>
      <c r="D108" s="950"/>
      <c r="E108" s="977"/>
      <c r="F108" s="977"/>
    </row>
    <row r="109" spans="1:6" x14ac:dyDescent="0.35">
      <c r="A109" s="1036"/>
      <c r="B109" s="950"/>
      <c r="C109" s="950"/>
      <c r="D109" s="950"/>
      <c r="E109" s="977"/>
      <c r="F109" s="977"/>
    </row>
    <row r="110" spans="1:6" x14ac:dyDescent="0.35">
      <c r="A110" s="1036"/>
      <c r="B110" s="950"/>
      <c r="C110" s="950"/>
      <c r="D110" s="950"/>
      <c r="E110" s="977"/>
      <c r="F110" s="977"/>
    </row>
    <row r="111" spans="1:6" x14ac:dyDescent="0.35">
      <c r="A111" s="1040"/>
      <c r="B111" s="950"/>
      <c r="C111" s="950"/>
      <c r="D111" s="950"/>
      <c r="E111" s="977"/>
      <c r="F111" s="1041"/>
    </row>
    <row r="112" spans="1:6" x14ac:dyDescent="0.35">
      <c r="A112" s="1040"/>
      <c r="B112" s="950"/>
      <c r="C112" s="950"/>
      <c r="D112" s="950"/>
      <c r="E112" s="977"/>
      <c r="F112" s="1041"/>
    </row>
    <row r="113" spans="2:5" x14ac:dyDescent="0.35">
      <c r="B113" s="945"/>
      <c r="C113" s="949"/>
      <c r="D113" s="949"/>
      <c r="E113" s="971"/>
    </row>
    <row r="114" spans="2:5" x14ac:dyDescent="0.35">
      <c r="B114" s="945"/>
      <c r="C114" s="949"/>
      <c r="D114" s="949"/>
      <c r="E114" s="971"/>
    </row>
    <row r="115" spans="2:5" x14ac:dyDescent="0.35">
      <c r="B115" s="945"/>
      <c r="C115" s="949"/>
      <c r="D115" s="949"/>
      <c r="E115" s="971"/>
    </row>
    <row r="116" spans="2:5" x14ac:dyDescent="0.35">
      <c r="B116" s="945"/>
      <c r="C116" s="949"/>
      <c r="D116" s="949"/>
      <c r="E116" s="971"/>
    </row>
    <row r="117" spans="2:5" x14ac:dyDescent="0.35">
      <c r="B117" s="945"/>
      <c r="C117" s="949"/>
      <c r="D117" s="949"/>
      <c r="E117" s="971"/>
    </row>
    <row r="118" spans="2:5" x14ac:dyDescent="0.35">
      <c r="B118" s="945"/>
      <c r="C118" s="949"/>
      <c r="D118" s="949"/>
      <c r="E118" s="971"/>
    </row>
    <row r="119" spans="2:5" x14ac:dyDescent="0.35">
      <c r="B119" s="945"/>
      <c r="C119" s="949"/>
      <c r="D119" s="949"/>
      <c r="E119" s="971"/>
    </row>
    <row r="120" spans="2:5" x14ac:dyDescent="0.35">
      <c r="B120" s="945"/>
      <c r="C120" s="949"/>
      <c r="D120" s="949"/>
      <c r="E120" s="971"/>
    </row>
    <row r="121" spans="2:5" x14ac:dyDescent="0.35">
      <c r="B121" s="945"/>
      <c r="C121" s="949"/>
      <c r="D121" s="949"/>
      <c r="E121" s="971"/>
    </row>
    <row r="122" spans="2:5" x14ac:dyDescent="0.35">
      <c r="B122" s="945"/>
      <c r="C122" s="949"/>
      <c r="D122" s="949"/>
      <c r="E122" s="971"/>
    </row>
    <row r="123" spans="2:5" x14ac:dyDescent="0.35">
      <c r="B123" s="945"/>
      <c r="C123" s="949"/>
      <c r="D123" s="949"/>
      <c r="E123" s="971"/>
    </row>
    <row r="124" spans="2:5" x14ac:dyDescent="0.35">
      <c r="B124" s="945"/>
      <c r="C124" s="949"/>
      <c r="D124" s="949"/>
      <c r="E124" s="971"/>
    </row>
    <row r="125" spans="2:5" x14ac:dyDescent="0.35">
      <c r="B125" s="945"/>
      <c r="C125" s="949"/>
      <c r="D125" s="949"/>
      <c r="E125" s="971"/>
    </row>
    <row r="126" spans="2:5" x14ac:dyDescent="0.35">
      <c r="B126" s="945"/>
      <c r="C126" s="949"/>
      <c r="D126" s="949"/>
      <c r="E126" s="97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3"/>
  <sheetViews>
    <sheetView topLeftCell="A31" zoomScale="80" zoomScaleNormal="80" workbookViewId="0">
      <selection sqref="A1:XFD1048576"/>
    </sheetView>
  </sheetViews>
  <sheetFormatPr defaultColWidth="9.140625" defaultRowHeight="15" x14ac:dyDescent="0.25"/>
  <cols>
    <col min="1" max="1" width="9.140625" style="1030"/>
    <col min="2" max="2" width="84.85546875" style="945" customWidth="1"/>
    <col min="3" max="3" width="6.7109375" style="945" customWidth="1"/>
    <col min="4" max="4" width="13.5703125" style="945" customWidth="1"/>
    <col min="5" max="5" width="16.85546875" style="971" customWidth="1"/>
    <col min="6" max="6" width="23.28515625" style="971" customWidth="1"/>
    <col min="7" max="16384" width="9.140625" style="945"/>
  </cols>
  <sheetData>
    <row r="1" spans="1:6" x14ac:dyDescent="0.25">
      <c r="A1" s="996" t="s">
        <v>658</v>
      </c>
      <c r="B1" s="995" t="s">
        <v>659</v>
      </c>
      <c r="C1" s="996" t="s">
        <v>660</v>
      </c>
      <c r="D1" s="997" t="s">
        <v>661</v>
      </c>
      <c r="E1" s="998" t="s">
        <v>200</v>
      </c>
      <c r="F1" s="999" t="s">
        <v>662</v>
      </c>
    </row>
    <row r="2" spans="1:6" x14ac:dyDescent="0.25">
      <c r="A2" s="1027"/>
      <c r="C2" s="949"/>
      <c r="D2" s="949"/>
      <c r="F2" s="972"/>
    </row>
    <row r="3" spans="1:6" x14ac:dyDescent="0.25">
      <c r="A3" s="946" t="s">
        <v>918</v>
      </c>
      <c r="B3" s="973" t="s">
        <v>980</v>
      </c>
      <c r="C3" s="949"/>
      <c r="D3" s="949"/>
      <c r="F3" s="972"/>
    </row>
    <row r="4" spans="1:6" x14ac:dyDescent="0.25">
      <c r="A4" s="947" t="s">
        <v>981</v>
      </c>
      <c r="B4" s="976" t="s">
        <v>982</v>
      </c>
      <c r="C4" s="949"/>
      <c r="D4" s="949"/>
      <c r="F4" s="972"/>
    </row>
    <row r="5" spans="1:6" x14ac:dyDescent="0.25">
      <c r="A5" s="1027" t="s">
        <v>919</v>
      </c>
      <c r="B5" s="974" t="s">
        <v>983</v>
      </c>
      <c r="C5" s="949" t="s">
        <v>750</v>
      </c>
      <c r="D5" s="949">
        <v>1</v>
      </c>
      <c r="E5" s="971">
        <v>135000</v>
      </c>
      <c r="F5" s="972">
        <f>D5*E5</f>
        <v>135000</v>
      </c>
    </row>
    <row r="6" spans="1:6" x14ac:dyDescent="0.25">
      <c r="A6" s="1027" t="s">
        <v>921</v>
      </c>
      <c r="B6" s="945" t="s">
        <v>984</v>
      </c>
      <c r="C6" s="949" t="s">
        <v>848</v>
      </c>
      <c r="D6" s="949">
        <v>1</v>
      </c>
      <c r="E6" s="971">
        <v>165000</v>
      </c>
      <c r="F6" s="972">
        <f t="shared" ref="F6:F49" si="0">D6*E6</f>
        <v>165000</v>
      </c>
    </row>
    <row r="7" spans="1:6" x14ac:dyDescent="0.25">
      <c r="A7" s="1027" t="s">
        <v>923</v>
      </c>
      <c r="B7" s="945" t="s">
        <v>985</v>
      </c>
      <c r="C7" s="949" t="s">
        <v>848</v>
      </c>
      <c r="D7" s="949">
        <v>1</v>
      </c>
      <c r="E7" s="971">
        <v>165000</v>
      </c>
      <c r="F7" s="972">
        <f t="shared" si="0"/>
        <v>165000</v>
      </c>
    </row>
    <row r="8" spans="1:6" x14ac:dyDescent="0.25">
      <c r="A8" s="1027" t="s">
        <v>986</v>
      </c>
      <c r="B8" s="945" t="s">
        <v>987</v>
      </c>
      <c r="C8" s="949" t="s">
        <v>750</v>
      </c>
      <c r="D8" s="949">
        <v>1</v>
      </c>
      <c r="E8" s="971">
        <v>50000</v>
      </c>
      <c r="F8" s="1010">
        <f t="shared" si="0"/>
        <v>50000</v>
      </c>
    </row>
    <row r="9" spans="1:6" x14ac:dyDescent="0.25">
      <c r="A9" s="1027" t="s">
        <v>988</v>
      </c>
      <c r="B9" s="945" t="s">
        <v>989</v>
      </c>
      <c r="C9" s="949" t="s">
        <v>750</v>
      </c>
      <c r="D9" s="1007">
        <v>50</v>
      </c>
      <c r="E9" s="971">
        <v>1245</v>
      </c>
      <c r="F9" s="1010">
        <f t="shared" si="0"/>
        <v>62250</v>
      </c>
    </row>
    <row r="10" spans="1:6" x14ac:dyDescent="0.25">
      <c r="A10" s="1027" t="s">
        <v>990</v>
      </c>
      <c r="B10" s="945" t="s">
        <v>991</v>
      </c>
      <c r="C10" s="949" t="s">
        <v>848</v>
      </c>
      <c r="D10" s="1007">
        <v>10</v>
      </c>
      <c r="E10" s="971">
        <v>30000</v>
      </c>
      <c r="F10" s="1010">
        <f t="shared" si="0"/>
        <v>300000</v>
      </c>
    </row>
    <row r="11" spans="1:6" x14ac:dyDescent="0.25">
      <c r="A11" s="1027" t="s">
        <v>1070</v>
      </c>
      <c r="B11" s="945" t="s">
        <v>841</v>
      </c>
      <c r="C11" s="949" t="s">
        <v>750</v>
      </c>
      <c r="D11" s="1007">
        <v>1</v>
      </c>
      <c r="E11" s="971">
        <v>300000</v>
      </c>
      <c r="F11" s="1010">
        <f t="shared" si="0"/>
        <v>300000</v>
      </c>
    </row>
    <row r="12" spans="1:6" x14ac:dyDescent="0.25">
      <c r="A12" s="1027"/>
      <c r="C12" s="949"/>
      <c r="D12" s="949"/>
      <c r="F12" s="972"/>
    </row>
    <row r="13" spans="1:6" x14ac:dyDescent="0.25">
      <c r="A13" s="947" t="s">
        <v>992</v>
      </c>
      <c r="B13" s="976" t="s">
        <v>993</v>
      </c>
      <c r="C13" s="949"/>
      <c r="D13" s="949"/>
      <c r="F13" s="972"/>
    </row>
    <row r="14" spans="1:6" x14ac:dyDescent="0.25">
      <c r="A14" s="1029" t="s">
        <v>925</v>
      </c>
      <c r="B14" s="974" t="s">
        <v>994</v>
      </c>
      <c r="C14" s="949" t="s">
        <v>779</v>
      </c>
      <c r="D14" s="949">
        <v>100</v>
      </c>
      <c r="E14" s="971">
        <v>1000</v>
      </c>
      <c r="F14" s="972">
        <f t="shared" si="0"/>
        <v>100000</v>
      </c>
    </row>
    <row r="15" spans="1:6" x14ac:dyDescent="0.25">
      <c r="A15" s="1029" t="s">
        <v>927</v>
      </c>
      <c r="B15" s="945" t="s">
        <v>995</v>
      </c>
      <c r="C15" s="949" t="s">
        <v>779</v>
      </c>
      <c r="D15" s="949">
        <v>100</v>
      </c>
      <c r="E15" s="971">
        <v>1000</v>
      </c>
      <c r="F15" s="972">
        <f t="shared" si="0"/>
        <v>100000</v>
      </c>
    </row>
    <row r="16" spans="1:6" x14ac:dyDescent="0.25">
      <c r="A16" s="1029" t="s">
        <v>929</v>
      </c>
      <c r="B16" s="945" t="s">
        <v>996</v>
      </c>
      <c r="C16" s="949" t="s">
        <v>670</v>
      </c>
      <c r="D16" s="949">
        <f>'4. Buildings'!D5</f>
        <v>800</v>
      </c>
      <c r="E16" s="971">
        <v>300</v>
      </c>
      <c r="F16" s="972">
        <f t="shared" si="0"/>
        <v>240000</v>
      </c>
    </row>
    <row r="17" spans="1:6" x14ac:dyDescent="0.25">
      <c r="A17" s="1029" t="s">
        <v>932</v>
      </c>
      <c r="B17" s="945" t="s">
        <v>997</v>
      </c>
      <c r="C17" s="949" t="s">
        <v>516</v>
      </c>
      <c r="D17" s="949">
        <v>150</v>
      </c>
      <c r="E17" s="971">
        <v>2000</v>
      </c>
      <c r="F17" s="972">
        <f>D17*E17</f>
        <v>300000</v>
      </c>
    </row>
    <row r="18" spans="1:6" x14ac:dyDescent="0.25">
      <c r="A18" s="1029" t="s">
        <v>934</v>
      </c>
      <c r="B18" s="945" t="s">
        <v>998</v>
      </c>
      <c r="C18" s="949" t="s">
        <v>750</v>
      </c>
      <c r="D18" s="949">
        <v>1</v>
      </c>
      <c r="E18" s="971">
        <v>150000</v>
      </c>
      <c r="F18" s="972">
        <f t="shared" si="0"/>
        <v>150000</v>
      </c>
    </row>
    <row r="19" spans="1:6" x14ac:dyDescent="0.25">
      <c r="A19" s="1029" t="s">
        <v>929</v>
      </c>
      <c r="B19" s="945" t="s">
        <v>999</v>
      </c>
      <c r="C19" s="949" t="s">
        <v>750</v>
      </c>
      <c r="D19" s="949">
        <v>0</v>
      </c>
      <c r="E19" s="971">
        <v>0</v>
      </c>
      <c r="F19" s="972">
        <f t="shared" si="0"/>
        <v>0</v>
      </c>
    </row>
    <row r="20" spans="1:6" x14ac:dyDescent="0.25">
      <c r="A20" s="1029" t="s">
        <v>929</v>
      </c>
      <c r="B20" s="945" t="s">
        <v>1000</v>
      </c>
      <c r="C20" s="949" t="s">
        <v>750</v>
      </c>
      <c r="D20" s="949">
        <v>1</v>
      </c>
      <c r="E20" s="971">
        <v>300000</v>
      </c>
      <c r="F20" s="972">
        <f t="shared" si="0"/>
        <v>300000</v>
      </c>
    </row>
    <row r="21" spans="1:6" ht="14.25" customHeight="1" x14ac:dyDescent="0.25">
      <c r="A21" s="1029"/>
      <c r="C21" s="949"/>
      <c r="D21" s="949"/>
      <c r="F21" s="972"/>
    </row>
    <row r="22" spans="1:6" x14ac:dyDescent="0.25">
      <c r="A22" s="947" t="s">
        <v>1001</v>
      </c>
      <c r="B22" s="976" t="s">
        <v>1002</v>
      </c>
      <c r="C22" s="949"/>
      <c r="D22" s="949"/>
      <c r="E22" s="1009"/>
      <c r="F22" s="972"/>
    </row>
    <row r="23" spans="1:6" x14ac:dyDescent="0.25">
      <c r="A23" s="1027" t="s">
        <v>940</v>
      </c>
      <c r="B23" s="945" t="s">
        <v>1003</v>
      </c>
      <c r="C23" s="949" t="s">
        <v>848</v>
      </c>
      <c r="D23" s="949">
        <v>1</v>
      </c>
      <c r="E23" s="1009">
        <v>225000</v>
      </c>
      <c r="F23" s="972">
        <f t="shared" si="0"/>
        <v>225000</v>
      </c>
    </row>
    <row r="24" spans="1:6" x14ac:dyDescent="0.25">
      <c r="A24" s="1027" t="s">
        <v>942</v>
      </c>
      <c r="B24" s="945" t="s">
        <v>1004</v>
      </c>
      <c r="C24" s="949" t="s">
        <v>848</v>
      </c>
      <c r="D24" s="949">
        <v>0</v>
      </c>
      <c r="E24" s="1009">
        <v>225000</v>
      </c>
      <c r="F24" s="972">
        <f t="shared" si="0"/>
        <v>0</v>
      </c>
    </row>
    <row r="25" spans="1:6" x14ac:dyDescent="0.25">
      <c r="A25" s="1027" t="s">
        <v>944</v>
      </c>
      <c r="B25" s="974" t="s">
        <v>1005</v>
      </c>
      <c r="C25" s="949" t="s">
        <v>750</v>
      </c>
      <c r="D25" s="949">
        <v>1</v>
      </c>
      <c r="E25" s="1009">
        <v>50000</v>
      </c>
      <c r="F25" s="972">
        <f t="shared" si="0"/>
        <v>50000</v>
      </c>
    </row>
    <row r="26" spans="1:6" x14ac:dyDescent="0.25">
      <c r="A26" s="1027" t="s">
        <v>945</v>
      </c>
      <c r="B26" s="945" t="s">
        <v>1006</v>
      </c>
      <c r="C26" s="949" t="s">
        <v>750</v>
      </c>
      <c r="D26" s="949">
        <v>1</v>
      </c>
      <c r="E26" s="1009">
        <v>30000</v>
      </c>
      <c r="F26" s="972">
        <f t="shared" si="0"/>
        <v>30000</v>
      </c>
    </row>
    <row r="27" spans="1:6" x14ac:dyDescent="0.25">
      <c r="A27" s="1027" t="s">
        <v>946</v>
      </c>
      <c r="B27" s="945" t="s">
        <v>1007</v>
      </c>
      <c r="C27" s="949" t="s">
        <v>750</v>
      </c>
      <c r="D27" s="949">
        <v>1</v>
      </c>
      <c r="E27" s="1009">
        <v>30000</v>
      </c>
      <c r="F27" s="972">
        <f t="shared" si="0"/>
        <v>30000</v>
      </c>
    </row>
    <row r="28" spans="1:6" x14ac:dyDescent="0.25">
      <c r="A28" s="1027" t="s">
        <v>1008</v>
      </c>
      <c r="B28" s="945" t="s">
        <v>1009</v>
      </c>
      <c r="C28" s="949" t="s">
        <v>750</v>
      </c>
      <c r="D28" s="949">
        <v>1</v>
      </c>
      <c r="E28" s="971">
        <v>15000</v>
      </c>
      <c r="F28" s="972">
        <f t="shared" si="0"/>
        <v>15000</v>
      </c>
    </row>
    <row r="29" spans="1:6" x14ac:dyDescent="0.25">
      <c r="A29" s="1027" t="s">
        <v>1010</v>
      </c>
      <c r="B29" s="945" t="s">
        <v>977</v>
      </c>
      <c r="C29" s="949" t="s">
        <v>750</v>
      </c>
      <c r="D29" s="949">
        <v>0</v>
      </c>
      <c r="E29" s="971">
        <v>0</v>
      </c>
      <c r="F29" s="972">
        <f t="shared" si="0"/>
        <v>0</v>
      </c>
    </row>
    <row r="30" spans="1:6" x14ac:dyDescent="0.25">
      <c r="A30" s="1027" t="s">
        <v>1011</v>
      </c>
      <c r="B30" s="945" t="s">
        <v>841</v>
      </c>
      <c r="C30" s="949" t="s">
        <v>750</v>
      </c>
      <c r="D30" s="949">
        <f>D23</f>
        <v>1</v>
      </c>
      <c r="E30" s="971">
        <v>25000</v>
      </c>
      <c r="F30" s="972">
        <f t="shared" si="0"/>
        <v>25000</v>
      </c>
    </row>
    <row r="31" spans="1:6" x14ac:dyDescent="0.25">
      <c r="A31" s="1027"/>
      <c r="C31" s="949"/>
      <c r="D31" s="949"/>
      <c r="F31" s="972"/>
    </row>
    <row r="32" spans="1:6" x14ac:dyDescent="0.25">
      <c r="A32" s="947" t="s">
        <v>1012</v>
      </c>
      <c r="B32" s="976" t="s">
        <v>1013</v>
      </c>
      <c r="C32" s="949"/>
      <c r="D32" s="949"/>
      <c r="F32" s="972"/>
    </row>
    <row r="33" spans="1:6" x14ac:dyDescent="0.25">
      <c r="A33" s="1029" t="s">
        <v>947</v>
      </c>
      <c r="B33" s="974" t="s">
        <v>1373</v>
      </c>
      <c r="C33" s="949" t="s">
        <v>750</v>
      </c>
      <c r="D33" s="949">
        <v>1</v>
      </c>
      <c r="E33" s="971">
        <v>20000</v>
      </c>
      <c r="F33" s="972">
        <f t="shared" si="0"/>
        <v>20000</v>
      </c>
    </row>
    <row r="34" spans="1:6" x14ac:dyDescent="0.25">
      <c r="A34" s="1029" t="s">
        <v>949</v>
      </c>
      <c r="B34" s="974" t="s">
        <v>1374</v>
      </c>
      <c r="C34" s="949" t="s">
        <v>750</v>
      </c>
      <c r="D34" s="949">
        <v>1</v>
      </c>
      <c r="E34" s="971">
        <v>12000</v>
      </c>
      <c r="F34" s="972">
        <f t="shared" si="0"/>
        <v>12000</v>
      </c>
    </row>
    <row r="35" spans="1:6" x14ac:dyDescent="0.25">
      <c r="A35" s="1029" t="s">
        <v>1014</v>
      </c>
      <c r="B35" s="974" t="s">
        <v>1375</v>
      </c>
      <c r="C35" s="949" t="s">
        <v>750</v>
      </c>
      <c r="D35" s="949">
        <v>0</v>
      </c>
      <c r="F35" s="972">
        <f t="shared" si="0"/>
        <v>0</v>
      </c>
    </row>
    <row r="36" spans="1:6" x14ac:dyDescent="0.25">
      <c r="A36" s="1029" t="s">
        <v>1015</v>
      </c>
      <c r="B36" s="974" t="s">
        <v>841</v>
      </c>
      <c r="C36" s="949" t="s">
        <v>750</v>
      </c>
      <c r="D36" s="949">
        <v>1</v>
      </c>
      <c r="E36" s="971">
        <v>10000</v>
      </c>
      <c r="F36" s="972">
        <f t="shared" si="0"/>
        <v>10000</v>
      </c>
    </row>
    <row r="37" spans="1:6" x14ac:dyDescent="0.25">
      <c r="A37" s="1027"/>
      <c r="C37" s="949"/>
      <c r="D37" s="949"/>
      <c r="F37" s="972"/>
    </row>
    <row r="38" spans="1:6" x14ac:dyDescent="0.25">
      <c r="A38" s="947" t="s">
        <v>1016</v>
      </c>
      <c r="B38" s="976" t="s">
        <v>1017</v>
      </c>
      <c r="C38" s="949"/>
      <c r="D38" s="949"/>
      <c r="F38" s="972"/>
    </row>
    <row r="39" spans="1:6" x14ac:dyDescent="0.25">
      <c r="A39" s="1027" t="s">
        <v>951</v>
      </c>
      <c r="B39" s="945" t="s">
        <v>1018</v>
      </c>
      <c r="C39" s="949" t="s">
        <v>1019</v>
      </c>
      <c r="D39" s="949">
        <v>1</v>
      </c>
      <c r="E39" s="971">
        <v>200000</v>
      </c>
      <c r="F39" s="972">
        <f>D39*E39</f>
        <v>200000</v>
      </c>
    </row>
    <row r="40" spans="1:6" x14ac:dyDescent="0.25">
      <c r="A40" s="1027"/>
      <c r="C40" s="949"/>
      <c r="D40" s="949"/>
      <c r="F40" s="972"/>
    </row>
    <row r="41" spans="1:6" x14ac:dyDescent="0.25">
      <c r="A41" s="947" t="s">
        <v>1071</v>
      </c>
      <c r="B41" s="976" t="s">
        <v>1020</v>
      </c>
      <c r="C41" s="949"/>
      <c r="D41" s="949"/>
      <c r="F41" s="972"/>
    </row>
    <row r="42" spans="1:6" x14ac:dyDescent="0.25">
      <c r="A42" s="1029" t="s">
        <v>1072</v>
      </c>
      <c r="B42" s="945" t="s">
        <v>1021</v>
      </c>
      <c r="C42" s="949" t="s">
        <v>750</v>
      </c>
      <c r="D42" s="949">
        <v>1</v>
      </c>
      <c r="E42" s="971">
        <v>225000</v>
      </c>
      <c r="F42" s="972">
        <f t="shared" si="0"/>
        <v>225000</v>
      </c>
    </row>
    <row r="43" spans="1:6" x14ac:dyDescent="0.25">
      <c r="A43" s="1029" t="s">
        <v>1073</v>
      </c>
      <c r="B43" s="945" t="s">
        <v>1393</v>
      </c>
      <c r="C43" s="949" t="s">
        <v>1019</v>
      </c>
      <c r="D43" s="949">
        <v>1</v>
      </c>
      <c r="E43" s="971">
        <v>225000</v>
      </c>
      <c r="F43" s="972">
        <f t="shared" si="0"/>
        <v>225000</v>
      </c>
    </row>
    <row r="44" spans="1:6" x14ac:dyDescent="0.25">
      <c r="A44" s="1029" t="s">
        <v>1074</v>
      </c>
      <c r="B44" s="945" t="s">
        <v>1366</v>
      </c>
      <c r="C44" s="949" t="s">
        <v>1019</v>
      </c>
      <c r="D44" s="949">
        <v>1</v>
      </c>
      <c r="E44" s="971">
        <v>18000</v>
      </c>
      <c r="F44" s="972">
        <f t="shared" si="0"/>
        <v>18000</v>
      </c>
    </row>
    <row r="45" spans="1:6" x14ac:dyDescent="0.25">
      <c r="A45" s="1029" t="s">
        <v>1075</v>
      </c>
      <c r="B45" s="945" t="s">
        <v>1394</v>
      </c>
      <c r="C45" s="949" t="s">
        <v>1019</v>
      </c>
      <c r="D45" s="949">
        <v>1</v>
      </c>
      <c r="E45" s="971">
        <v>70000</v>
      </c>
      <c r="F45" s="972">
        <f t="shared" si="0"/>
        <v>70000</v>
      </c>
    </row>
    <row r="46" spans="1:6" x14ac:dyDescent="0.25">
      <c r="A46" s="1029" t="s">
        <v>1076</v>
      </c>
      <c r="B46" s="945" t="s">
        <v>1009</v>
      </c>
      <c r="C46" s="949" t="s">
        <v>750</v>
      </c>
      <c r="D46" s="949">
        <v>1</v>
      </c>
      <c r="E46" s="971">
        <v>7500</v>
      </c>
      <c r="F46" s="972">
        <f t="shared" si="0"/>
        <v>7500</v>
      </c>
    </row>
    <row r="47" spans="1:6" x14ac:dyDescent="0.25">
      <c r="A47" s="1029" t="s">
        <v>1077</v>
      </c>
      <c r="B47" s="945" t="s">
        <v>1022</v>
      </c>
      <c r="C47" s="949" t="s">
        <v>779</v>
      </c>
      <c r="D47" s="949">
        <v>100</v>
      </c>
      <c r="E47" s="971">
        <v>1000</v>
      </c>
      <c r="F47" s="972">
        <f t="shared" si="0"/>
        <v>100000</v>
      </c>
    </row>
    <row r="48" spans="1:6" x14ac:dyDescent="0.25">
      <c r="A48" s="1029" t="s">
        <v>1395</v>
      </c>
      <c r="B48" s="945" t="s">
        <v>977</v>
      </c>
      <c r="C48" s="949" t="s">
        <v>750</v>
      </c>
      <c r="D48" s="949">
        <v>0</v>
      </c>
      <c r="E48" s="971">
        <v>0</v>
      </c>
      <c r="F48" s="972">
        <f t="shared" si="0"/>
        <v>0</v>
      </c>
    </row>
    <row r="49" spans="1:6" x14ac:dyDescent="0.25">
      <c r="A49" s="1029" t="s">
        <v>1396</v>
      </c>
      <c r="B49" s="945" t="s">
        <v>841</v>
      </c>
      <c r="C49" s="949" t="s">
        <v>750</v>
      </c>
      <c r="D49" s="949">
        <v>1</v>
      </c>
      <c r="E49" s="971">
        <v>150000</v>
      </c>
      <c r="F49" s="972">
        <f t="shared" si="0"/>
        <v>150000</v>
      </c>
    </row>
    <row r="50" spans="1:6" x14ac:dyDescent="0.25">
      <c r="A50" s="1027"/>
      <c r="C50" s="949"/>
      <c r="D50" s="949"/>
      <c r="F50" s="972"/>
    </row>
    <row r="51" spans="1:6" x14ac:dyDescent="0.25">
      <c r="A51" s="1027"/>
      <c r="C51" s="949"/>
      <c r="D51" s="949"/>
      <c r="F51" s="972"/>
    </row>
    <row r="52" spans="1:6" ht="15.75" thickBot="1" x14ac:dyDescent="0.3">
      <c r="A52" s="1055"/>
      <c r="B52" s="1003" t="s">
        <v>755</v>
      </c>
      <c r="C52" s="1034"/>
      <c r="D52" s="1034"/>
      <c r="E52" s="1035"/>
      <c r="F52" s="955">
        <f>SUM(F5:F51)</f>
        <v>3779750</v>
      </c>
    </row>
    <row r="53" spans="1:6" ht="15.75" thickTop="1" x14ac:dyDescent="0.25"/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8"/>
  <sheetViews>
    <sheetView zoomScale="82" zoomScaleNormal="82" workbookViewId="0">
      <selection activeCell="B98" sqref="B98"/>
    </sheetView>
  </sheetViews>
  <sheetFormatPr defaultColWidth="9.140625" defaultRowHeight="15" x14ac:dyDescent="0.25"/>
  <cols>
    <col min="1" max="1" width="15.85546875" style="945" bestFit="1" customWidth="1"/>
    <col min="2" max="2" width="65" style="945" bestFit="1" customWidth="1"/>
    <col min="3" max="3" width="9.140625" style="945" bestFit="1" customWidth="1"/>
    <col min="4" max="4" width="16.85546875" style="945" bestFit="1" customWidth="1"/>
    <col min="5" max="5" width="19.28515625" style="945" bestFit="1" customWidth="1"/>
    <col min="6" max="6" width="21.7109375" style="945" bestFit="1" customWidth="1"/>
    <col min="7" max="16384" width="9.140625" style="945"/>
  </cols>
  <sheetData>
    <row r="1" spans="1:6" ht="21" x14ac:dyDescent="0.35">
      <c r="A1" s="1046" t="s">
        <v>658</v>
      </c>
      <c r="B1" s="1047" t="s">
        <v>659</v>
      </c>
      <c r="C1" s="1048" t="s">
        <v>660</v>
      </c>
      <c r="D1" s="1049" t="s">
        <v>661</v>
      </c>
      <c r="E1" s="1050" t="s">
        <v>200</v>
      </c>
      <c r="F1" s="1051" t="s">
        <v>662</v>
      </c>
    </row>
    <row r="2" spans="1:6" ht="21" x14ac:dyDescent="0.35">
      <c r="A2" s="1017"/>
      <c r="B2" s="1038"/>
      <c r="C2" s="1014"/>
      <c r="D2" s="1038"/>
      <c r="E2" s="1016"/>
      <c r="F2" s="1052"/>
    </row>
    <row r="3" spans="1:6" ht="21" x14ac:dyDescent="0.35">
      <c r="A3" s="1026" t="s">
        <v>1078</v>
      </c>
      <c r="B3" s="1053" t="s">
        <v>1207</v>
      </c>
      <c r="C3" s="1014"/>
      <c r="D3" s="1038"/>
      <c r="E3" s="1016"/>
      <c r="F3" s="1052"/>
    </row>
    <row r="4" spans="1:6" ht="21" x14ac:dyDescent="0.35">
      <c r="A4" s="1026" t="s">
        <v>1079</v>
      </c>
      <c r="B4" s="1037" t="s">
        <v>1080</v>
      </c>
      <c r="C4" s="1014"/>
      <c r="D4" s="1038"/>
      <c r="E4" s="1016"/>
      <c r="F4" s="1052"/>
    </row>
    <row r="5" spans="1:6" ht="23.25" x14ac:dyDescent="0.35">
      <c r="A5" s="1017" t="s">
        <v>1081</v>
      </c>
      <c r="B5" s="1038" t="s">
        <v>1082</v>
      </c>
      <c r="C5" s="1014" t="s">
        <v>848</v>
      </c>
      <c r="D5" s="1038">
        <f>'Production Calcs'!B22</f>
        <v>2</v>
      </c>
      <c r="E5" s="1016">
        <v>33000</v>
      </c>
      <c r="F5" s="1054">
        <f t="shared" ref="F5:F16" si="0">D5*E5</f>
        <v>66000</v>
      </c>
    </row>
    <row r="6" spans="1:6" ht="21" x14ac:dyDescent="0.35">
      <c r="A6" s="1017" t="s">
        <v>1083</v>
      </c>
      <c r="B6" s="1038" t="s">
        <v>1084</v>
      </c>
      <c r="C6" s="1014" t="s">
        <v>750</v>
      </c>
      <c r="D6" s="1038">
        <f>D5</f>
        <v>2</v>
      </c>
      <c r="E6" s="1023">
        <v>1000</v>
      </c>
      <c r="F6" s="1054">
        <f t="shared" si="0"/>
        <v>2000</v>
      </c>
    </row>
    <row r="7" spans="1:6" ht="21" x14ac:dyDescent="0.35">
      <c r="A7" s="1017" t="s">
        <v>1085</v>
      </c>
      <c r="B7" s="1038" t="s">
        <v>1086</v>
      </c>
      <c r="C7" s="1014" t="s">
        <v>750</v>
      </c>
      <c r="D7" s="1038">
        <f>D5</f>
        <v>2</v>
      </c>
      <c r="E7" s="1023">
        <v>7500</v>
      </c>
      <c r="F7" s="1054">
        <f t="shared" si="0"/>
        <v>15000</v>
      </c>
    </row>
    <row r="8" spans="1:6" ht="21" x14ac:dyDescent="0.35">
      <c r="A8" s="1017" t="s">
        <v>1087</v>
      </c>
      <c r="B8" s="1038" t="s">
        <v>1088</v>
      </c>
      <c r="C8" s="1014" t="s">
        <v>750</v>
      </c>
      <c r="D8" s="1038">
        <f>D5</f>
        <v>2</v>
      </c>
      <c r="E8" s="1023">
        <v>1800</v>
      </c>
      <c r="F8" s="1054">
        <f t="shared" si="0"/>
        <v>3600</v>
      </c>
    </row>
    <row r="9" spans="1:6" ht="21" x14ac:dyDescent="0.35">
      <c r="A9" s="1017" t="s">
        <v>1089</v>
      </c>
      <c r="B9" s="1038" t="s">
        <v>1090</v>
      </c>
      <c r="C9" s="1014" t="s">
        <v>516</v>
      </c>
      <c r="D9" s="1038">
        <v>1</v>
      </c>
      <c r="E9" s="1023">
        <v>6995</v>
      </c>
      <c r="F9" s="1054">
        <f t="shared" si="0"/>
        <v>6995</v>
      </c>
    </row>
    <row r="10" spans="1:6" ht="21" x14ac:dyDescent="0.35">
      <c r="A10" s="1017" t="s">
        <v>1091</v>
      </c>
      <c r="B10" s="1038" t="s">
        <v>1092</v>
      </c>
      <c r="C10" s="1014" t="s">
        <v>750</v>
      </c>
      <c r="D10" s="1038">
        <v>1</v>
      </c>
      <c r="E10" s="1023">
        <v>10000</v>
      </c>
      <c r="F10" s="1054">
        <f t="shared" si="0"/>
        <v>10000</v>
      </c>
    </row>
    <row r="11" spans="1:6" ht="21" x14ac:dyDescent="0.35">
      <c r="A11" s="1017" t="s">
        <v>1093</v>
      </c>
      <c r="B11" s="1038" t="s">
        <v>1094</v>
      </c>
      <c r="C11" s="1014" t="s">
        <v>848</v>
      </c>
      <c r="D11" s="1038">
        <v>1</v>
      </c>
      <c r="E11" s="1023">
        <v>5000</v>
      </c>
      <c r="F11" s="1054">
        <f t="shared" si="0"/>
        <v>5000</v>
      </c>
    </row>
    <row r="12" spans="1:6" ht="21" x14ac:dyDescent="0.35">
      <c r="A12" s="1017" t="s">
        <v>1095</v>
      </c>
      <c r="B12" s="1038" t="s">
        <v>1096</v>
      </c>
      <c r="C12" s="1014" t="s">
        <v>848</v>
      </c>
      <c r="D12" s="1038">
        <v>1</v>
      </c>
      <c r="E12" s="1023">
        <v>10000</v>
      </c>
      <c r="F12" s="1054">
        <f t="shared" si="0"/>
        <v>10000</v>
      </c>
    </row>
    <row r="13" spans="1:6" ht="21" x14ac:dyDescent="0.35">
      <c r="A13" s="1017" t="s">
        <v>1097</v>
      </c>
      <c r="B13" s="1038" t="s">
        <v>776</v>
      </c>
      <c r="C13" s="1014" t="s">
        <v>848</v>
      </c>
      <c r="D13" s="1038">
        <f>D5</f>
        <v>2</v>
      </c>
      <c r="E13" s="1023">
        <v>7500</v>
      </c>
      <c r="F13" s="1054">
        <f t="shared" si="0"/>
        <v>15000</v>
      </c>
    </row>
    <row r="14" spans="1:6" ht="21" x14ac:dyDescent="0.35">
      <c r="A14" s="1017" t="s">
        <v>1098</v>
      </c>
      <c r="B14" s="1038" t="s">
        <v>1099</v>
      </c>
      <c r="C14" s="1014" t="s">
        <v>750</v>
      </c>
      <c r="D14" s="1038">
        <f>D5</f>
        <v>2</v>
      </c>
      <c r="E14" s="1023">
        <v>2000</v>
      </c>
      <c r="F14" s="1054">
        <f t="shared" si="0"/>
        <v>4000</v>
      </c>
    </row>
    <row r="15" spans="1:6" ht="21" x14ac:dyDescent="0.35">
      <c r="A15" s="1017" t="s">
        <v>1100</v>
      </c>
      <c r="B15" s="1038" t="s">
        <v>807</v>
      </c>
      <c r="C15" s="1014" t="s">
        <v>750</v>
      </c>
      <c r="D15" s="1038">
        <v>0</v>
      </c>
      <c r="E15" s="1023">
        <v>0</v>
      </c>
      <c r="F15" s="1054">
        <f t="shared" si="0"/>
        <v>0</v>
      </c>
    </row>
    <row r="16" spans="1:6" ht="21" x14ac:dyDescent="0.35">
      <c r="A16" s="1017" t="s">
        <v>1101</v>
      </c>
      <c r="B16" s="1038" t="s">
        <v>841</v>
      </c>
      <c r="C16" s="1014" t="s">
        <v>750</v>
      </c>
      <c r="D16" s="1038">
        <f>D5</f>
        <v>2</v>
      </c>
      <c r="E16" s="1016">
        <v>3750</v>
      </c>
      <c r="F16" s="1054">
        <f t="shared" si="0"/>
        <v>7500</v>
      </c>
    </row>
    <row r="17" spans="1:6" ht="21" x14ac:dyDescent="0.35">
      <c r="A17" s="1017"/>
      <c r="B17" s="1038"/>
      <c r="C17" s="1014"/>
      <c r="D17" s="1038"/>
      <c r="E17" s="1016"/>
      <c r="F17" s="1054"/>
    </row>
    <row r="18" spans="1:6" ht="21" x14ac:dyDescent="0.35">
      <c r="A18" s="1026" t="s">
        <v>1102</v>
      </c>
      <c r="B18" s="1037" t="s">
        <v>1103</v>
      </c>
      <c r="C18" s="1014"/>
      <c r="D18" s="1038"/>
      <c r="E18" s="1016"/>
      <c r="F18" s="1052"/>
    </row>
    <row r="19" spans="1:6" ht="23.25" x14ac:dyDescent="0.35">
      <c r="A19" s="1017" t="s">
        <v>1104</v>
      </c>
      <c r="B19" s="1038" t="s">
        <v>1105</v>
      </c>
      <c r="C19" s="1014" t="s">
        <v>848</v>
      </c>
      <c r="D19" s="1043">
        <f>'Production Calcs'!B23</f>
        <v>5</v>
      </c>
      <c r="E19" s="1016">
        <v>70000</v>
      </c>
      <c r="F19" s="1054">
        <f t="shared" ref="F19:F26" si="1">D19*E19</f>
        <v>350000</v>
      </c>
    </row>
    <row r="20" spans="1:6" ht="21" x14ac:dyDescent="0.35">
      <c r="A20" s="1017" t="s">
        <v>1106</v>
      </c>
      <c r="B20" s="1038" t="s">
        <v>1107</v>
      </c>
      <c r="C20" s="1014" t="s">
        <v>750</v>
      </c>
      <c r="D20" s="1043">
        <f>D19</f>
        <v>5</v>
      </c>
      <c r="E20" s="1023">
        <v>7500</v>
      </c>
      <c r="F20" s="1054">
        <f t="shared" si="1"/>
        <v>37500</v>
      </c>
    </row>
    <row r="21" spans="1:6" ht="21" x14ac:dyDescent="0.35">
      <c r="A21" s="1017" t="s">
        <v>1108</v>
      </c>
      <c r="B21" s="1038" t="s">
        <v>1088</v>
      </c>
      <c r="C21" s="1014" t="s">
        <v>1019</v>
      </c>
      <c r="D21" s="1043">
        <f>D19</f>
        <v>5</v>
      </c>
      <c r="E21" s="1023">
        <f>1500*1.2</f>
        <v>1800</v>
      </c>
      <c r="F21" s="1054">
        <f t="shared" si="1"/>
        <v>9000</v>
      </c>
    </row>
    <row r="22" spans="1:6" ht="21" x14ac:dyDescent="0.35">
      <c r="A22" s="1017" t="s">
        <v>1176</v>
      </c>
      <c r="B22" s="1038" t="s">
        <v>1109</v>
      </c>
      <c r="C22" s="1014" t="s">
        <v>848</v>
      </c>
      <c r="D22" s="1043">
        <f>D19</f>
        <v>5</v>
      </c>
      <c r="E22" s="1023">
        <f>40000*1.2</f>
        <v>48000</v>
      </c>
      <c r="F22" s="1054">
        <f t="shared" si="1"/>
        <v>240000</v>
      </c>
    </row>
    <row r="23" spans="1:6" ht="21" x14ac:dyDescent="0.35">
      <c r="A23" s="1017" t="s">
        <v>1177</v>
      </c>
      <c r="B23" s="1038" t="s">
        <v>776</v>
      </c>
      <c r="C23" s="1014" t="s">
        <v>848</v>
      </c>
      <c r="D23" s="1043">
        <f>D19</f>
        <v>5</v>
      </c>
      <c r="E23" s="1023">
        <v>7500</v>
      </c>
      <c r="F23" s="1054">
        <f t="shared" si="1"/>
        <v>37500</v>
      </c>
    </row>
    <row r="24" spans="1:6" ht="21" x14ac:dyDescent="0.35">
      <c r="A24" s="1017" t="s">
        <v>1178</v>
      </c>
      <c r="B24" s="1038" t="s">
        <v>1099</v>
      </c>
      <c r="C24" s="1014" t="s">
        <v>750</v>
      </c>
      <c r="D24" s="1043">
        <f>D19</f>
        <v>5</v>
      </c>
      <c r="E24" s="1016">
        <v>2000</v>
      </c>
      <c r="F24" s="1054">
        <f t="shared" si="1"/>
        <v>10000</v>
      </c>
    </row>
    <row r="25" spans="1:6" ht="21" x14ac:dyDescent="0.35">
      <c r="A25" s="1017" t="s">
        <v>1179</v>
      </c>
      <c r="B25" s="1038" t="s">
        <v>807</v>
      </c>
      <c r="C25" s="1014" t="s">
        <v>750</v>
      </c>
      <c r="D25" s="1038">
        <v>0</v>
      </c>
      <c r="E25" s="1016">
        <v>0</v>
      </c>
      <c r="F25" s="1054">
        <f t="shared" si="1"/>
        <v>0</v>
      </c>
    </row>
    <row r="26" spans="1:6" ht="21" x14ac:dyDescent="0.35">
      <c r="A26" s="1017" t="s">
        <v>1180</v>
      </c>
      <c r="B26" s="1038" t="s">
        <v>841</v>
      </c>
      <c r="C26" s="1014" t="s">
        <v>750</v>
      </c>
      <c r="D26" s="1038">
        <f>D19</f>
        <v>5</v>
      </c>
      <c r="E26" s="1016">
        <v>7500</v>
      </c>
      <c r="F26" s="1054">
        <f t="shared" si="1"/>
        <v>37500</v>
      </c>
    </row>
    <row r="27" spans="1:6" ht="21" x14ac:dyDescent="0.35">
      <c r="A27" s="1017"/>
      <c r="B27" s="1038"/>
      <c r="C27" s="1014"/>
      <c r="D27" s="1038"/>
      <c r="E27" s="1016"/>
      <c r="F27" s="1054"/>
    </row>
    <row r="28" spans="1:6" ht="21" x14ac:dyDescent="0.35">
      <c r="A28" s="1026" t="s">
        <v>1110</v>
      </c>
      <c r="B28" s="1037" t="s">
        <v>1111</v>
      </c>
      <c r="C28" s="1014"/>
      <c r="D28" s="1038"/>
      <c r="E28" s="1023"/>
      <c r="F28" s="1054"/>
    </row>
    <row r="29" spans="1:6" ht="23.25" x14ac:dyDescent="0.35">
      <c r="A29" s="1017" t="s">
        <v>1112</v>
      </c>
      <c r="B29" s="1038" t="s">
        <v>1113</v>
      </c>
      <c r="C29" s="1014" t="s">
        <v>848</v>
      </c>
      <c r="D29" s="1043">
        <f>_xlfn.FLOOR.MATH('Production Calcs'!B24,1)</f>
        <v>10</v>
      </c>
      <c r="E29" s="1023">
        <v>2100</v>
      </c>
      <c r="F29" s="1054">
        <f t="shared" ref="F29:F37" si="2">D29*E29</f>
        <v>21000</v>
      </c>
    </row>
    <row r="30" spans="1:6" ht="21" x14ac:dyDescent="0.35">
      <c r="A30" s="1017" t="s">
        <v>1181</v>
      </c>
      <c r="B30" s="1038" t="s">
        <v>1107</v>
      </c>
      <c r="C30" s="1014" t="s">
        <v>848</v>
      </c>
      <c r="D30" s="1043">
        <f>D29</f>
        <v>10</v>
      </c>
      <c r="E30" s="1023">
        <v>7500</v>
      </c>
      <c r="F30" s="1054">
        <f t="shared" si="2"/>
        <v>75000</v>
      </c>
    </row>
    <row r="31" spans="1:6" ht="21" x14ac:dyDescent="0.35">
      <c r="A31" s="1017" t="s">
        <v>1114</v>
      </c>
      <c r="B31" s="1038" t="s">
        <v>1088</v>
      </c>
      <c r="C31" s="1014" t="s">
        <v>750</v>
      </c>
      <c r="D31" s="1043">
        <v>1</v>
      </c>
      <c r="E31" s="1016">
        <f>E21</f>
        <v>1800</v>
      </c>
      <c r="F31" s="1054">
        <f t="shared" si="2"/>
        <v>1800</v>
      </c>
    </row>
    <row r="32" spans="1:6" ht="21" x14ac:dyDescent="0.35">
      <c r="A32" s="1017" t="s">
        <v>1115</v>
      </c>
      <c r="B32" s="1038" t="s">
        <v>1117</v>
      </c>
      <c r="C32" s="1014" t="s">
        <v>750</v>
      </c>
      <c r="D32" s="1043">
        <v>1</v>
      </c>
      <c r="E32" s="1016">
        <v>5000</v>
      </c>
      <c r="F32" s="1054">
        <f t="shared" si="2"/>
        <v>5000</v>
      </c>
    </row>
    <row r="33" spans="1:6" ht="21" x14ac:dyDescent="0.35">
      <c r="A33" s="1017" t="s">
        <v>1116</v>
      </c>
      <c r="B33" s="1038" t="s">
        <v>1119</v>
      </c>
      <c r="C33" s="1014" t="s">
        <v>848</v>
      </c>
      <c r="D33" s="1043">
        <v>1</v>
      </c>
      <c r="E33" s="1016">
        <v>50000</v>
      </c>
      <c r="F33" s="1054">
        <f t="shared" si="2"/>
        <v>50000</v>
      </c>
    </row>
    <row r="34" spans="1:6" ht="21" x14ac:dyDescent="0.35">
      <c r="A34" s="1017" t="s">
        <v>1118</v>
      </c>
      <c r="B34" s="1038" t="s">
        <v>776</v>
      </c>
      <c r="C34" s="1014" t="s">
        <v>848</v>
      </c>
      <c r="D34" s="1043">
        <f>D29</f>
        <v>10</v>
      </c>
      <c r="E34" s="1016">
        <v>7500</v>
      </c>
      <c r="F34" s="1054">
        <f t="shared" si="2"/>
        <v>75000</v>
      </c>
    </row>
    <row r="35" spans="1:6" ht="21" x14ac:dyDescent="0.35">
      <c r="A35" s="1017" t="s">
        <v>1182</v>
      </c>
      <c r="B35" s="1038" t="s">
        <v>1099</v>
      </c>
      <c r="C35" s="1014" t="s">
        <v>750</v>
      </c>
      <c r="D35" s="1043">
        <f>D29</f>
        <v>10</v>
      </c>
      <c r="E35" s="1016">
        <v>200</v>
      </c>
      <c r="F35" s="1054">
        <f t="shared" si="2"/>
        <v>2000</v>
      </c>
    </row>
    <row r="36" spans="1:6" ht="21" x14ac:dyDescent="0.35">
      <c r="A36" s="1017" t="s">
        <v>1120</v>
      </c>
      <c r="B36" s="1038" t="s">
        <v>807</v>
      </c>
      <c r="C36" s="1014" t="s">
        <v>750</v>
      </c>
      <c r="D36" s="1038">
        <v>0</v>
      </c>
      <c r="E36" s="1023">
        <v>0</v>
      </c>
      <c r="F36" s="1054">
        <f t="shared" si="2"/>
        <v>0</v>
      </c>
    </row>
    <row r="37" spans="1:6" ht="21" x14ac:dyDescent="0.35">
      <c r="A37" s="1017" t="s">
        <v>1121</v>
      </c>
      <c r="B37" s="1038" t="s">
        <v>841</v>
      </c>
      <c r="C37" s="1014" t="s">
        <v>750</v>
      </c>
      <c r="D37" s="1043">
        <f>D29</f>
        <v>10</v>
      </c>
      <c r="E37" s="1023">
        <v>500</v>
      </c>
      <c r="F37" s="1054">
        <f t="shared" si="2"/>
        <v>5000</v>
      </c>
    </row>
    <row r="38" spans="1:6" ht="21" x14ac:dyDescent="0.35">
      <c r="A38" s="1017"/>
      <c r="B38" s="1038"/>
      <c r="C38" s="1014"/>
      <c r="D38" s="1038"/>
      <c r="E38" s="1016"/>
      <c r="F38" s="1052"/>
    </row>
    <row r="39" spans="1:6" ht="21" x14ac:dyDescent="0.35">
      <c r="A39" s="1026" t="s">
        <v>1122</v>
      </c>
      <c r="B39" s="1037" t="s">
        <v>1123</v>
      </c>
      <c r="C39" s="1014"/>
      <c r="D39" s="1038"/>
      <c r="E39" s="1016"/>
      <c r="F39" s="1052"/>
    </row>
    <row r="40" spans="1:6" ht="23.25" x14ac:dyDescent="0.35">
      <c r="A40" s="1017" t="s">
        <v>1124</v>
      </c>
      <c r="B40" s="1038" t="s">
        <v>1125</v>
      </c>
      <c r="C40" s="1014" t="s">
        <v>848</v>
      </c>
      <c r="D40" s="1043">
        <f>'Production Calcs'!K13</f>
        <v>4</v>
      </c>
      <c r="E40" s="1016">
        <v>34000</v>
      </c>
      <c r="F40" s="1054">
        <f t="shared" ref="F40:F50" si="3">D40*E40</f>
        <v>136000</v>
      </c>
    </row>
    <row r="41" spans="1:6" ht="21" x14ac:dyDescent="0.35">
      <c r="A41" s="1017" t="s">
        <v>1126</v>
      </c>
      <c r="B41" s="1038" t="s">
        <v>1107</v>
      </c>
      <c r="C41" s="1014" t="s">
        <v>848</v>
      </c>
      <c r="D41" s="1043">
        <f>D40</f>
        <v>4</v>
      </c>
      <c r="E41" s="1016">
        <v>7500</v>
      </c>
      <c r="F41" s="1054">
        <f t="shared" si="3"/>
        <v>30000</v>
      </c>
    </row>
    <row r="42" spans="1:6" ht="21" x14ac:dyDescent="0.35">
      <c r="A42" s="1017" t="s">
        <v>1127</v>
      </c>
      <c r="B42" s="1038" t="s">
        <v>1128</v>
      </c>
      <c r="C42" s="1014" t="s">
        <v>848</v>
      </c>
      <c r="D42" s="1043">
        <f>D45</f>
        <v>4</v>
      </c>
      <c r="E42" s="1023">
        <v>600</v>
      </c>
      <c r="F42" s="1054">
        <f t="shared" si="3"/>
        <v>2400</v>
      </c>
    </row>
    <row r="43" spans="1:6" ht="21" x14ac:dyDescent="0.35">
      <c r="A43" s="1017" t="s">
        <v>1129</v>
      </c>
      <c r="B43" s="1038" t="s">
        <v>1130</v>
      </c>
      <c r="C43" s="1014" t="s">
        <v>848</v>
      </c>
      <c r="D43" s="1043">
        <v>1</v>
      </c>
      <c r="E43" s="1023">
        <v>100000</v>
      </c>
      <c r="F43" s="1054">
        <f t="shared" si="3"/>
        <v>100000</v>
      </c>
    </row>
    <row r="44" spans="1:6" ht="21" x14ac:dyDescent="0.35">
      <c r="A44" s="1017" t="s">
        <v>1131</v>
      </c>
      <c r="B44" s="1038" t="s">
        <v>1109</v>
      </c>
      <c r="C44" s="1014" t="s">
        <v>848</v>
      </c>
      <c r="D44" s="1038">
        <v>1</v>
      </c>
      <c r="E44" s="1016">
        <v>50000</v>
      </c>
      <c r="F44" s="1054">
        <f t="shared" si="3"/>
        <v>50000</v>
      </c>
    </row>
    <row r="45" spans="1:6" ht="21" x14ac:dyDescent="0.35">
      <c r="A45" s="1017" t="s">
        <v>1132</v>
      </c>
      <c r="B45" s="1038" t="s">
        <v>1133</v>
      </c>
      <c r="C45" s="1014" t="s">
        <v>848</v>
      </c>
      <c r="D45" s="1043">
        <f>D40</f>
        <v>4</v>
      </c>
      <c r="E45" s="1016">
        <v>2000</v>
      </c>
      <c r="F45" s="1054">
        <f t="shared" si="3"/>
        <v>8000</v>
      </c>
    </row>
    <row r="46" spans="1:6" ht="21" x14ac:dyDescent="0.35">
      <c r="A46" s="1017" t="s">
        <v>1134</v>
      </c>
      <c r="B46" s="1038" t="s">
        <v>776</v>
      </c>
      <c r="C46" s="1014" t="s">
        <v>848</v>
      </c>
      <c r="D46" s="1043">
        <f>D40/2</f>
        <v>2</v>
      </c>
      <c r="E46" s="1016">
        <v>15000</v>
      </c>
      <c r="F46" s="1054">
        <f t="shared" si="3"/>
        <v>30000</v>
      </c>
    </row>
    <row r="47" spans="1:6" ht="21" x14ac:dyDescent="0.35">
      <c r="A47" s="1017" t="s">
        <v>1135</v>
      </c>
      <c r="B47" s="1038" t="s">
        <v>1088</v>
      </c>
      <c r="C47" s="1014" t="s">
        <v>750</v>
      </c>
      <c r="D47" s="1038">
        <v>4</v>
      </c>
      <c r="E47" s="1023">
        <f>2000*1.2</f>
        <v>2400</v>
      </c>
      <c r="F47" s="1054">
        <f t="shared" si="3"/>
        <v>9600</v>
      </c>
    </row>
    <row r="48" spans="1:6" ht="21" x14ac:dyDescent="0.35">
      <c r="A48" s="1017" t="s">
        <v>1136</v>
      </c>
      <c r="B48" s="1038" t="s">
        <v>1099</v>
      </c>
      <c r="C48" s="1014" t="s">
        <v>750</v>
      </c>
      <c r="D48" s="1043">
        <f>D42</f>
        <v>4</v>
      </c>
      <c r="E48" s="1016">
        <f>7500</f>
        <v>7500</v>
      </c>
      <c r="F48" s="1054">
        <f t="shared" si="3"/>
        <v>30000</v>
      </c>
    </row>
    <row r="49" spans="1:6" ht="21" x14ac:dyDescent="0.35">
      <c r="A49" s="1017" t="s">
        <v>1137</v>
      </c>
      <c r="B49" s="1038" t="s">
        <v>807</v>
      </c>
      <c r="C49" s="1014" t="s">
        <v>750</v>
      </c>
      <c r="D49" s="1038">
        <v>0</v>
      </c>
      <c r="E49" s="1016">
        <v>0</v>
      </c>
      <c r="F49" s="1054">
        <f t="shared" si="3"/>
        <v>0</v>
      </c>
    </row>
    <row r="50" spans="1:6" ht="21" x14ac:dyDescent="0.35">
      <c r="A50" s="1017" t="s">
        <v>1138</v>
      </c>
      <c r="B50" s="1038" t="s">
        <v>841</v>
      </c>
      <c r="C50" s="1014" t="s">
        <v>750</v>
      </c>
      <c r="D50" s="1043">
        <f>D40</f>
        <v>4</v>
      </c>
      <c r="E50" s="1016">
        <v>7500</v>
      </c>
      <c r="F50" s="1054">
        <f t="shared" si="3"/>
        <v>30000</v>
      </c>
    </row>
    <row r="51" spans="1:6" ht="21" x14ac:dyDescent="0.35">
      <c r="A51" s="1017"/>
      <c r="B51" s="1038"/>
      <c r="C51" s="1014"/>
      <c r="D51" s="1038"/>
      <c r="E51" s="1016"/>
      <c r="F51" s="1054"/>
    </row>
    <row r="52" spans="1:6" ht="21" x14ac:dyDescent="0.35">
      <c r="A52" s="1026" t="s">
        <v>1139</v>
      </c>
      <c r="B52" s="1037" t="s">
        <v>1140</v>
      </c>
      <c r="C52" s="1014"/>
      <c r="D52" s="1038"/>
      <c r="E52" s="1016"/>
      <c r="F52" s="1052"/>
    </row>
    <row r="53" spans="1:6" ht="23.25" x14ac:dyDescent="0.35">
      <c r="A53" s="1017" t="s">
        <v>1141</v>
      </c>
      <c r="B53" s="1038" t="s">
        <v>1142</v>
      </c>
      <c r="C53" s="1014" t="s">
        <v>848</v>
      </c>
      <c r="D53" s="1059">
        <f>D40*2</f>
        <v>8</v>
      </c>
      <c r="E53" s="1016">
        <v>43000</v>
      </c>
      <c r="F53" s="1054">
        <f t="shared" ref="F53:F64" si="4">D53*E53</f>
        <v>344000</v>
      </c>
    </row>
    <row r="54" spans="1:6" ht="23.25" x14ac:dyDescent="0.35">
      <c r="A54" s="1017" t="s">
        <v>1143</v>
      </c>
      <c r="B54" s="1038" t="s">
        <v>1144</v>
      </c>
      <c r="C54" s="1014" t="s">
        <v>848</v>
      </c>
      <c r="D54" s="1060">
        <f>D40</f>
        <v>4</v>
      </c>
      <c r="E54" s="1016">
        <v>15000</v>
      </c>
      <c r="F54" s="1054">
        <f t="shared" si="4"/>
        <v>60000</v>
      </c>
    </row>
    <row r="55" spans="1:6" ht="23.25" x14ac:dyDescent="0.35">
      <c r="A55" s="1017" t="s">
        <v>1145</v>
      </c>
      <c r="B55" s="1038" t="s">
        <v>1146</v>
      </c>
      <c r="C55" s="1014" t="s">
        <v>848</v>
      </c>
      <c r="D55" s="1060">
        <f>D40</f>
        <v>4</v>
      </c>
      <c r="E55" s="1016">
        <v>14000</v>
      </c>
      <c r="F55" s="1054">
        <f t="shared" si="4"/>
        <v>56000</v>
      </c>
    </row>
    <row r="56" spans="1:6" ht="21" x14ac:dyDescent="0.35">
      <c r="A56" s="1017" t="s">
        <v>1147</v>
      </c>
      <c r="B56" s="1038" t="s">
        <v>1148</v>
      </c>
      <c r="C56" s="1014" t="s">
        <v>750</v>
      </c>
      <c r="D56" s="1059">
        <v>1</v>
      </c>
      <c r="E56" s="1016">
        <v>45000</v>
      </c>
      <c r="F56" s="1054">
        <f t="shared" si="4"/>
        <v>45000</v>
      </c>
    </row>
    <row r="57" spans="1:6" ht="21" x14ac:dyDescent="0.35">
      <c r="A57" s="1017" t="s">
        <v>1149</v>
      </c>
      <c r="B57" s="1038" t="s">
        <v>1130</v>
      </c>
      <c r="C57" s="1014" t="s">
        <v>848</v>
      </c>
      <c r="D57" s="1059">
        <v>1</v>
      </c>
      <c r="E57" s="1016">
        <v>30000</v>
      </c>
      <c r="F57" s="1054">
        <f t="shared" si="4"/>
        <v>30000</v>
      </c>
    </row>
    <row r="58" spans="1:6" ht="21" x14ac:dyDescent="0.35">
      <c r="A58" s="1017" t="s">
        <v>1150</v>
      </c>
      <c r="B58" s="1038" t="s">
        <v>1151</v>
      </c>
      <c r="C58" s="1014" t="s">
        <v>848</v>
      </c>
      <c r="D58" s="1044">
        <f>D53</f>
        <v>8</v>
      </c>
      <c r="E58" s="1016">
        <v>2000</v>
      </c>
      <c r="F58" s="1054">
        <f t="shared" si="4"/>
        <v>16000</v>
      </c>
    </row>
    <row r="59" spans="1:6" ht="21" x14ac:dyDescent="0.35">
      <c r="A59" s="1017" t="s">
        <v>1152</v>
      </c>
      <c r="B59" s="1038" t="s">
        <v>1153</v>
      </c>
      <c r="C59" s="1014" t="s">
        <v>848</v>
      </c>
      <c r="D59" s="1060">
        <f>D54+D55</f>
        <v>8</v>
      </c>
      <c r="E59" s="1016">
        <v>2500</v>
      </c>
      <c r="F59" s="1054">
        <f t="shared" si="4"/>
        <v>20000</v>
      </c>
    </row>
    <row r="60" spans="1:6" ht="21" x14ac:dyDescent="0.35">
      <c r="A60" s="1017" t="s">
        <v>1154</v>
      </c>
      <c r="B60" s="1038" t="s">
        <v>1155</v>
      </c>
      <c r="C60" s="1014" t="s">
        <v>848</v>
      </c>
      <c r="D60" s="1060">
        <f>D54+D55</f>
        <v>8</v>
      </c>
      <c r="E60" s="1016">
        <v>3000</v>
      </c>
      <c r="F60" s="1054">
        <f t="shared" si="4"/>
        <v>24000</v>
      </c>
    </row>
    <row r="61" spans="1:6" ht="21" x14ac:dyDescent="0.35">
      <c r="A61" s="1017" t="s">
        <v>1156</v>
      </c>
      <c r="B61" s="1038" t="s">
        <v>1157</v>
      </c>
      <c r="C61" s="1014" t="s">
        <v>848</v>
      </c>
      <c r="D61" s="1060">
        <f>D54+D55</f>
        <v>8</v>
      </c>
      <c r="E61" s="1016">
        <v>600</v>
      </c>
      <c r="F61" s="1054">
        <f t="shared" si="4"/>
        <v>4800</v>
      </c>
    </row>
    <row r="62" spans="1:6" ht="21" x14ac:dyDescent="0.35">
      <c r="A62" s="1017" t="s">
        <v>1158</v>
      </c>
      <c r="B62" s="1038" t="s">
        <v>1099</v>
      </c>
      <c r="C62" s="1014" t="s">
        <v>750</v>
      </c>
      <c r="D62" s="1044">
        <f>D54+D55</f>
        <v>8</v>
      </c>
      <c r="E62" s="1016">
        <v>2000</v>
      </c>
      <c r="F62" s="1054">
        <f t="shared" si="4"/>
        <v>16000</v>
      </c>
    </row>
    <row r="63" spans="1:6" ht="21" x14ac:dyDescent="0.35">
      <c r="A63" s="1017" t="s">
        <v>1159</v>
      </c>
      <c r="B63" s="1038" t="s">
        <v>807</v>
      </c>
      <c r="C63" s="1014" t="s">
        <v>750</v>
      </c>
      <c r="D63" s="1059">
        <v>0</v>
      </c>
      <c r="E63" s="1016">
        <v>0</v>
      </c>
      <c r="F63" s="1054">
        <f t="shared" si="4"/>
        <v>0</v>
      </c>
    </row>
    <row r="64" spans="1:6" ht="21" x14ac:dyDescent="0.35">
      <c r="A64" s="1017" t="s">
        <v>1160</v>
      </c>
      <c r="B64" s="1038" t="s">
        <v>841</v>
      </c>
      <c r="C64" s="1014" t="s">
        <v>750</v>
      </c>
      <c r="D64" s="1059">
        <f>SUM(D53:D55)</f>
        <v>16</v>
      </c>
      <c r="E64" s="1016">
        <v>7500</v>
      </c>
      <c r="F64" s="1054">
        <f t="shared" si="4"/>
        <v>120000</v>
      </c>
    </row>
    <row r="65" spans="1:6" ht="21" x14ac:dyDescent="0.35">
      <c r="A65" s="1017"/>
      <c r="B65" s="1038"/>
      <c r="C65" s="1014"/>
      <c r="D65" s="1038"/>
      <c r="E65" s="1023"/>
      <c r="F65" s="1054"/>
    </row>
    <row r="66" spans="1:6" ht="21" x14ac:dyDescent="0.35">
      <c r="A66" s="1026" t="s">
        <v>1356</v>
      </c>
      <c r="B66" s="1037" t="s">
        <v>1357</v>
      </c>
      <c r="C66" s="1014"/>
      <c r="D66" s="1038"/>
      <c r="E66" s="1016"/>
      <c r="F66" s="1052"/>
    </row>
    <row r="67" spans="1:6" ht="23.25" x14ac:dyDescent="0.35">
      <c r="A67" s="1017" t="s">
        <v>1358</v>
      </c>
      <c r="B67" s="1038" t="s">
        <v>1161</v>
      </c>
      <c r="C67" s="1014" t="s">
        <v>848</v>
      </c>
      <c r="D67" s="1043">
        <f>'Production Calcs'!B26</f>
        <v>12</v>
      </c>
      <c r="E67" s="1016">
        <v>30000</v>
      </c>
      <c r="F67" s="1054">
        <f>D67*E67</f>
        <v>360000</v>
      </c>
    </row>
    <row r="68" spans="1:6" ht="21" x14ac:dyDescent="0.35">
      <c r="A68" s="1017" t="s">
        <v>1359</v>
      </c>
      <c r="B68" s="1038" t="s">
        <v>1162</v>
      </c>
      <c r="C68" s="1014" t="s">
        <v>1019</v>
      </c>
      <c r="D68" s="1043">
        <f>D67/2</f>
        <v>6</v>
      </c>
      <c r="E68" s="1016">
        <v>6500</v>
      </c>
      <c r="F68" s="1054">
        <f>D68*E68</f>
        <v>39000</v>
      </c>
    </row>
    <row r="69" spans="1:6" ht="21" x14ac:dyDescent="0.35">
      <c r="A69" s="1017" t="s">
        <v>1360</v>
      </c>
      <c r="B69" s="1038" t="s">
        <v>1128</v>
      </c>
      <c r="C69" s="1014" t="s">
        <v>848</v>
      </c>
      <c r="D69" s="1043">
        <f>D67*2</f>
        <v>24</v>
      </c>
      <c r="E69" s="1023">
        <v>750</v>
      </c>
      <c r="F69" s="1054">
        <f>D69*E69</f>
        <v>18000</v>
      </c>
    </row>
    <row r="70" spans="1:6" ht="21" x14ac:dyDescent="0.35">
      <c r="A70" s="1017" t="s">
        <v>1361</v>
      </c>
      <c r="B70" s="1038" t="s">
        <v>1109</v>
      </c>
      <c r="C70" s="1014" t="s">
        <v>1019</v>
      </c>
      <c r="D70" s="1043">
        <v>1</v>
      </c>
      <c r="E70" s="1023">
        <v>150000</v>
      </c>
      <c r="F70" s="1054"/>
    </row>
    <row r="71" spans="1:6" ht="21" x14ac:dyDescent="0.35">
      <c r="A71" s="1017" t="s">
        <v>1362</v>
      </c>
      <c r="B71" s="1038" t="s">
        <v>1166</v>
      </c>
      <c r="C71" s="1014" t="s">
        <v>1019</v>
      </c>
      <c r="D71" s="1038">
        <v>1</v>
      </c>
      <c r="E71" s="1023">
        <v>35000</v>
      </c>
      <c r="F71" s="1054">
        <f t="shared" ref="F71:F77" si="5">D71*E71</f>
        <v>35000</v>
      </c>
    </row>
    <row r="72" spans="1:6" ht="21" x14ac:dyDescent="0.35">
      <c r="A72" s="1017" t="s">
        <v>1363</v>
      </c>
      <c r="B72" s="1038" t="s">
        <v>1088</v>
      </c>
      <c r="C72" s="1014" t="s">
        <v>750</v>
      </c>
      <c r="D72" s="1043">
        <f>D67</f>
        <v>12</v>
      </c>
      <c r="E72" s="1023">
        <f>2000*1.2</f>
        <v>2400</v>
      </c>
      <c r="F72" s="1054">
        <f t="shared" si="5"/>
        <v>28800</v>
      </c>
    </row>
    <row r="73" spans="1:6" ht="21" x14ac:dyDescent="0.35">
      <c r="A73" s="1017" t="s">
        <v>1137</v>
      </c>
      <c r="B73" s="1038" t="s">
        <v>1133</v>
      </c>
      <c r="C73" s="1014" t="s">
        <v>848</v>
      </c>
      <c r="D73" s="1043">
        <f>D67</f>
        <v>12</v>
      </c>
      <c r="E73" s="1016">
        <v>2000</v>
      </c>
      <c r="F73" s="1054">
        <f t="shared" si="5"/>
        <v>24000</v>
      </c>
    </row>
    <row r="74" spans="1:6" ht="21" x14ac:dyDescent="0.35">
      <c r="A74" s="1017" t="s">
        <v>1138</v>
      </c>
      <c r="B74" s="1038" t="s">
        <v>776</v>
      </c>
      <c r="C74" s="1014" t="s">
        <v>848</v>
      </c>
      <c r="D74" s="1043">
        <f>D67</f>
        <v>12</v>
      </c>
      <c r="E74" s="1016">
        <v>15000</v>
      </c>
      <c r="F74" s="1054">
        <f t="shared" si="5"/>
        <v>180000</v>
      </c>
    </row>
    <row r="75" spans="1:6" ht="21" x14ac:dyDescent="0.35">
      <c r="A75" s="1017" t="s">
        <v>1167</v>
      </c>
      <c r="B75" s="1038" t="s">
        <v>1099</v>
      </c>
      <c r="C75" s="1014" t="s">
        <v>750</v>
      </c>
      <c r="D75" s="1043">
        <f>D67</f>
        <v>12</v>
      </c>
      <c r="E75" s="1016">
        <f>7500</f>
        <v>7500</v>
      </c>
      <c r="F75" s="1054">
        <f t="shared" si="5"/>
        <v>90000</v>
      </c>
    </row>
    <row r="76" spans="1:6" ht="21" x14ac:dyDescent="0.35">
      <c r="A76" s="1017" t="s">
        <v>1168</v>
      </c>
      <c r="B76" s="1038" t="s">
        <v>807</v>
      </c>
      <c r="C76" s="1014" t="s">
        <v>750</v>
      </c>
      <c r="D76" s="1038">
        <v>0</v>
      </c>
      <c r="E76" s="1016">
        <v>0</v>
      </c>
      <c r="F76" s="1054">
        <f t="shared" si="5"/>
        <v>0</v>
      </c>
    </row>
    <row r="77" spans="1:6" ht="21" x14ac:dyDescent="0.35">
      <c r="A77" s="1017" t="s">
        <v>1169</v>
      </c>
      <c r="B77" s="1038" t="s">
        <v>841</v>
      </c>
      <c r="C77" s="1014" t="s">
        <v>750</v>
      </c>
      <c r="D77" s="1043">
        <f>D67</f>
        <v>12</v>
      </c>
      <c r="E77" s="1016">
        <v>7500</v>
      </c>
      <c r="F77" s="1054">
        <f t="shared" si="5"/>
        <v>90000</v>
      </c>
    </row>
    <row r="78" spans="1:6" ht="21" x14ac:dyDescent="0.35">
      <c r="A78" s="1017"/>
      <c r="B78" s="1038"/>
      <c r="C78" s="1014"/>
      <c r="D78" s="1014"/>
      <c r="E78" s="1016"/>
      <c r="F78" s="1052"/>
    </row>
    <row r="79" spans="1:6" ht="21" x14ac:dyDescent="0.35">
      <c r="A79" s="1026" t="s">
        <v>1183</v>
      </c>
      <c r="B79" s="1037" t="s">
        <v>1364</v>
      </c>
      <c r="C79" s="1014"/>
      <c r="D79" s="1014"/>
      <c r="E79" s="1016"/>
      <c r="F79" s="1052"/>
    </row>
    <row r="80" spans="1:6" ht="21" x14ac:dyDescent="0.35">
      <c r="A80" s="1017" t="s">
        <v>1184</v>
      </c>
      <c r="B80" s="1129" t="s">
        <v>1365</v>
      </c>
      <c r="C80" s="1129" t="s">
        <v>1019</v>
      </c>
      <c r="D80" s="1129">
        <v>1</v>
      </c>
      <c r="E80" s="1052">
        <v>225000</v>
      </c>
      <c r="F80" s="1052">
        <f t="shared" ref="F80:F95" si="6">D80*E80</f>
        <v>225000</v>
      </c>
    </row>
    <row r="81" spans="1:6" ht="21" x14ac:dyDescent="0.35">
      <c r="A81" s="1017" t="s">
        <v>1186</v>
      </c>
      <c r="B81" s="1129" t="s">
        <v>1366</v>
      </c>
      <c r="C81" s="1129" t="s">
        <v>1019</v>
      </c>
      <c r="D81" s="1129">
        <f>D80</f>
        <v>1</v>
      </c>
      <c r="E81" s="1052">
        <v>18750</v>
      </c>
      <c r="F81" s="1052">
        <f t="shared" si="6"/>
        <v>18750</v>
      </c>
    </row>
    <row r="82" spans="1:6" ht="21" x14ac:dyDescent="0.35">
      <c r="A82" s="1017" t="s">
        <v>1188</v>
      </c>
      <c r="B82" s="1129" t="s">
        <v>1367</v>
      </c>
      <c r="C82" s="1129" t="s">
        <v>1019</v>
      </c>
      <c r="D82" s="1129">
        <v>1</v>
      </c>
      <c r="E82" s="1052">
        <v>70000</v>
      </c>
      <c r="F82" s="1052">
        <f t="shared" si="6"/>
        <v>70000</v>
      </c>
    </row>
    <row r="83" spans="1:6" ht="21" x14ac:dyDescent="0.35">
      <c r="A83" s="1017" t="s">
        <v>1143</v>
      </c>
      <c r="B83" s="1038" t="s">
        <v>1090</v>
      </c>
      <c r="C83" s="1014" t="s">
        <v>516</v>
      </c>
      <c r="D83" s="1045">
        <f>'Production Calcs'!B59</f>
        <v>1.8190695610605103</v>
      </c>
      <c r="E83" s="1023">
        <v>6995</v>
      </c>
      <c r="F83" s="1054">
        <f t="shared" si="6"/>
        <v>12724.39157961827</v>
      </c>
    </row>
    <row r="84" spans="1:6" ht="21" x14ac:dyDescent="0.35">
      <c r="A84" s="1017" t="s">
        <v>1145</v>
      </c>
      <c r="B84" s="1038" t="s">
        <v>1170</v>
      </c>
      <c r="C84" s="1014" t="s">
        <v>750</v>
      </c>
      <c r="D84" s="1045">
        <v>1</v>
      </c>
      <c r="E84" s="1023">
        <v>15000</v>
      </c>
      <c r="F84" s="1054">
        <f t="shared" si="6"/>
        <v>15000</v>
      </c>
    </row>
    <row r="85" spans="1:6" ht="21" x14ac:dyDescent="0.35">
      <c r="A85" s="1017" t="s">
        <v>1147</v>
      </c>
      <c r="B85" s="1038" t="s">
        <v>1171</v>
      </c>
      <c r="C85" s="1014" t="s">
        <v>848</v>
      </c>
      <c r="D85" s="1045">
        <v>1</v>
      </c>
      <c r="E85" s="1023">
        <v>10000</v>
      </c>
      <c r="F85" s="1054">
        <f t="shared" si="6"/>
        <v>10000</v>
      </c>
    </row>
    <row r="86" spans="1:6" ht="21" x14ac:dyDescent="0.35">
      <c r="A86" s="1017" t="s">
        <v>1149</v>
      </c>
      <c r="B86" s="1038" t="s">
        <v>1094</v>
      </c>
      <c r="C86" s="1014" t="s">
        <v>848</v>
      </c>
      <c r="D86" s="1045">
        <v>1</v>
      </c>
      <c r="E86" s="1023">
        <v>20000</v>
      </c>
      <c r="F86" s="1054">
        <f t="shared" si="6"/>
        <v>20000</v>
      </c>
    </row>
    <row r="87" spans="1:6" ht="21" x14ac:dyDescent="0.35">
      <c r="A87" s="1017" t="s">
        <v>1150</v>
      </c>
      <c r="B87" s="1038" t="s">
        <v>1172</v>
      </c>
      <c r="C87" s="1014" t="s">
        <v>848</v>
      </c>
      <c r="D87" s="1045">
        <v>1</v>
      </c>
      <c r="E87" s="1023">
        <v>120000</v>
      </c>
      <c r="F87" s="1054">
        <f t="shared" si="6"/>
        <v>120000</v>
      </c>
    </row>
    <row r="88" spans="1:6" ht="21" x14ac:dyDescent="0.35">
      <c r="A88" s="1017" t="s">
        <v>1368</v>
      </c>
      <c r="B88" s="1038" t="s">
        <v>1163</v>
      </c>
      <c r="C88" s="1014" t="s">
        <v>1019</v>
      </c>
      <c r="D88" s="1038">
        <v>1</v>
      </c>
      <c r="E88" s="1023">
        <v>22000</v>
      </c>
      <c r="F88" s="1054">
        <f t="shared" si="6"/>
        <v>22000</v>
      </c>
    </row>
    <row r="89" spans="1:6" ht="21" x14ac:dyDescent="0.35">
      <c r="A89" s="1017" t="s">
        <v>1369</v>
      </c>
      <c r="B89" s="1038" t="s">
        <v>1164</v>
      </c>
      <c r="C89" s="1014" t="s">
        <v>1019</v>
      </c>
      <c r="D89" s="1038">
        <f>D88</f>
        <v>1</v>
      </c>
      <c r="E89" s="1023">
        <v>35000</v>
      </c>
      <c r="F89" s="1054">
        <f t="shared" si="6"/>
        <v>35000</v>
      </c>
    </row>
    <row r="90" spans="1:6" ht="21" x14ac:dyDescent="0.35">
      <c r="A90" s="1017" t="s">
        <v>1370</v>
      </c>
      <c r="B90" s="1038" t="s">
        <v>1165</v>
      </c>
      <c r="C90" s="1014" t="s">
        <v>1019</v>
      </c>
      <c r="D90" s="1038">
        <f>D88</f>
        <v>1</v>
      </c>
      <c r="E90" s="1023">
        <v>30000</v>
      </c>
      <c r="F90" s="1054">
        <f t="shared" si="6"/>
        <v>30000</v>
      </c>
    </row>
    <row r="91" spans="1:6" ht="21" x14ac:dyDescent="0.35">
      <c r="A91" s="1017" t="s">
        <v>1152</v>
      </c>
      <c r="B91" s="1038" t="s">
        <v>1173</v>
      </c>
      <c r="C91" s="1014" t="s">
        <v>848</v>
      </c>
      <c r="D91" s="1014">
        <v>1</v>
      </c>
      <c r="E91" s="1016">
        <v>50000</v>
      </c>
      <c r="F91" s="1052">
        <f t="shared" si="6"/>
        <v>50000</v>
      </c>
    </row>
    <row r="92" spans="1:6" ht="24" x14ac:dyDescent="0.45">
      <c r="A92" s="1017" t="s">
        <v>1154</v>
      </c>
      <c r="B92" s="1038" t="s">
        <v>1174</v>
      </c>
      <c r="C92" s="1014" t="s">
        <v>848</v>
      </c>
      <c r="D92" s="1014">
        <v>1</v>
      </c>
      <c r="E92" s="1052">
        <v>50000</v>
      </c>
      <c r="F92" s="1052">
        <f t="shared" si="6"/>
        <v>50000</v>
      </c>
    </row>
    <row r="93" spans="1:6" ht="24" x14ac:dyDescent="0.45">
      <c r="A93" s="1017" t="s">
        <v>1156</v>
      </c>
      <c r="B93" s="1129" t="s">
        <v>1175</v>
      </c>
      <c r="C93" s="1129" t="s">
        <v>848</v>
      </c>
      <c r="D93" s="1129">
        <v>1</v>
      </c>
      <c r="E93" s="1052">
        <v>15000</v>
      </c>
      <c r="F93" s="1052">
        <f t="shared" si="6"/>
        <v>15000</v>
      </c>
    </row>
    <row r="94" spans="1:6" ht="21" x14ac:dyDescent="0.35">
      <c r="A94" s="1017" t="s">
        <v>1158</v>
      </c>
      <c r="B94" s="1038" t="s">
        <v>807</v>
      </c>
      <c r="C94" s="1014" t="s">
        <v>750</v>
      </c>
      <c r="D94" s="1038">
        <v>0</v>
      </c>
      <c r="E94" s="1016">
        <v>0</v>
      </c>
      <c r="F94" s="1054">
        <f t="shared" si="6"/>
        <v>0</v>
      </c>
    </row>
    <row r="95" spans="1:6" ht="21" x14ac:dyDescent="0.35">
      <c r="A95" s="1017" t="s">
        <v>1159</v>
      </c>
      <c r="B95" s="1038" t="s">
        <v>841</v>
      </c>
      <c r="C95" s="1014" t="s">
        <v>750</v>
      </c>
      <c r="D95" s="1043">
        <v>1</v>
      </c>
      <c r="E95" s="1016">
        <v>100000</v>
      </c>
      <c r="F95" s="1054">
        <f t="shared" si="6"/>
        <v>100000</v>
      </c>
    </row>
    <row r="96" spans="1:6" ht="21" x14ac:dyDescent="0.35">
      <c r="A96" s="949"/>
      <c r="B96" s="1130"/>
      <c r="C96" s="1129"/>
      <c r="D96" s="1131"/>
      <c r="E96" s="1052"/>
      <c r="F96" s="1052"/>
    </row>
    <row r="97" spans="1:6" ht="15.75" thickBot="1" x14ac:dyDescent="0.3">
      <c r="A97" s="1056"/>
      <c r="B97" s="1003" t="s">
        <v>755</v>
      </c>
      <c r="C97" s="1034"/>
      <c r="D97" s="1034"/>
      <c r="E97" s="1035"/>
      <c r="F97" s="955">
        <f>SUM(F5:F96)</f>
        <v>3921469.3915796182</v>
      </c>
    </row>
    <row r="98" spans="1:6" ht="15.75" thickTop="1" x14ac:dyDescent="0.25"/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workbookViewId="0">
      <selection activeCell="E7" sqref="E7"/>
    </sheetView>
  </sheetViews>
  <sheetFormatPr defaultRowHeight="15" x14ac:dyDescent="0.25"/>
  <cols>
    <col min="1" max="1" width="12.28515625" bestFit="1" customWidth="1"/>
    <col min="2" max="2" width="58.7109375" bestFit="1" customWidth="1"/>
    <col min="4" max="4" width="12" bestFit="1" customWidth="1"/>
    <col min="5" max="5" width="19.28515625" bestFit="1" customWidth="1"/>
    <col min="6" max="6" width="21.7109375" bestFit="1" customWidth="1"/>
  </cols>
  <sheetData>
    <row r="1" spans="1:6" ht="21" x14ac:dyDescent="0.35">
      <c r="A1" s="1046" t="s">
        <v>658</v>
      </c>
      <c r="B1" s="1047" t="s">
        <v>659</v>
      </c>
      <c r="C1" s="1048" t="s">
        <v>660</v>
      </c>
      <c r="D1" s="1049" t="s">
        <v>661</v>
      </c>
      <c r="E1" s="1050" t="s">
        <v>200</v>
      </c>
      <c r="F1" s="1051" t="s">
        <v>662</v>
      </c>
    </row>
    <row r="2" spans="1:6" ht="21" x14ac:dyDescent="0.35">
      <c r="A2" s="1017"/>
      <c r="B2" s="1038"/>
      <c r="C2" s="1014"/>
      <c r="D2" s="1038"/>
      <c r="E2" s="1016"/>
      <c r="F2" s="1052"/>
    </row>
    <row r="3" spans="1:6" ht="21" x14ac:dyDescent="0.35">
      <c r="A3" s="1026" t="s">
        <v>1078</v>
      </c>
      <c r="B3" s="1053" t="s">
        <v>1208</v>
      </c>
      <c r="C3" s="1014"/>
      <c r="D3" s="1038"/>
      <c r="E3" s="1016"/>
      <c r="F3" s="1052"/>
    </row>
    <row r="4" spans="1:6" ht="21" x14ac:dyDescent="0.35">
      <c r="A4" s="1011" t="s">
        <v>1183</v>
      </c>
      <c r="B4" s="1019" t="s">
        <v>579</v>
      </c>
      <c r="C4" s="1014"/>
      <c r="D4" s="1014"/>
      <c r="E4" s="1023"/>
      <c r="F4" s="1052"/>
    </row>
    <row r="5" spans="1:6" ht="21" x14ac:dyDescent="0.35">
      <c r="A5" s="1013" t="s">
        <v>1184</v>
      </c>
      <c r="B5" s="1012" t="s">
        <v>1185</v>
      </c>
      <c r="C5" s="1014" t="s">
        <v>1019</v>
      </c>
      <c r="D5" s="1045">
        <f>'Production Calcs'!B30</f>
        <v>22</v>
      </c>
      <c r="E5" s="1023">
        <v>150000</v>
      </c>
      <c r="F5" s="1052">
        <f t="shared" ref="F5:F16" si="0">D5*E5</f>
        <v>3300000</v>
      </c>
    </row>
    <row r="6" spans="1:6" ht="21" x14ac:dyDescent="0.35">
      <c r="A6" s="1013" t="s">
        <v>1186</v>
      </c>
      <c r="B6" s="1012" t="s">
        <v>1187</v>
      </c>
      <c r="C6" s="1014" t="s">
        <v>1019</v>
      </c>
      <c r="D6" s="1014">
        <f>_xlfn.CEILING.MATH(D5*5,1)</f>
        <v>110</v>
      </c>
      <c r="E6" s="1023">
        <v>1245</v>
      </c>
      <c r="F6" s="1052">
        <f t="shared" si="0"/>
        <v>136950</v>
      </c>
    </row>
    <row r="7" spans="1:6" ht="21" x14ac:dyDescent="0.35">
      <c r="A7" s="1013" t="s">
        <v>1188</v>
      </c>
      <c r="B7" s="1012" t="s">
        <v>1189</v>
      </c>
      <c r="C7" s="1014" t="s">
        <v>1019</v>
      </c>
      <c r="D7" s="1057">
        <f>D5*1.5</f>
        <v>33</v>
      </c>
      <c r="E7" s="1023">
        <v>50000</v>
      </c>
      <c r="F7" s="1052">
        <f t="shared" si="0"/>
        <v>1650000</v>
      </c>
    </row>
    <row r="8" spans="1:6" ht="21" x14ac:dyDescent="0.35">
      <c r="A8" s="1013" t="s">
        <v>1190</v>
      </c>
      <c r="B8" s="1012" t="s">
        <v>1191</v>
      </c>
      <c r="C8" s="1014" t="s">
        <v>750</v>
      </c>
      <c r="D8" s="1057">
        <v>1</v>
      </c>
      <c r="E8" s="1023">
        <v>350000</v>
      </c>
      <c r="F8" s="1052">
        <f t="shared" si="0"/>
        <v>350000</v>
      </c>
    </row>
    <row r="9" spans="1:6" ht="21" x14ac:dyDescent="0.35">
      <c r="A9" s="1013" t="s">
        <v>1192</v>
      </c>
      <c r="B9" s="1012" t="s">
        <v>1193</v>
      </c>
      <c r="C9" s="1014" t="s">
        <v>1019</v>
      </c>
      <c r="D9" s="1057">
        <f>D7</f>
        <v>33</v>
      </c>
      <c r="E9" s="1023">
        <v>3600</v>
      </c>
      <c r="F9" s="1052">
        <f t="shared" si="0"/>
        <v>118800</v>
      </c>
    </row>
    <row r="10" spans="1:6" ht="21" x14ac:dyDescent="0.35">
      <c r="A10" s="1013" t="s">
        <v>1194</v>
      </c>
      <c r="B10" s="1012" t="s">
        <v>1195</v>
      </c>
      <c r="C10" s="1014" t="s">
        <v>1019</v>
      </c>
      <c r="D10" s="1014">
        <v>4</v>
      </c>
      <c r="E10" s="1023">
        <v>14000</v>
      </c>
      <c r="F10" s="1052">
        <f t="shared" si="0"/>
        <v>56000</v>
      </c>
    </row>
    <row r="11" spans="1:6" ht="21" x14ac:dyDescent="0.35">
      <c r="A11" s="1013" t="s">
        <v>1196</v>
      </c>
      <c r="B11" s="1012" t="s">
        <v>1197</v>
      </c>
      <c r="C11" s="1014" t="s">
        <v>1019</v>
      </c>
      <c r="D11" s="1014">
        <f>D5*2</f>
        <v>44</v>
      </c>
      <c r="E11" s="1023">
        <v>10590</v>
      </c>
      <c r="F11" s="1052">
        <f t="shared" si="0"/>
        <v>465960</v>
      </c>
    </row>
    <row r="12" spans="1:6" ht="21" x14ac:dyDescent="0.35">
      <c r="A12" s="1013" t="s">
        <v>1198</v>
      </c>
      <c r="B12" s="1012" t="s">
        <v>1199</v>
      </c>
      <c r="C12" s="1014" t="s">
        <v>1019</v>
      </c>
      <c r="D12" s="1014">
        <f>D5*2</f>
        <v>44</v>
      </c>
      <c r="E12" s="1023">
        <v>300</v>
      </c>
      <c r="F12" s="1052">
        <f t="shared" si="0"/>
        <v>13200</v>
      </c>
    </row>
    <row r="13" spans="1:6" ht="21" x14ac:dyDescent="0.35">
      <c r="A13" s="1013" t="s">
        <v>1200</v>
      </c>
      <c r="B13" s="1012" t="s">
        <v>1201</v>
      </c>
      <c r="C13" s="1014" t="s">
        <v>750</v>
      </c>
      <c r="D13" s="1014">
        <v>1</v>
      </c>
      <c r="E13" s="1023">
        <v>500000</v>
      </c>
      <c r="F13" s="1052">
        <f t="shared" si="0"/>
        <v>500000</v>
      </c>
    </row>
    <row r="14" spans="1:6" ht="21" x14ac:dyDescent="0.35">
      <c r="A14" s="1013" t="s">
        <v>1202</v>
      </c>
      <c r="B14" s="1012" t="s">
        <v>1203</v>
      </c>
      <c r="C14" s="1014" t="s">
        <v>750</v>
      </c>
      <c r="D14" s="1014">
        <v>1</v>
      </c>
      <c r="E14" s="1023">
        <v>350000</v>
      </c>
      <c r="F14" s="1052">
        <f t="shared" si="0"/>
        <v>350000</v>
      </c>
    </row>
    <row r="15" spans="1:6" ht="21" x14ac:dyDescent="0.35">
      <c r="A15" s="1013" t="s">
        <v>1204</v>
      </c>
      <c r="B15" s="1012" t="s">
        <v>1205</v>
      </c>
      <c r="C15" s="1014" t="s">
        <v>750</v>
      </c>
      <c r="D15" s="1014">
        <v>1</v>
      </c>
      <c r="E15" s="1023">
        <v>150000</v>
      </c>
      <c r="F15" s="1052">
        <f t="shared" si="0"/>
        <v>150000</v>
      </c>
    </row>
    <row r="16" spans="1:6" ht="21" x14ac:dyDescent="0.35">
      <c r="A16" s="1013" t="s">
        <v>1206</v>
      </c>
      <c r="B16" s="1012" t="s">
        <v>841</v>
      </c>
      <c r="C16" s="1014" t="s">
        <v>750</v>
      </c>
      <c r="D16" s="1045">
        <v>1</v>
      </c>
      <c r="E16" s="1023">
        <v>250000</v>
      </c>
      <c r="F16" s="1052">
        <f t="shared" si="0"/>
        <v>250000</v>
      </c>
    </row>
    <row r="17" spans="1:6" ht="21" x14ac:dyDescent="0.35">
      <c r="A17" s="1013"/>
      <c r="B17" s="1019"/>
      <c r="C17" s="1014"/>
      <c r="D17" s="1038"/>
      <c r="E17" s="1058"/>
      <c r="F17" s="1061"/>
    </row>
    <row r="18" spans="1:6" ht="15.75" thickBot="1" x14ac:dyDescent="0.3">
      <c r="A18" s="1056"/>
      <c r="B18" s="1003" t="s">
        <v>755</v>
      </c>
      <c r="C18" s="1034"/>
      <c r="D18" s="1034"/>
      <c r="E18" s="1035"/>
      <c r="F18" s="955">
        <f>SUM(F5:F16)</f>
        <v>7340910</v>
      </c>
    </row>
    <row r="19" spans="1:6" ht="15.75" thickTop="1" x14ac:dyDescent="0.25"/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topLeftCell="A4" workbookViewId="0">
      <selection sqref="A1:XFD1048576"/>
    </sheetView>
  </sheetViews>
  <sheetFormatPr defaultColWidth="9.140625" defaultRowHeight="15" x14ac:dyDescent="0.25"/>
  <cols>
    <col min="1" max="1" width="9.140625" style="1030"/>
    <col min="2" max="2" width="84.85546875" style="945" customWidth="1"/>
    <col min="3" max="3" width="6.7109375" style="945" customWidth="1"/>
    <col min="4" max="4" width="13.5703125" style="945" customWidth="1"/>
    <col min="5" max="5" width="14.85546875" style="971" bestFit="1" customWidth="1"/>
    <col min="6" max="6" width="19.5703125" style="971" bestFit="1" customWidth="1"/>
    <col min="7" max="16384" width="9.140625" style="945"/>
  </cols>
  <sheetData>
    <row r="1" spans="1:6" x14ac:dyDescent="0.25">
      <c r="A1" s="996" t="s">
        <v>658</v>
      </c>
      <c r="B1" s="995" t="s">
        <v>659</v>
      </c>
      <c r="C1" s="996" t="s">
        <v>660</v>
      </c>
      <c r="D1" s="997" t="s">
        <v>661</v>
      </c>
      <c r="E1" s="998" t="s">
        <v>200</v>
      </c>
      <c r="F1" s="999" t="s">
        <v>662</v>
      </c>
    </row>
    <row r="2" spans="1:6" x14ac:dyDescent="0.25">
      <c r="A2" s="1027"/>
      <c r="C2" s="949"/>
      <c r="D2" s="949"/>
      <c r="F2" s="972"/>
    </row>
    <row r="3" spans="1:6" x14ac:dyDescent="0.25">
      <c r="A3" s="946" t="s">
        <v>1209</v>
      </c>
      <c r="B3" s="973" t="s">
        <v>1210</v>
      </c>
      <c r="C3" s="949"/>
      <c r="D3" s="949"/>
      <c r="F3" s="972"/>
    </row>
    <row r="4" spans="1:6" x14ac:dyDescent="0.25">
      <c r="A4" s="1027" t="s">
        <v>1211</v>
      </c>
      <c r="B4" s="945" t="s">
        <v>950</v>
      </c>
      <c r="C4" s="949" t="s">
        <v>1019</v>
      </c>
      <c r="D4" s="949">
        <v>1</v>
      </c>
      <c r="E4" s="971">
        <v>7500</v>
      </c>
      <c r="F4" s="972">
        <f>D4*E4</f>
        <v>7500</v>
      </c>
    </row>
    <row r="5" spans="1:6" x14ac:dyDescent="0.25">
      <c r="A5" s="1027" t="s">
        <v>1212</v>
      </c>
      <c r="B5" s="974" t="s">
        <v>1213</v>
      </c>
      <c r="C5" s="949" t="s">
        <v>1019</v>
      </c>
      <c r="D5" s="949">
        <v>1</v>
      </c>
      <c r="E5" s="971">
        <v>200000</v>
      </c>
      <c r="F5" s="972">
        <f>D5*E5</f>
        <v>200000</v>
      </c>
    </row>
    <row r="6" spans="1:6" x14ac:dyDescent="0.25">
      <c r="A6" s="1027" t="s">
        <v>1214</v>
      </c>
      <c r="B6" s="974" t="s">
        <v>339</v>
      </c>
      <c r="C6" s="949" t="s">
        <v>1019</v>
      </c>
      <c r="D6" s="949">
        <v>1</v>
      </c>
      <c r="E6" s="971">
        <v>400000</v>
      </c>
      <c r="F6" s="972">
        <f>D6*E6</f>
        <v>400000</v>
      </c>
    </row>
    <row r="7" spans="1:6" x14ac:dyDescent="0.25">
      <c r="A7" s="1027" t="s">
        <v>1215</v>
      </c>
      <c r="B7" s="974" t="s">
        <v>1216</v>
      </c>
      <c r="C7" s="949" t="s">
        <v>1019</v>
      </c>
      <c r="D7" s="949">
        <v>1</v>
      </c>
      <c r="E7" s="1009">
        <v>1500000</v>
      </c>
      <c r="F7" s="972">
        <f t="shared" ref="F7:F8" si="0">D7*E7</f>
        <v>1500000</v>
      </c>
    </row>
    <row r="8" spans="1:6" x14ac:dyDescent="0.25">
      <c r="A8" s="1027" t="s">
        <v>1217</v>
      </c>
      <c r="B8" s="974" t="s">
        <v>338</v>
      </c>
      <c r="C8" s="1007" t="s">
        <v>1019</v>
      </c>
      <c r="D8" s="1007">
        <v>1</v>
      </c>
      <c r="E8" s="971">
        <v>250000</v>
      </c>
      <c r="F8" s="972">
        <f t="shared" si="0"/>
        <v>250000</v>
      </c>
    </row>
    <row r="9" spans="1:6" x14ac:dyDescent="0.25">
      <c r="A9" s="1027"/>
      <c r="B9" s="992"/>
      <c r="C9" s="992"/>
      <c r="D9" s="992"/>
      <c r="E9" s="993"/>
      <c r="F9" s="993"/>
    </row>
    <row r="10" spans="1:6" ht="15.75" thickBot="1" x14ac:dyDescent="0.3">
      <c r="A10" s="1056"/>
      <c r="B10" s="1003" t="s">
        <v>755</v>
      </c>
      <c r="C10" s="1034"/>
      <c r="D10" s="1034"/>
      <c r="E10" s="1035"/>
      <c r="F10" s="955">
        <f>SUM(F4:F8)</f>
        <v>2357500</v>
      </c>
    </row>
    <row r="11" spans="1:6" ht="15.75" thickTop="1" x14ac:dyDescent="0.25"/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"/>
  <sheetViews>
    <sheetView workbookViewId="0">
      <selection sqref="A1:XFD1048576"/>
    </sheetView>
  </sheetViews>
  <sheetFormatPr defaultColWidth="9.140625" defaultRowHeight="15" x14ac:dyDescent="0.25"/>
  <cols>
    <col min="1" max="1" width="9.140625" style="1030"/>
    <col min="2" max="2" width="84.85546875" style="945" customWidth="1"/>
    <col min="3" max="3" width="6.7109375" style="945" customWidth="1"/>
    <col min="4" max="4" width="13.5703125" style="945" customWidth="1"/>
    <col min="5" max="5" width="13.5703125" style="971" customWidth="1"/>
    <col min="6" max="6" width="18.5703125" style="971" customWidth="1"/>
    <col min="7" max="16384" width="9.140625" style="945"/>
  </cols>
  <sheetData>
    <row r="1" spans="1:6" x14ac:dyDescent="0.25">
      <c r="A1" s="996" t="s">
        <v>658</v>
      </c>
      <c r="B1" s="995" t="s">
        <v>659</v>
      </c>
      <c r="C1" s="996" t="s">
        <v>660</v>
      </c>
      <c r="D1" s="997" t="s">
        <v>661</v>
      </c>
      <c r="E1" s="998" t="s">
        <v>200</v>
      </c>
      <c r="F1" s="999" t="s">
        <v>662</v>
      </c>
    </row>
    <row r="2" spans="1:6" x14ac:dyDescent="0.25">
      <c r="A2" s="1027"/>
      <c r="C2" s="949"/>
      <c r="D2" s="949"/>
      <c r="F2" s="972"/>
    </row>
    <row r="3" spans="1:6" x14ac:dyDescent="0.25">
      <c r="A3" s="946" t="s">
        <v>1218</v>
      </c>
      <c r="B3" s="973" t="s">
        <v>1219</v>
      </c>
      <c r="C3" s="949"/>
      <c r="D3" s="949"/>
      <c r="F3" s="972"/>
    </row>
    <row r="4" spans="1:6" x14ac:dyDescent="0.25">
      <c r="A4" s="947" t="s">
        <v>1220</v>
      </c>
      <c r="B4" s="976" t="s">
        <v>1221</v>
      </c>
      <c r="C4" s="949"/>
      <c r="D4" s="949"/>
      <c r="F4" s="972"/>
    </row>
    <row r="5" spans="1:6" x14ac:dyDescent="0.25">
      <c r="A5" s="1027" t="s">
        <v>1222</v>
      </c>
      <c r="B5" s="945" t="s">
        <v>1223</v>
      </c>
      <c r="C5" s="949" t="s">
        <v>750</v>
      </c>
      <c r="D5" s="949">
        <v>5</v>
      </c>
      <c r="E5" s="971">
        <v>50000</v>
      </c>
      <c r="F5" s="972">
        <f>D5*E5</f>
        <v>250000</v>
      </c>
    </row>
    <row r="6" spans="1:6" x14ac:dyDescent="0.25">
      <c r="A6" s="1027" t="s">
        <v>1224</v>
      </c>
      <c r="B6" s="945" t="s">
        <v>1225</v>
      </c>
      <c r="C6" s="949" t="s">
        <v>750</v>
      </c>
      <c r="D6" s="949">
        <v>0</v>
      </c>
      <c r="E6" s="971">
        <v>0</v>
      </c>
      <c r="F6" s="972">
        <f t="shared" ref="F6:F7" si="0">D6*E6</f>
        <v>0</v>
      </c>
    </row>
    <row r="7" spans="1:6" x14ac:dyDescent="0.25">
      <c r="A7" s="1027" t="s">
        <v>1226</v>
      </c>
      <c r="B7" s="945" t="s">
        <v>1227</v>
      </c>
      <c r="C7" s="949" t="s">
        <v>750</v>
      </c>
      <c r="D7" s="949">
        <v>0</v>
      </c>
      <c r="E7" s="971">
        <v>0</v>
      </c>
      <c r="F7" s="972">
        <f t="shared" si="0"/>
        <v>0</v>
      </c>
    </row>
    <row r="8" spans="1:6" x14ac:dyDescent="0.25">
      <c r="A8" s="1027"/>
      <c r="C8" s="949"/>
      <c r="D8" s="949"/>
      <c r="F8" s="972"/>
    </row>
    <row r="9" spans="1:6" ht="15.75" thickBot="1" x14ac:dyDescent="0.3">
      <c r="A9" s="1056"/>
      <c r="B9" s="1003" t="s">
        <v>755</v>
      </c>
      <c r="C9" s="1034"/>
      <c r="D9" s="1034"/>
      <c r="E9" s="1035"/>
      <c r="F9" s="955">
        <f>SUM(F5:F8)</f>
        <v>250000</v>
      </c>
    </row>
    <row r="10" spans="1:6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U56"/>
  <sheetViews>
    <sheetView topLeftCell="A56" zoomScale="70" zoomScaleNormal="70" zoomScalePageLayoutView="80" workbookViewId="0">
      <selection activeCell="D81" sqref="D81:D82"/>
    </sheetView>
  </sheetViews>
  <sheetFormatPr defaultColWidth="8.85546875" defaultRowHeight="16.5" x14ac:dyDescent="0.3"/>
  <cols>
    <col min="1" max="1" width="1.42578125" style="6" customWidth="1"/>
    <col min="2" max="2" width="41.85546875" style="85" customWidth="1"/>
    <col min="3" max="3" width="10" style="85" customWidth="1"/>
    <col min="4" max="5" width="13" style="85" customWidth="1"/>
    <col min="6" max="13" width="11.7109375" style="85" customWidth="1"/>
    <col min="14" max="16384" width="8.85546875" style="6"/>
  </cols>
  <sheetData>
    <row r="1" spans="2:13" ht="42.75" customHeight="1" x14ac:dyDescent="0.25">
      <c r="B1" s="88"/>
      <c r="C1" s="576" t="s">
        <v>529</v>
      </c>
      <c r="D1" s="88"/>
      <c r="E1" s="86"/>
      <c r="F1" s="86"/>
      <c r="G1" s="86"/>
      <c r="H1" s="86"/>
      <c r="I1" s="86"/>
      <c r="J1" s="87"/>
      <c r="K1" s="98"/>
      <c r="L1" s="88"/>
      <c r="M1" s="86"/>
    </row>
    <row r="2" spans="2:13" ht="15" customHeight="1" x14ac:dyDescent="0.25">
      <c r="B2" s="1326" t="s">
        <v>100</v>
      </c>
      <c r="C2" s="1326"/>
      <c r="D2" s="518"/>
      <c r="E2" s="56"/>
      <c r="F2" s="56"/>
      <c r="G2" s="56"/>
      <c r="H2" s="56"/>
      <c r="I2" s="56"/>
      <c r="J2" s="56"/>
      <c r="K2" s="56"/>
      <c r="L2" s="56"/>
      <c r="M2" s="56"/>
    </row>
    <row r="3" spans="2:13" ht="15" customHeight="1" x14ac:dyDescent="0.25">
      <c r="B3" s="1326"/>
      <c r="C3" s="1326"/>
      <c r="D3" s="518"/>
      <c r="E3" s="56"/>
      <c r="F3" s="56"/>
      <c r="G3" s="56"/>
      <c r="H3" s="56"/>
      <c r="I3" s="56"/>
      <c r="J3" s="56"/>
      <c r="K3" s="56"/>
      <c r="L3" s="56"/>
      <c r="M3" s="56"/>
    </row>
    <row r="4" spans="2:13" s="90" customFormat="1" ht="15" customHeight="1" thickBot="1" x14ac:dyDescent="0.3">
      <c r="B4" s="1326"/>
      <c r="C4" s="1326"/>
      <c r="D4" s="1328" t="s">
        <v>102</v>
      </c>
      <c r="E4" s="1328"/>
      <c r="F4" s="1328"/>
      <c r="G4" s="1328"/>
      <c r="H4" s="1328"/>
      <c r="I4" s="1328"/>
      <c r="J4" s="1328"/>
      <c r="K4" s="1328"/>
      <c r="L4" s="1328"/>
      <c r="M4" s="1329"/>
    </row>
    <row r="5" spans="2:13" ht="15" customHeight="1" thickBot="1" x14ac:dyDescent="0.35">
      <c r="B5" s="99"/>
      <c r="C5" s="148" t="s">
        <v>103</v>
      </c>
      <c r="D5" s="100" t="s">
        <v>454</v>
      </c>
      <c r="E5" s="100" t="s">
        <v>455</v>
      </c>
      <c r="F5" s="100" t="s">
        <v>456</v>
      </c>
      <c r="G5" s="100" t="s">
        <v>457</v>
      </c>
      <c r="H5" s="100" t="s">
        <v>458</v>
      </c>
      <c r="I5" s="100" t="s">
        <v>459</v>
      </c>
      <c r="J5" s="100" t="s">
        <v>460</v>
      </c>
      <c r="K5" s="100" t="s">
        <v>461</v>
      </c>
      <c r="L5" s="100" t="s">
        <v>462</v>
      </c>
      <c r="M5" s="100" t="s">
        <v>463</v>
      </c>
    </row>
    <row r="6" spans="2:13" s="71" customFormat="1" ht="26.25" customHeight="1" x14ac:dyDescent="0.3">
      <c r="B6" s="94" t="s">
        <v>101</v>
      </c>
      <c r="C6" s="143">
        <v>1</v>
      </c>
      <c r="D6" s="112">
        <f>SUM('Monthly FS'!D8:O8)/1000</f>
        <v>0</v>
      </c>
      <c r="E6" s="112">
        <f>SUM('Monthly FS'!P8:AA8)/1000</f>
        <v>0</v>
      </c>
      <c r="F6" s="112">
        <f>SUM('Monthly FS'!AB8:AM8)/1000</f>
        <v>6914.1301558504438</v>
      </c>
      <c r="G6" s="112">
        <f>SUM('Monthly FS'!AN8:AY8)/1000</f>
        <v>43671.72243011884</v>
      </c>
      <c r="H6" s="112">
        <f>SUM('Monthly FS'!AZ8:BK8)/1000</f>
        <v>46423.040943216314</v>
      </c>
      <c r="I6" s="112">
        <f>SUM('Monthly FS'!BL8:BW8)/1000</f>
        <v>49347.69252263895</v>
      </c>
      <c r="J6" s="112">
        <f>SUM('Monthly FS'!BX8:CI8)/1000</f>
        <v>52456.597151565191</v>
      </c>
      <c r="K6" s="112">
        <f>SUM('Monthly FS'!CJ8:CU8)/1000</f>
        <v>55761.362772113782</v>
      </c>
      <c r="L6" s="112">
        <f>SUM('Monthly FS'!CV8:DG8)/1000</f>
        <v>59274.328626756971</v>
      </c>
      <c r="M6" s="112">
        <f>SUM('Monthly FS'!DH8:DS8)/1000</f>
        <v>63008.611330242646</v>
      </c>
    </row>
    <row r="7" spans="2:13" ht="18.75" customHeight="1" x14ac:dyDescent="0.25">
      <c r="B7" s="95" t="s">
        <v>300</v>
      </c>
      <c r="C7" s="353"/>
      <c r="D7" s="113">
        <f>SUM('Monthly FS'!D9:O9)/1000</f>
        <v>0</v>
      </c>
      <c r="E7" s="113">
        <f>SUM('Monthly FS'!P9:AA9)/1000</f>
        <v>0</v>
      </c>
      <c r="F7" s="113">
        <f>SUM('Monthly FS'!AB9:AM9)/1000</f>
        <v>0</v>
      </c>
      <c r="G7" s="113">
        <f>SUM('Monthly FS'!AN9:AY9)/1000</f>
        <v>0</v>
      </c>
      <c r="H7" s="113">
        <f>SUM('Monthly FS'!AZ9:BK9)/1000</f>
        <v>0</v>
      </c>
      <c r="I7" s="113">
        <f>SUM('Monthly FS'!BL9:BW9)/1000</f>
        <v>0</v>
      </c>
      <c r="J7" s="113">
        <f>SUM('Monthly FS'!BX9:CI9)/1000</f>
        <v>0</v>
      </c>
      <c r="K7" s="113">
        <f>SUM('Monthly FS'!CJ9:CU9)/1000</f>
        <v>0</v>
      </c>
      <c r="L7" s="113">
        <f>SUM('Monthly FS'!CV9:DG9)/1000</f>
        <v>0</v>
      </c>
      <c r="M7" s="113">
        <f>SUM('Monthly FS'!DH9:DS9)/1000</f>
        <v>0</v>
      </c>
    </row>
    <row r="8" spans="2:13" ht="18.75" customHeight="1" x14ac:dyDescent="0.25">
      <c r="B8" s="95" t="s">
        <v>178</v>
      </c>
      <c r="C8" s="145">
        <v>2</v>
      </c>
      <c r="D8" s="113">
        <f>SUM('Monthly FS'!D10:O10)/1000</f>
        <v>0</v>
      </c>
      <c r="E8" s="113">
        <f>SUM('Monthly FS'!P10:AA10)/1000</f>
        <v>0</v>
      </c>
      <c r="F8" s="113">
        <f>SUM('Monthly FS'!AB10:AM10)/1000</f>
        <v>-990.00650768276307</v>
      </c>
      <c r="G8" s="113">
        <f>SUM('Monthly FS'!AN10:AY10)/1000</f>
        <v>-4460.7287321598842</v>
      </c>
      <c r="H8" s="113">
        <f>SUM('Monthly FS'!AZ10:BK10)/1000</f>
        <v>-4918.2159496035465</v>
      </c>
      <c r="I8" s="113">
        <f>SUM('Monthly FS'!BL10:BW10)/1000</f>
        <v>-5427.45936139692</v>
      </c>
      <c r="J8" s="113">
        <f>SUM('Monthly FS'!BX10:CI10)/1000</f>
        <v>-6009.1281642847225</v>
      </c>
      <c r="K8" s="113">
        <f>SUM('Monthly FS'!CJ10:CU10)/1000</f>
        <v>-6626.9610422598689</v>
      </c>
      <c r="L8" s="113">
        <f>SUM('Monthly FS'!CV10:DG10)/1000</f>
        <v>-7332.1435216679838</v>
      </c>
      <c r="M8" s="113">
        <f>SUM('Monthly FS'!DH10:DS10)/1000</f>
        <v>-8119.1424904638116</v>
      </c>
    </row>
    <row r="9" spans="2:13" ht="18.75" customHeight="1" x14ac:dyDescent="0.25">
      <c r="B9" s="284" t="s">
        <v>161</v>
      </c>
      <c r="C9" s="145">
        <v>3</v>
      </c>
      <c r="D9" s="113">
        <f>SUM('Monthly FS'!D11:O11)/1000</f>
        <v>-321.15332774859439</v>
      </c>
      <c r="E9" s="113">
        <f>SUM('Monthly FS'!P11:AA11)/1000</f>
        <v>-7384.9031071462914</v>
      </c>
      <c r="F9" s="113">
        <f>SUM('Monthly FS'!AB11:AM11)/1000</f>
        <v>-20655.538631902036</v>
      </c>
      <c r="G9" s="113">
        <f>SUM('Monthly FS'!AN11:AY11)/1000</f>
        <v>-32059.117701930016</v>
      </c>
      <c r="H9" s="113">
        <f>SUM('Monthly FS'!AZ11:BK11)/1000</f>
        <v>-34301.733055007498</v>
      </c>
      <c r="I9" s="113">
        <f>SUM('Monthly FS'!BL11:BW11)/1000</f>
        <v>-38758.834389186028</v>
      </c>
      <c r="J9" s="113">
        <f>SUM('Monthly FS'!BX11:CI11)/1000</f>
        <v>-38900.803752915235</v>
      </c>
      <c r="K9" s="113">
        <f>SUM('Monthly FS'!CJ11:CU11)/1000</f>
        <v>-41404.259161847724</v>
      </c>
      <c r="L9" s="113">
        <f>SUM('Monthly FS'!CV11:DG11)/1000</f>
        <v>-44092.453617585474</v>
      </c>
      <c r="M9" s="113">
        <f>SUM('Monthly FS'!DH11:DS11)/1000</f>
        <v>-49775.725692522879</v>
      </c>
    </row>
    <row r="10" spans="2:13" ht="18.75" customHeight="1" thickBot="1" x14ac:dyDescent="0.3">
      <c r="B10" s="95" t="s">
        <v>162</v>
      </c>
      <c r="C10" s="145">
        <v>4</v>
      </c>
      <c r="D10" s="115">
        <f>SUM('Monthly FS'!D12:O12)/1000</f>
        <v>-620.58333333333326</v>
      </c>
      <c r="E10" s="115">
        <f>SUM('Monthly FS'!P12:AA12)/1000</f>
        <v>-4011.2304999999988</v>
      </c>
      <c r="F10" s="115">
        <f>SUM('Monthly FS'!AB12:AM12)/1000</f>
        <v>-4758.2731254999981</v>
      </c>
      <c r="G10" s="115">
        <f>SUM('Monthly FS'!AN12:AY12)/1000</f>
        <v>-5080.2937302864993</v>
      </c>
      <c r="H10" s="115">
        <f>SUM('Monthly FS'!AZ12:BK12)/1000</f>
        <v>-5400.3522352945465</v>
      </c>
      <c r="I10" s="115">
        <f>SUM('Monthly FS'!BL12:BW12)/1000</f>
        <v>-5740.5744261181035</v>
      </c>
      <c r="J10" s="115">
        <f>SUM('Monthly FS'!BX12:CI12)/1000</f>
        <v>-6102.2306149635451</v>
      </c>
      <c r="K10" s="115">
        <f>SUM('Monthly FS'!CJ12:CU12)/1000</f>
        <v>-6486.6711437062468</v>
      </c>
      <c r="L10" s="115">
        <f>SUM('Monthly FS'!CV12:DG12)/1000</f>
        <v>-6895.3314257597367</v>
      </c>
      <c r="M10" s="115">
        <f>SUM('Monthly FS'!DH12:DS12)/1000</f>
        <v>-7329.7373055826047</v>
      </c>
    </row>
    <row r="11" spans="2:13" s="71" customFormat="1" ht="26.25" customHeight="1" x14ac:dyDescent="0.3">
      <c r="B11" s="97" t="s">
        <v>50</v>
      </c>
      <c r="C11" s="146"/>
      <c r="D11" s="112">
        <f t="shared" ref="D11" si="0">SUM(D6:D10)</f>
        <v>-941.73666108192765</v>
      </c>
      <c r="E11" s="112">
        <f>SUM(E6:E10)</f>
        <v>-11396.13360714629</v>
      </c>
      <c r="F11" s="112">
        <f t="shared" ref="F11:M11" si="1">SUM(F6:F10)</f>
        <v>-19489.688109234354</v>
      </c>
      <c r="G11" s="112">
        <f t="shared" si="1"/>
        <v>2071.5822657424396</v>
      </c>
      <c r="H11" s="112">
        <f t="shared" si="1"/>
        <v>1802.7397033107236</v>
      </c>
      <c r="I11" s="112">
        <f t="shared" si="1"/>
        <v>-579.17565406209997</v>
      </c>
      <c r="J11" s="112">
        <f t="shared" si="1"/>
        <v>1444.4346194016862</v>
      </c>
      <c r="K11" s="112">
        <f t="shared" si="1"/>
        <v>1243.4714242999407</v>
      </c>
      <c r="L11" s="112">
        <f t="shared" si="1"/>
        <v>954.40006174377868</v>
      </c>
      <c r="M11" s="112">
        <f t="shared" si="1"/>
        <v>-2215.99415832665</v>
      </c>
    </row>
    <row r="12" spans="2:13" ht="18.75" customHeight="1" thickBot="1" x14ac:dyDescent="0.3">
      <c r="B12" s="95" t="s">
        <v>104</v>
      </c>
      <c r="C12" s="145">
        <v>5</v>
      </c>
      <c r="D12" s="115">
        <f>SUM('Monthly FS'!D14:O14)/1000</f>
        <v>-2603.3338783159238</v>
      </c>
      <c r="E12" s="115">
        <f>SUM('Monthly FS'!P14:AA14)/1000</f>
        <v>-3337.4248783159233</v>
      </c>
      <c r="F12" s="115">
        <f>SUM('Monthly FS'!AB14:AM14)/1000</f>
        <v>-3337.4248783159233</v>
      </c>
      <c r="G12" s="115">
        <f>SUM('Monthly FS'!AN14:AY14)/1000</f>
        <v>-3337.4248783159233</v>
      </c>
      <c r="H12" s="115">
        <f>SUM('Monthly FS'!AZ14:BK14)/1000</f>
        <v>-3337.4248783159233</v>
      </c>
      <c r="I12" s="115">
        <f>SUM('Monthly FS'!BL14:BW14)/1000</f>
        <v>-1797.1809999999998</v>
      </c>
      <c r="J12" s="115">
        <f>SUM('Monthly FS'!BX14:CI14)/1000</f>
        <v>-1797.1809999999998</v>
      </c>
      <c r="K12" s="115">
        <f>SUM('Monthly FS'!CJ14:CU14)/1000</f>
        <v>-1797.1809999999998</v>
      </c>
      <c r="L12" s="115">
        <f>SUM('Monthly FS'!CV14:DG14)/1000</f>
        <v>-1797.1809999999998</v>
      </c>
      <c r="M12" s="115">
        <f>SUM('Monthly FS'!DH14:DS14)/1000</f>
        <v>-1797.1809999999998</v>
      </c>
    </row>
    <row r="13" spans="2:13" s="71" customFormat="1" ht="26.25" customHeight="1" x14ac:dyDescent="0.3">
      <c r="B13" s="96" t="s">
        <v>105</v>
      </c>
      <c r="C13" s="145"/>
      <c r="D13" s="116">
        <f t="shared" ref="D13" si="2">SUM(D11:D12)</f>
        <v>-3545.0705393978515</v>
      </c>
      <c r="E13" s="116">
        <f>SUM(E11:E12)</f>
        <v>-14733.558485462214</v>
      </c>
      <c r="F13" s="116">
        <f t="shared" ref="F13:M13" si="3">SUM(F11:F12)</f>
        <v>-22827.112987550277</v>
      </c>
      <c r="G13" s="116">
        <f t="shared" si="3"/>
        <v>-1265.8426125734836</v>
      </c>
      <c r="H13" s="116">
        <f t="shared" si="3"/>
        <v>-1534.6851750051997</v>
      </c>
      <c r="I13" s="116">
        <f t="shared" si="3"/>
        <v>-2376.3566540620996</v>
      </c>
      <c r="J13" s="116">
        <f t="shared" si="3"/>
        <v>-352.74638059831364</v>
      </c>
      <c r="K13" s="116">
        <f t="shared" si="3"/>
        <v>-553.70957570005908</v>
      </c>
      <c r="L13" s="116">
        <f t="shared" si="3"/>
        <v>-842.78093825622113</v>
      </c>
      <c r="M13" s="116">
        <f t="shared" si="3"/>
        <v>-4013.1751583266496</v>
      </c>
    </row>
    <row r="14" spans="2:13" ht="19.5" customHeight="1" x14ac:dyDescent="0.25">
      <c r="B14" s="95" t="s">
        <v>106</v>
      </c>
      <c r="C14" s="147">
        <v>6</v>
      </c>
      <c r="D14" s="113">
        <f>SUM('Monthly FS'!D16:O16)/1000</f>
        <v>0</v>
      </c>
      <c r="E14" s="113">
        <f>SUM('Monthly FS'!P16:AA16)/1000</f>
        <v>0</v>
      </c>
      <c r="F14" s="113">
        <f>SUM('Monthly FS'!AB16:AM16)/1000</f>
        <v>0</v>
      </c>
      <c r="G14" s="113">
        <f>SUM('Monthly FS'!AN16:AY16)/1000</f>
        <v>0</v>
      </c>
      <c r="H14" s="113">
        <f>SUM('Monthly FS'!AZ16:BK16)/1000</f>
        <v>0</v>
      </c>
      <c r="I14" s="113">
        <f>SUM('Monthly FS'!BL16:BW16)/1000</f>
        <v>0</v>
      </c>
      <c r="J14" s="113">
        <f>SUM('Monthly FS'!BX16:CI16)/1000</f>
        <v>0</v>
      </c>
      <c r="K14" s="113">
        <f>SUM('Monthly FS'!CJ16:CU16)/1000</f>
        <v>0</v>
      </c>
      <c r="L14" s="113">
        <f>SUM('Monthly FS'!CV16:DG16)/1000</f>
        <v>0</v>
      </c>
      <c r="M14" s="113">
        <f>SUM('Monthly FS'!DH16:DS16)/1000</f>
        <v>0</v>
      </c>
    </row>
    <row r="15" spans="2:13" ht="18.75" customHeight="1" thickBot="1" x14ac:dyDescent="0.3">
      <c r="B15" s="95" t="s">
        <v>92</v>
      </c>
      <c r="C15" s="147">
        <v>7</v>
      </c>
      <c r="D15" s="115">
        <f>SUM('Monthly FS'!D17:O17)/1000</f>
        <v>0</v>
      </c>
      <c r="E15" s="115">
        <f>SUM('Monthly FS'!P17:AA17)/1000</f>
        <v>0</v>
      </c>
      <c r="F15" s="115">
        <f>SUM('Monthly FS'!AB17:AM17)/1000</f>
        <v>0</v>
      </c>
      <c r="G15" s="115">
        <f>SUM('Monthly FS'!AN17:AY17)/1000</f>
        <v>0</v>
      </c>
      <c r="H15" s="115">
        <f>SUM('Monthly FS'!AZ17:BK17)/1000</f>
        <v>0</v>
      </c>
      <c r="I15" s="115">
        <f>SUM('Monthly FS'!BL17:BW17)/1000</f>
        <v>0</v>
      </c>
      <c r="J15" s="115">
        <f>SUM('Monthly FS'!BX17:CI17)/1000</f>
        <v>0</v>
      </c>
      <c r="K15" s="115">
        <f>SUM('Monthly FS'!CJ17:CU17)/1000</f>
        <v>0</v>
      </c>
      <c r="L15" s="115">
        <f>SUM('Monthly FS'!CV17:DG17)/1000</f>
        <v>0</v>
      </c>
      <c r="M15" s="115">
        <f>SUM('Monthly FS'!DH17:DS17)/1000</f>
        <v>0</v>
      </c>
    </row>
    <row r="16" spans="2:13" s="71" customFormat="1" ht="26.25" customHeight="1" x14ac:dyDescent="0.3">
      <c r="B16" s="96" t="s">
        <v>107</v>
      </c>
      <c r="C16" s="145"/>
      <c r="D16" s="116">
        <f t="shared" ref="D16" si="4">SUM(D13:D15)</f>
        <v>-3545.0705393978515</v>
      </c>
      <c r="E16" s="116">
        <f>SUM(E13:E15)</f>
        <v>-14733.558485462214</v>
      </c>
      <c r="F16" s="116">
        <f t="shared" ref="F16:M16" si="5">SUM(F13:F15)</f>
        <v>-22827.112987550277</v>
      </c>
      <c r="G16" s="116">
        <f t="shared" si="5"/>
        <v>-1265.8426125734836</v>
      </c>
      <c r="H16" s="116">
        <f t="shared" si="5"/>
        <v>-1534.6851750051997</v>
      </c>
      <c r="I16" s="116">
        <f t="shared" si="5"/>
        <v>-2376.3566540620996</v>
      </c>
      <c r="J16" s="116">
        <f t="shared" si="5"/>
        <v>-352.74638059831364</v>
      </c>
      <c r="K16" s="116">
        <f t="shared" si="5"/>
        <v>-553.70957570005908</v>
      </c>
      <c r="L16" s="116">
        <f t="shared" si="5"/>
        <v>-842.78093825622113</v>
      </c>
      <c r="M16" s="116">
        <f t="shared" si="5"/>
        <v>-4013.1751583266496</v>
      </c>
    </row>
    <row r="17" spans="2:13" ht="18.75" customHeight="1" thickBot="1" x14ac:dyDescent="0.3">
      <c r="B17" s="95" t="s">
        <v>108</v>
      </c>
      <c r="C17" s="147">
        <v>8</v>
      </c>
      <c r="D17" s="117">
        <f>'8.Income Tax'!C17</f>
        <v>0</v>
      </c>
      <c r="E17" s="117">
        <f>'8.Income Tax'!D17</f>
        <v>0</v>
      </c>
      <c r="F17" s="117">
        <f>'8.Income Tax'!E17</f>
        <v>0</v>
      </c>
      <c r="G17" s="117">
        <f>'8.Income Tax'!F17</f>
        <v>0</v>
      </c>
      <c r="H17" s="117">
        <f>'8.Income Tax'!G17</f>
        <v>0</v>
      </c>
      <c r="I17" s="117">
        <f>'8.Income Tax'!H17</f>
        <v>0</v>
      </c>
      <c r="J17" s="117">
        <f>'8.Income Tax'!I17</f>
        <v>0</v>
      </c>
      <c r="K17" s="117">
        <f>'8.Income Tax'!J17</f>
        <v>0</v>
      </c>
      <c r="L17" s="117">
        <f>'8.Income Tax'!K17</f>
        <v>0</v>
      </c>
      <c r="M17" s="117">
        <f>'8.Income Tax'!L17</f>
        <v>0</v>
      </c>
    </row>
    <row r="18" spans="2:13" s="71" customFormat="1" ht="26.25" customHeight="1" thickBot="1" x14ac:dyDescent="0.35">
      <c r="B18" s="96" t="s">
        <v>109</v>
      </c>
      <c r="C18" s="145"/>
      <c r="D18" s="118">
        <f t="shared" ref="D18" si="6">SUM(D16:D17)</f>
        <v>-3545.0705393978515</v>
      </c>
      <c r="E18" s="118">
        <f>SUM(E16:E17)</f>
        <v>-14733.558485462214</v>
      </c>
      <c r="F18" s="118">
        <f t="shared" ref="F18:M18" si="7">SUM(F16:F17)</f>
        <v>-22827.112987550277</v>
      </c>
      <c r="G18" s="118">
        <f t="shared" si="7"/>
        <v>-1265.8426125734836</v>
      </c>
      <c r="H18" s="118">
        <f t="shared" si="7"/>
        <v>-1534.6851750051997</v>
      </c>
      <c r="I18" s="118">
        <f t="shared" si="7"/>
        <v>-2376.3566540620996</v>
      </c>
      <c r="J18" s="118">
        <f t="shared" si="7"/>
        <v>-352.74638059831364</v>
      </c>
      <c r="K18" s="118">
        <f t="shared" si="7"/>
        <v>-553.70957570005908</v>
      </c>
      <c r="L18" s="118">
        <f t="shared" si="7"/>
        <v>-842.78093825622113</v>
      </c>
      <c r="M18" s="118">
        <f t="shared" si="7"/>
        <v>-4013.1751583266496</v>
      </c>
    </row>
    <row r="19" spans="2:13" ht="18.75" customHeight="1" x14ac:dyDescent="0.25">
      <c r="B19" s="53"/>
      <c r="C19" s="354"/>
      <c r="D19" s="354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5.25" customHeight="1" x14ac:dyDescent="0.25">
      <c r="B20" s="53"/>
      <c r="C20" s="53"/>
      <c r="D20" s="53"/>
      <c r="E20" s="104"/>
      <c r="F20" s="52"/>
      <c r="G20" s="52"/>
      <c r="H20" s="52"/>
      <c r="I20" s="52"/>
      <c r="J20" s="52"/>
      <c r="K20" s="52"/>
      <c r="L20" s="52"/>
      <c r="M20" s="52"/>
    </row>
    <row r="21" spans="2:13" ht="15" customHeight="1" x14ac:dyDescent="0.25">
      <c r="B21" s="1326" t="s">
        <v>110</v>
      </c>
      <c r="C21" s="1326"/>
      <c r="D21" s="518"/>
      <c r="E21" s="56"/>
      <c r="F21" s="56"/>
      <c r="G21" s="56"/>
      <c r="H21" s="56"/>
      <c r="I21" s="56"/>
      <c r="J21" s="56"/>
      <c r="K21" s="56"/>
      <c r="L21" s="56"/>
      <c r="M21" s="56"/>
    </row>
    <row r="22" spans="2:13" ht="15" customHeight="1" x14ac:dyDescent="0.25">
      <c r="B22" s="1326"/>
      <c r="C22" s="1326"/>
      <c r="D22" s="518"/>
      <c r="E22" s="56"/>
      <c r="F22" s="56"/>
      <c r="G22" s="56"/>
      <c r="H22" s="56"/>
      <c r="I22" s="56"/>
      <c r="J22" s="56"/>
      <c r="K22" s="56"/>
      <c r="L22" s="56"/>
      <c r="M22" s="56"/>
    </row>
    <row r="23" spans="2:13" s="90" customFormat="1" ht="15" customHeight="1" thickBot="1" x14ac:dyDescent="0.3">
      <c r="B23" s="1326"/>
      <c r="C23" s="1326"/>
      <c r="D23" s="518"/>
      <c r="E23" s="149" t="s">
        <v>102</v>
      </c>
      <c r="F23" s="92"/>
      <c r="G23" s="93"/>
      <c r="H23" s="93"/>
      <c r="I23" s="93"/>
      <c r="J23" s="93"/>
      <c r="K23" s="93"/>
      <c r="L23" s="93"/>
      <c r="M23" s="93"/>
    </row>
    <row r="24" spans="2:13" ht="15" customHeight="1" thickBot="1" x14ac:dyDescent="0.35">
      <c r="B24" s="99"/>
      <c r="C24" s="148" t="s">
        <v>103</v>
      </c>
      <c r="D24" s="100" t="s">
        <v>454</v>
      </c>
      <c r="E24" s="100" t="s">
        <v>455</v>
      </c>
      <c r="F24" s="100" t="s">
        <v>456</v>
      </c>
      <c r="G24" s="100" t="s">
        <v>457</v>
      </c>
      <c r="H24" s="100" t="s">
        <v>458</v>
      </c>
      <c r="I24" s="100" t="s">
        <v>459</v>
      </c>
      <c r="J24" s="100" t="s">
        <v>460</v>
      </c>
      <c r="K24" s="100" t="s">
        <v>461</v>
      </c>
      <c r="L24" s="100" t="s">
        <v>462</v>
      </c>
      <c r="M24" s="100" t="s">
        <v>463</v>
      </c>
    </row>
    <row r="25" spans="2:13" s="55" customFormat="1" ht="26.25" customHeight="1" x14ac:dyDescent="0.3">
      <c r="B25" s="94" t="s">
        <v>111</v>
      </c>
      <c r="C25" s="150"/>
      <c r="D25" s="397"/>
      <c r="E25" s="236"/>
      <c r="F25" s="119"/>
      <c r="G25" s="120"/>
      <c r="H25" s="120"/>
      <c r="I25" s="120"/>
      <c r="J25" s="120"/>
      <c r="K25" s="120"/>
      <c r="L25" s="120"/>
      <c r="M25" s="120"/>
    </row>
    <row r="26" spans="2:13" ht="18.75" customHeight="1" x14ac:dyDescent="0.25">
      <c r="B26" s="95" t="s">
        <v>156</v>
      </c>
      <c r="C26" s="144"/>
      <c r="D26" s="113">
        <f>SUM('Monthly FS'!D25:O25)/1000</f>
        <v>0</v>
      </c>
      <c r="E26" s="113">
        <f>SUM('Monthly FS'!P25:AA25)/1000</f>
        <v>0</v>
      </c>
      <c r="F26" s="113">
        <f>SUM('Monthly FS'!AB25:AM25)/1000</f>
        <v>6914.1301558504438</v>
      </c>
      <c r="G26" s="113">
        <f>SUM('Monthly FS'!AN25:AY25)/1000</f>
        <v>43671.72243011884</v>
      </c>
      <c r="H26" s="113">
        <f>SUM('Monthly FS'!AZ25:BK25)/1000</f>
        <v>46423.040943216314</v>
      </c>
      <c r="I26" s="113">
        <f>SUM('Monthly FS'!BL25:BW25)/1000</f>
        <v>49347.69252263895</v>
      </c>
      <c r="J26" s="113">
        <f>SUM('Monthly FS'!BX25:CI25)/1000</f>
        <v>52456.597151565191</v>
      </c>
      <c r="K26" s="113">
        <f>SUM('Monthly FS'!CJ25:CU25)/1000</f>
        <v>55761.362772113782</v>
      </c>
      <c r="L26" s="113">
        <f>SUM('Monthly FS'!CV25:DG25)/1000</f>
        <v>59274.328626756971</v>
      </c>
      <c r="M26" s="113">
        <f>SUM('Monthly FS'!DH25:DS25)/1000</f>
        <v>63008.611330242646</v>
      </c>
    </row>
    <row r="27" spans="2:13" ht="18.75" customHeight="1" x14ac:dyDescent="0.25">
      <c r="B27" s="95" t="s">
        <v>112</v>
      </c>
      <c r="C27" s="144"/>
      <c r="D27" s="113">
        <f>SUM('Monthly FS'!D26:O26)/1000</f>
        <v>-941.73666108192765</v>
      </c>
      <c r="E27" s="113">
        <f>SUM('Monthly FS'!P26:AA26)/1000</f>
        <v>-11396.13360714629</v>
      </c>
      <c r="F27" s="113">
        <f>SUM('Monthly FS'!AB26:AM26)/1000</f>
        <v>-26403.818265084799</v>
      </c>
      <c r="G27" s="113">
        <f>SUM('Monthly FS'!AN26:AY26)/1000</f>
        <v>-41600.140164376404</v>
      </c>
      <c r="H27" s="113">
        <f>SUM('Monthly FS'!AZ26:BK26)/1000</f>
        <v>-44620.301239905581</v>
      </c>
      <c r="I27" s="113">
        <f>SUM('Monthly FS'!BL26:BW26)/1000</f>
        <v>-49926.868176701042</v>
      </c>
      <c r="J27" s="113">
        <f>SUM('Monthly FS'!BX26:CI26)/1000</f>
        <v>-51012.1625321635</v>
      </c>
      <c r="K27" s="113">
        <f>SUM('Monthly FS'!CJ26:CU26)/1000</f>
        <v>-54517.891347813849</v>
      </c>
      <c r="L27" s="113">
        <f>SUM('Monthly FS'!CV26:DG26)/1000</f>
        <v>-58319.928565013179</v>
      </c>
      <c r="M27" s="113">
        <f>SUM('Monthly FS'!DH26:DS26)/1000</f>
        <v>-65224.605488569287</v>
      </c>
    </row>
    <row r="28" spans="2:13" ht="18.75" customHeight="1" thickBot="1" x14ac:dyDescent="0.3">
      <c r="B28" s="95" t="s">
        <v>113</v>
      </c>
      <c r="C28" s="144"/>
      <c r="D28" s="115">
        <f>D17</f>
        <v>0</v>
      </c>
      <c r="E28" s="115">
        <f>E17</f>
        <v>0</v>
      </c>
      <c r="F28" s="115">
        <f t="shared" ref="F28:M28" si="8">F17</f>
        <v>0</v>
      </c>
      <c r="G28" s="115">
        <f t="shared" si="8"/>
        <v>0</v>
      </c>
      <c r="H28" s="115">
        <f t="shared" si="8"/>
        <v>0</v>
      </c>
      <c r="I28" s="115">
        <f t="shared" si="8"/>
        <v>0</v>
      </c>
      <c r="J28" s="115">
        <f t="shared" si="8"/>
        <v>0</v>
      </c>
      <c r="K28" s="115">
        <f t="shared" si="8"/>
        <v>0</v>
      </c>
      <c r="L28" s="115">
        <f t="shared" si="8"/>
        <v>0</v>
      </c>
      <c r="M28" s="115">
        <f t="shared" si="8"/>
        <v>0</v>
      </c>
    </row>
    <row r="29" spans="2:13" ht="26.25" customHeight="1" thickBot="1" x14ac:dyDescent="0.35">
      <c r="B29" s="1332" t="s">
        <v>114</v>
      </c>
      <c r="C29" s="1333"/>
      <c r="D29" s="118">
        <f>SUM(D26:D28)</f>
        <v>-941.73666108192765</v>
      </c>
      <c r="E29" s="118">
        <f>SUM(E26:E28)</f>
        <v>-11396.13360714629</v>
      </c>
      <c r="F29" s="118">
        <f t="shared" ref="F29:M29" si="9">SUM(F26:F28)</f>
        <v>-19489.688109234354</v>
      </c>
      <c r="G29" s="118">
        <f t="shared" si="9"/>
        <v>2071.582265742436</v>
      </c>
      <c r="H29" s="118">
        <f t="shared" si="9"/>
        <v>1802.7397033107336</v>
      </c>
      <c r="I29" s="118">
        <f t="shared" si="9"/>
        <v>-579.17565406209178</v>
      </c>
      <c r="J29" s="118">
        <f t="shared" si="9"/>
        <v>1444.4346194016907</v>
      </c>
      <c r="K29" s="118">
        <f t="shared" si="9"/>
        <v>1243.4714242999326</v>
      </c>
      <c r="L29" s="118">
        <f t="shared" si="9"/>
        <v>954.40006174379232</v>
      </c>
      <c r="M29" s="118">
        <f t="shared" si="9"/>
        <v>-2215.9941583266409</v>
      </c>
    </row>
    <row r="30" spans="2:13" ht="26.25" customHeight="1" x14ac:dyDescent="0.25">
      <c r="B30" s="239"/>
      <c r="C30" s="240"/>
      <c r="D30" s="237"/>
      <c r="E30" s="237"/>
      <c r="F30" s="237"/>
      <c r="G30" s="237"/>
      <c r="H30" s="237"/>
      <c r="I30" s="237"/>
      <c r="J30" s="237"/>
      <c r="K30" s="237"/>
      <c r="L30" s="237"/>
      <c r="M30" s="237"/>
    </row>
    <row r="31" spans="2:13" ht="26.25" customHeight="1" x14ac:dyDescent="0.3">
      <c r="B31" s="142" t="s">
        <v>115</v>
      </c>
      <c r="C31" s="238"/>
      <c r="D31" s="275"/>
      <c r="E31" s="275"/>
      <c r="F31" s="121"/>
      <c r="G31" s="122"/>
      <c r="H31" s="122"/>
      <c r="I31" s="122"/>
      <c r="J31" s="122"/>
      <c r="K31" s="122"/>
      <c r="L31" s="122"/>
      <c r="M31" s="122"/>
    </row>
    <row r="32" spans="2:13" ht="15" x14ac:dyDescent="0.25">
      <c r="B32" s="95" t="s">
        <v>116</v>
      </c>
      <c r="C32" s="152"/>
      <c r="D32" s="113">
        <f>SUM('Monthly FS'!D31:O31)/1000</f>
        <v>-36674.366383328976</v>
      </c>
      <c r="E32" s="113">
        <f>SUM('Monthly FS'!P31:AA31)/1000</f>
        <v>-7801.5828811686624</v>
      </c>
      <c r="F32" s="113">
        <f>SUM('Monthly FS'!AB31:AM31)/1000</f>
        <v>-1926.988875</v>
      </c>
      <c r="G32" s="113">
        <f>SUM('Monthly FS'!AN31:AY31)/1000</f>
        <v>0</v>
      </c>
      <c r="H32" s="113">
        <f>SUM('Monthly FS'!AZ31:BK31)/1000</f>
        <v>0</v>
      </c>
      <c r="I32" s="113">
        <f>SUM('Monthly FS'!BL31:BW31)/1000</f>
        <v>0</v>
      </c>
      <c r="J32" s="113">
        <f>SUM('Monthly FS'!BX31:CI31)/1000</f>
        <v>0</v>
      </c>
      <c r="K32" s="113">
        <f>SUM('Monthly FS'!CJ31:CU31)/1000</f>
        <v>0</v>
      </c>
      <c r="L32" s="113">
        <f>SUM('Monthly FS'!CV31:DG31)/1000</f>
        <v>0</v>
      </c>
      <c r="M32" s="113">
        <f>SUM('Monthly FS'!DH31:DS31)/1000</f>
        <v>0</v>
      </c>
    </row>
    <row r="33" spans="2:21" ht="15.75" thickBot="1" x14ac:dyDescent="0.3">
      <c r="B33" s="95" t="s">
        <v>117</v>
      </c>
      <c r="C33" s="152"/>
      <c r="D33" s="115">
        <f>SUM('Monthly FS'!D32:O32)/1000</f>
        <v>0</v>
      </c>
      <c r="E33" s="115">
        <f>SUM('Monthly FS'!P32:AA32)/1000</f>
        <v>0</v>
      </c>
      <c r="F33" s="115">
        <f>SUM('Monthly FS'!AB32:AM32)/1000</f>
        <v>0</v>
      </c>
      <c r="G33" s="115">
        <f>SUM('Monthly FS'!AN32:AY32)/1000</f>
        <v>0</v>
      </c>
      <c r="H33" s="115">
        <f>SUM('Monthly FS'!AZ32:BK32)/1000</f>
        <v>0</v>
      </c>
      <c r="I33" s="115">
        <f>SUM('Monthly FS'!BL32:BW32)/1000</f>
        <v>0</v>
      </c>
      <c r="J33" s="115">
        <f>SUM('Monthly FS'!BX32:CI32)/1000</f>
        <v>0</v>
      </c>
      <c r="K33" s="115">
        <f>SUM('Monthly FS'!CJ32:CU32)/1000</f>
        <v>0</v>
      </c>
      <c r="L33" s="115">
        <f>SUM('Monthly FS'!CV32:DG32)/1000</f>
        <v>0</v>
      </c>
      <c r="M33" s="115">
        <f>SUM('Monthly FS'!DH32:DS32)/1000</f>
        <v>0</v>
      </c>
    </row>
    <row r="34" spans="2:21" ht="26.25" customHeight="1" thickBot="1" x14ac:dyDescent="0.35">
      <c r="B34" s="97" t="s">
        <v>118</v>
      </c>
      <c r="C34" s="151"/>
      <c r="D34" s="118">
        <f>D32+D33</f>
        <v>-36674.366383328976</v>
      </c>
      <c r="E34" s="118">
        <f>E32+E33</f>
        <v>-7801.5828811686624</v>
      </c>
      <c r="F34" s="118">
        <f t="shared" ref="F34:M34" si="10">F32+F33</f>
        <v>-1926.988875</v>
      </c>
      <c r="G34" s="118">
        <f t="shared" si="10"/>
        <v>0</v>
      </c>
      <c r="H34" s="118">
        <f t="shared" si="10"/>
        <v>0</v>
      </c>
      <c r="I34" s="118">
        <f t="shared" si="10"/>
        <v>0</v>
      </c>
      <c r="J34" s="118">
        <f t="shared" si="10"/>
        <v>0</v>
      </c>
      <c r="K34" s="118">
        <f t="shared" si="10"/>
        <v>0</v>
      </c>
      <c r="L34" s="118">
        <f t="shared" si="10"/>
        <v>0</v>
      </c>
      <c r="M34" s="118">
        <f t="shared" si="10"/>
        <v>0</v>
      </c>
    </row>
    <row r="35" spans="2:21" ht="26.25" customHeight="1" x14ac:dyDescent="0.3">
      <c r="B35" s="253"/>
      <c r="C35" s="240"/>
      <c r="D35" s="276"/>
      <c r="E35" s="276"/>
      <c r="F35" s="254"/>
      <c r="G35" s="255"/>
      <c r="H35" s="255"/>
      <c r="I35" s="255"/>
      <c r="J35" s="255"/>
      <c r="K35" s="255"/>
      <c r="L35" s="255"/>
      <c r="M35" s="255"/>
    </row>
    <row r="36" spans="2:21" ht="26.25" customHeight="1" x14ac:dyDescent="0.3">
      <c r="B36" s="142" t="s">
        <v>119</v>
      </c>
      <c r="C36" s="238"/>
      <c r="D36" s="275"/>
      <c r="E36" s="275"/>
      <c r="F36" s="121"/>
      <c r="G36" s="122"/>
      <c r="H36" s="122"/>
      <c r="I36" s="122"/>
      <c r="J36" s="122"/>
      <c r="K36" s="122"/>
      <c r="L36" s="122"/>
      <c r="M36" s="122"/>
    </row>
    <row r="37" spans="2:21" ht="15" x14ac:dyDescent="0.25">
      <c r="B37" s="95" t="s">
        <v>121</v>
      </c>
      <c r="C37" s="152"/>
      <c r="D37" s="268">
        <f>SUM('Monthly FS'!D36:O36)/1000</f>
        <v>0</v>
      </c>
      <c r="E37" s="268">
        <f>SUM('Monthly FS'!P36:AA36)/1000</f>
        <v>0</v>
      </c>
      <c r="F37" s="113">
        <f>SUM('Monthly FS'!AB36:AM36)/1000</f>
        <v>0</v>
      </c>
      <c r="G37" s="113">
        <f>SUM('Monthly FS'!AN36:AY36)/1000</f>
        <v>0</v>
      </c>
      <c r="H37" s="113">
        <f>SUM('Monthly FS'!AZ36:BK36)/1000</f>
        <v>0</v>
      </c>
      <c r="I37" s="113">
        <f>SUM('Monthly FS'!BL36:BW36)/1000</f>
        <v>0</v>
      </c>
      <c r="J37" s="113">
        <f>SUM('Monthly FS'!BX36:CI36)/1000</f>
        <v>0</v>
      </c>
      <c r="K37" s="113">
        <f>SUM('Monthly FS'!CJ36:CU36)/1000</f>
        <v>0</v>
      </c>
      <c r="L37" s="113">
        <f>SUM('Monthly FS'!CV36:DG36)/1000</f>
        <v>0</v>
      </c>
      <c r="M37" s="113">
        <f>SUM('Monthly FS'!DH36:DS36)/1000</f>
        <v>0</v>
      </c>
    </row>
    <row r="38" spans="2:21" ht="15" x14ac:dyDescent="0.25">
      <c r="B38" s="95" t="s">
        <v>122</v>
      </c>
      <c r="C38" s="152"/>
      <c r="D38" s="113">
        <f>SUM('Monthly FS'!D37:O37)/1000</f>
        <v>0</v>
      </c>
      <c r="E38" s="113">
        <f>SUM('Monthly FS'!P37:AA37)/1000</f>
        <v>0</v>
      </c>
      <c r="F38" s="113">
        <f>SUM('Monthly FS'!AB37:AM37)/1000</f>
        <v>0</v>
      </c>
      <c r="G38" s="113">
        <f>SUM('Monthly FS'!AN37:AY37)/1000</f>
        <v>0</v>
      </c>
      <c r="H38" s="113">
        <f>SUM('Monthly FS'!AZ37:BK37)/1000</f>
        <v>0</v>
      </c>
      <c r="I38" s="113">
        <f>SUM('Monthly FS'!BL37:BW37)/1000</f>
        <v>0</v>
      </c>
      <c r="J38" s="113">
        <f>SUM('Monthly FS'!BX37:CI37)/1000</f>
        <v>0</v>
      </c>
      <c r="K38" s="113">
        <f>SUM('Monthly FS'!CJ37:CU37)/1000</f>
        <v>0</v>
      </c>
      <c r="L38" s="113">
        <f>SUM('Monthly FS'!CV37:DG37)/1000</f>
        <v>0</v>
      </c>
      <c r="M38" s="113">
        <f>SUM('Monthly FS'!DH37:DS37)/1000</f>
        <v>0</v>
      </c>
    </row>
    <row r="39" spans="2:21" ht="15" x14ac:dyDescent="0.25">
      <c r="B39" s="95" t="s">
        <v>125</v>
      </c>
      <c r="C39" s="152"/>
      <c r="D39" s="113">
        <f>SUM('Monthly FS'!D38:O38)/1000</f>
        <v>0</v>
      </c>
      <c r="E39" s="113">
        <f>SUM('Monthly FS'!P38:AA38)/1000</f>
        <v>0</v>
      </c>
      <c r="F39" s="113">
        <f>SUM('Monthly FS'!AB38:AM38)/1000</f>
        <v>0</v>
      </c>
      <c r="G39" s="113">
        <f>SUM('Monthly FS'!AN38:AY38)/1000</f>
        <v>0</v>
      </c>
      <c r="H39" s="113">
        <f>SUM('Monthly FS'!AZ38:BK38)/1000</f>
        <v>0</v>
      </c>
      <c r="I39" s="113">
        <f>SUM('Monthly FS'!BL38:BW38)/1000</f>
        <v>0</v>
      </c>
      <c r="J39" s="113">
        <f>SUM('Monthly FS'!BX38:CI38)/1000</f>
        <v>0</v>
      </c>
      <c r="K39" s="113">
        <f>SUM('Monthly FS'!CJ38:CU38)/1000</f>
        <v>0</v>
      </c>
      <c r="L39" s="113">
        <f>SUM('Monthly FS'!CV38:DG38)/1000</f>
        <v>0</v>
      </c>
      <c r="M39" s="113">
        <f>SUM('Monthly FS'!DH38:DS38)/1000</f>
        <v>0</v>
      </c>
    </row>
    <row r="40" spans="2:21" ht="15" x14ac:dyDescent="0.25">
      <c r="B40" s="95" t="s">
        <v>123</v>
      </c>
      <c r="C40" s="152"/>
      <c r="D40" s="113">
        <f>SUM('Monthly FS'!D39:O39)/1000</f>
        <v>0</v>
      </c>
      <c r="E40" s="113">
        <f>SUM('Monthly FS'!P39:AA39)/1000</f>
        <v>0</v>
      </c>
      <c r="F40" s="113">
        <f>SUM('Monthly FS'!AB39:AM39)/1000</f>
        <v>0</v>
      </c>
      <c r="G40" s="113">
        <f>SUM('Monthly FS'!AN39:AY39)/1000</f>
        <v>0</v>
      </c>
      <c r="H40" s="113">
        <f>SUM('Monthly FS'!AZ39:BK39)/1000</f>
        <v>0</v>
      </c>
      <c r="I40" s="113">
        <f>SUM('Monthly FS'!BL39:BW39)/1000</f>
        <v>0</v>
      </c>
      <c r="J40" s="113">
        <f>SUM('Monthly FS'!BX39:CI39)/1000</f>
        <v>0</v>
      </c>
      <c r="K40" s="113">
        <f>SUM('Monthly FS'!CJ39:CU39)/1000</f>
        <v>0</v>
      </c>
      <c r="L40" s="113">
        <f>SUM('Monthly FS'!CV39:DG39)/1000</f>
        <v>0</v>
      </c>
      <c r="M40" s="113">
        <f>SUM('Monthly FS'!DH39:DS39)/1000</f>
        <v>0</v>
      </c>
    </row>
    <row r="41" spans="2:21" ht="15.75" thickBot="1" x14ac:dyDescent="0.3">
      <c r="B41" s="95" t="s">
        <v>124</v>
      </c>
      <c r="C41" s="152"/>
      <c r="D41" s="115">
        <f>SUM('Monthly FS'!D40:O40)/1000</f>
        <v>0</v>
      </c>
      <c r="E41" s="115">
        <f>SUM('Monthly FS'!P40:AA40)/1000</f>
        <v>0</v>
      </c>
      <c r="F41" s="115">
        <f>SUM('Monthly FS'!AB40:AM40)/1000</f>
        <v>0</v>
      </c>
      <c r="G41" s="115">
        <f>SUM('Monthly FS'!AN40:AY40)/1000</f>
        <v>0</v>
      </c>
      <c r="H41" s="115">
        <f>SUM('Monthly FS'!AZ40:BK40)/1000</f>
        <v>0</v>
      </c>
      <c r="I41" s="115">
        <f>SUM('Monthly FS'!BL40:BW40)/1000</f>
        <v>0</v>
      </c>
      <c r="J41" s="115">
        <f>SUM('Monthly FS'!BX40:CI40)/1000</f>
        <v>0</v>
      </c>
      <c r="K41" s="115">
        <f>SUM('Monthly FS'!CJ40:CU40)/1000</f>
        <v>0</v>
      </c>
      <c r="L41" s="115">
        <f>SUM('Monthly FS'!CV40:DG40)/1000</f>
        <v>0</v>
      </c>
      <c r="M41" s="115">
        <f>SUM('Monthly FS'!DH40:DS40)/1000</f>
        <v>0</v>
      </c>
    </row>
    <row r="42" spans="2:21" ht="26.25" customHeight="1" thickBot="1" x14ac:dyDescent="0.35">
      <c r="B42" s="97" t="s">
        <v>120</v>
      </c>
      <c r="C42" s="151"/>
      <c r="D42" s="118">
        <f>SUM(D37:D41)</f>
        <v>0</v>
      </c>
      <c r="E42" s="118">
        <f>SUM(E37:E41)</f>
        <v>0</v>
      </c>
      <c r="F42" s="118">
        <f t="shared" ref="F42:M42" si="11">SUM(F37:F41)</f>
        <v>0</v>
      </c>
      <c r="G42" s="118">
        <f t="shared" si="11"/>
        <v>0</v>
      </c>
      <c r="H42" s="118">
        <f t="shared" si="11"/>
        <v>0</v>
      </c>
      <c r="I42" s="118">
        <f t="shared" si="11"/>
        <v>0</v>
      </c>
      <c r="J42" s="118">
        <f t="shared" si="11"/>
        <v>0</v>
      </c>
      <c r="K42" s="118">
        <f t="shared" si="11"/>
        <v>0</v>
      </c>
      <c r="L42" s="118">
        <f t="shared" si="11"/>
        <v>0</v>
      </c>
      <c r="M42" s="118">
        <f t="shared" si="11"/>
        <v>0</v>
      </c>
    </row>
    <row r="43" spans="2:21" ht="26.25" customHeight="1" x14ac:dyDescent="0.3">
      <c r="B43" s="89"/>
      <c r="C43" s="89"/>
      <c r="D43" s="277"/>
      <c r="E43" s="277"/>
      <c r="F43" s="256"/>
      <c r="G43" s="257"/>
      <c r="H43" s="257"/>
      <c r="I43" s="257"/>
      <c r="J43" s="257"/>
      <c r="K43" s="257"/>
      <c r="L43" s="257"/>
      <c r="M43" s="257"/>
    </row>
    <row r="44" spans="2:21" ht="26.25" customHeight="1" x14ac:dyDescent="0.3">
      <c r="B44" s="1330" t="s">
        <v>126</v>
      </c>
      <c r="C44" s="1331"/>
      <c r="D44" s="112">
        <f t="shared" ref="D44" si="12">D29+D34+D42</f>
        <v>-37616.103044410906</v>
      </c>
      <c r="E44" s="112">
        <f>E29+E34+E42</f>
        <v>-19197.716488314953</v>
      </c>
      <c r="F44" s="112">
        <f t="shared" ref="F44:M44" si="13">F29+F34+F42</f>
        <v>-21416.676984234353</v>
      </c>
      <c r="G44" s="112">
        <f t="shared" si="13"/>
        <v>2071.582265742436</v>
      </c>
      <c r="H44" s="112">
        <f t="shared" si="13"/>
        <v>1802.7397033107336</v>
      </c>
      <c r="I44" s="112">
        <f t="shared" si="13"/>
        <v>-579.17565406209178</v>
      </c>
      <c r="J44" s="112">
        <f t="shared" si="13"/>
        <v>1444.4346194016907</v>
      </c>
      <c r="K44" s="112">
        <f t="shared" si="13"/>
        <v>1243.4714242999326</v>
      </c>
      <c r="L44" s="112">
        <f t="shared" si="13"/>
        <v>954.40006174379232</v>
      </c>
      <c r="M44" s="112">
        <f t="shared" si="13"/>
        <v>-2215.9941583266409</v>
      </c>
      <c r="N44" s="394"/>
      <c r="O44" s="394"/>
      <c r="P44" s="394"/>
      <c r="Q44" s="394"/>
      <c r="R44" s="394"/>
      <c r="S44" s="394"/>
      <c r="T44" s="394"/>
      <c r="U44" s="394"/>
    </row>
    <row r="45" spans="2:21" ht="15" x14ac:dyDescent="0.25">
      <c r="B45" s="95" t="s">
        <v>127</v>
      </c>
      <c r="C45" s="91"/>
      <c r="D45" s="113">
        <v>0</v>
      </c>
      <c r="E45" s="268">
        <f>D47</f>
        <v>-37616.103044410906</v>
      </c>
      <c r="F45" s="268">
        <f>E47</f>
        <v>-56813.819532725858</v>
      </c>
      <c r="G45" s="113">
        <f t="shared" ref="G45:M45" si="14">F47</f>
        <v>-78230.496516960207</v>
      </c>
      <c r="H45" s="113">
        <f t="shared" si="14"/>
        <v>-76158.914251217764</v>
      </c>
      <c r="I45" s="113">
        <f t="shared" si="14"/>
        <v>-74356.174547907023</v>
      </c>
      <c r="J45" s="113">
        <f t="shared" si="14"/>
        <v>-74935.350201969122</v>
      </c>
      <c r="K45" s="113">
        <f t="shared" si="14"/>
        <v>-73490.915582567424</v>
      </c>
      <c r="L45" s="113">
        <f t="shared" si="14"/>
        <v>-72247.444158267492</v>
      </c>
      <c r="M45" s="113">
        <f t="shared" si="14"/>
        <v>-71293.044096523692</v>
      </c>
    </row>
    <row r="46" spans="2:21" ht="15.75" thickBot="1" x14ac:dyDescent="0.3">
      <c r="B46" s="95" t="s">
        <v>129</v>
      </c>
      <c r="C46" s="91"/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</row>
    <row r="47" spans="2:21" ht="26.25" customHeight="1" thickBot="1" x14ac:dyDescent="0.35">
      <c r="B47" s="1332" t="s">
        <v>128</v>
      </c>
      <c r="C47" s="1333"/>
      <c r="D47" s="118">
        <f t="shared" ref="D47" si="15">SUM(D44:D46)</f>
        <v>-37616.103044410906</v>
      </c>
      <c r="E47" s="118">
        <f>SUM(E44:E46)</f>
        <v>-56813.819532725858</v>
      </c>
      <c r="F47" s="118">
        <f t="shared" ref="F47:M47" si="16">SUM(F44:F46)</f>
        <v>-78230.496516960207</v>
      </c>
      <c r="G47" s="118">
        <f t="shared" si="16"/>
        <v>-76158.914251217764</v>
      </c>
      <c r="H47" s="118">
        <f t="shared" si="16"/>
        <v>-74356.174547907023</v>
      </c>
      <c r="I47" s="118">
        <f t="shared" si="16"/>
        <v>-74935.350201969122</v>
      </c>
      <c r="J47" s="118">
        <f t="shared" si="16"/>
        <v>-73490.915582567424</v>
      </c>
      <c r="K47" s="118">
        <f t="shared" si="16"/>
        <v>-72247.444158267492</v>
      </c>
      <c r="L47" s="118">
        <f t="shared" si="16"/>
        <v>-71293.044096523692</v>
      </c>
      <c r="M47" s="118">
        <f t="shared" si="16"/>
        <v>-73509.03825485034</v>
      </c>
    </row>
    <row r="48" spans="2:21" ht="4.5" customHeight="1" x14ac:dyDescent="0.3">
      <c r="B48" s="258"/>
      <c r="C48" s="258"/>
      <c r="D48" s="258"/>
      <c r="E48" s="259"/>
      <c r="F48" s="259"/>
      <c r="G48" s="259"/>
      <c r="H48" s="259"/>
      <c r="I48" s="259"/>
      <c r="J48" s="259"/>
      <c r="K48" s="259"/>
      <c r="L48" s="259"/>
      <c r="M48" s="259"/>
    </row>
    <row r="49" spans="2:13" ht="21" customHeight="1" x14ac:dyDescent="0.3">
      <c r="B49" s="258"/>
      <c r="C49" s="258"/>
      <c r="D49" s="258"/>
      <c r="E49" s="259"/>
      <c r="F49" s="259"/>
      <c r="G49" s="259"/>
      <c r="H49" s="259"/>
      <c r="J49" s="259"/>
      <c r="K49" s="259"/>
      <c r="L49" s="259"/>
      <c r="M49" s="259"/>
    </row>
    <row r="50" spans="2:13" ht="33" x14ac:dyDescent="0.3">
      <c r="B50" s="1326" t="s">
        <v>275</v>
      </c>
      <c r="C50" s="1326"/>
      <c r="D50" s="518"/>
      <c r="G50" s="267"/>
    </row>
    <row r="51" spans="2:13" ht="16.5" customHeight="1" x14ac:dyDescent="0.3">
      <c r="B51" s="1326"/>
      <c r="C51" s="1326"/>
      <c r="D51" s="518"/>
    </row>
    <row r="52" spans="2:13" ht="16.5" customHeight="1" x14ac:dyDescent="0.3">
      <c r="B52" s="1330" t="s">
        <v>276</v>
      </c>
      <c r="C52" s="1331"/>
      <c r="D52" s="399"/>
      <c r="E52" s="259"/>
      <c r="F52" s="89"/>
    </row>
    <row r="53" spans="2:13" x14ac:dyDescent="0.3">
      <c r="B53" s="311" t="s">
        <v>277</v>
      </c>
      <c r="C53" s="398">
        <f>WACC!F30</f>
        <v>0.14909800000000001</v>
      </c>
      <c r="D53" s="53"/>
      <c r="E53" s="89"/>
      <c r="F53" s="89"/>
    </row>
    <row r="54" spans="2:13" x14ac:dyDescent="0.3">
      <c r="B54" s="400" t="s">
        <v>347</v>
      </c>
      <c r="C54" s="398" t="e">
        <f>IRR(D44:M44,0.1)</f>
        <v>#NUM!</v>
      </c>
      <c r="D54" s="53"/>
      <c r="E54" s="89"/>
      <c r="F54" s="89"/>
    </row>
    <row r="55" spans="2:13" x14ac:dyDescent="0.3">
      <c r="B55" s="311" t="s">
        <v>278</v>
      </c>
      <c r="C55" s="114">
        <f>MIN('Monthly FS'!P46:DS46)/1000</f>
        <v>-78983.308602520148</v>
      </c>
      <c r="D55" s="53"/>
      <c r="E55" s="89"/>
      <c r="F55" s="89"/>
    </row>
    <row r="56" spans="2:13" x14ac:dyDescent="0.3">
      <c r="B56" s="502" t="s">
        <v>376</v>
      </c>
      <c r="C56" s="114">
        <f>NPV(C53/12,'Monthly FS'!P43:DS43)/1000</f>
        <v>-32322.161253582908</v>
      </c>
      <c r="D56" s="89"/>
      <c r="E56" s="89"/>
      <c r="F56" s="89"/>
    </row>
  </sheetData>
  <mergeCells count="8">
    <mergeCell ref="D4:M4"/>
    <mergeCell ref="B52:C52"/>
    <mergeCell ref="B2:C4"/>
    <mergeCell ref="B21:C23"/>
    <mergeCell ref="B47:C47"/>
    <mergeCell ref="B44:C44"/>
    <mergeCell ref="B29:C29"/>
    <mergeCell ref="B50:C51"/>
  </mergeCells>
  <pageMargins left="0.25" right="0.25" top="0.75" bottom="0.75" header="0.3" footer="0.3"/>
  <pageSetup paperSize="8" scale="69" orientation="landscape" r:id="rId1"/>
  <ignoredErrors>
    <ignoredError sqref="D39:M39 G7:M7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0"/>
  <sheetViews>
    <sheetView workbookViewId="0">
      <selection sqref="A1:XFD1048576"/>
    </sheetView>
  </sheetViews>
  <sheetFormatPr defaultColWidth="9.140625" defaultRowHeight="15" x14ac:dyDescent="0.25"/>
  <cols>
    <col min="1" max="1" width="9.140625" style="1030"/>
    <col min="2" max="2" width="78.28515625" style="945" customWidth="1"/>
    <col min="3" max="3" width="6.7109375" style="945" customWidth="1"/>
    <col min="4" max="4" width="13.5703125" style="945" customWidth="1"/>
    <col min="5" max="5" width="16.7109375" style="971" bestFit="1" customWidth="1"/>
    <col min="6" max="6" width="21.5703125" style="971" bestFit="1" customWidth="1"/>
    <col min="7" max="16384" width="9.140625" style="945"/>
  </cols>
  <sheetData>
    <row r="1" spans="1:6" x14ac:dyDescent="0.25">
      <c r="A1" s="996" t="s">
        <v>658</v>
      </c>
      <c r="B1" s="995" t="s">
        <v>659</v>
      </c>
      <c r="C1" s="996" t="s">
        <v>660</v>
      </c>
      <c r="D1" s="997" t="s">
        <v>661</v>
      </c>
      <c r="E1" s="998" t="s">
        <v>1228</v>
      </c>
      <c r="F1" s="999" t="s">
        <v>662</v>
      </c>
    </row>
    <row r="2" spans="1:6" x14ac:dyDescent="0.25">
      <c r="A2" s="1027"/>
      <c r="C2" s="949"/>
      <c r="D2" s="949"/>
      <c r="F2" s="972"/>
    </row>
    <row r="3" spans="1:6" x14ac:dyDescent="0.25">
      <c r="A3" s="946" t="s">
        <v>1229</v>
      </c>
      <c r="B3" s="973" t="s">
        <v>1230</v>
      </c>
      <c r="C3" s="949"/>
      <c r="D3" s="949"/>
      <c r="F3" s="972"/>
    </row>
    <row r="4" spans="1:6" x14ac:dyDescent="0.25">
      <c r="A4" s="947" t="s">
        <v>1231</v>
      </c>
      <c r="B4" s="976" t="s">
        <v>1232</v>
      </c>
      <c r="C4" s="949"/>
      <c r="D4" s="949"/>
      <c r="F4" s="972"/>
    </row>
    <row r="5" spans="1:6" x14ac:dyDescent="0.25">
      <c r="A5" s="1027" t="s">
        <v>1233</v>
      </c>
      <c r="B5" s="974" t="s">
        <v>1234</v>
      </c>
      <c r="C5" s="949" t="s">
        <v>743</v>
      </c>
      <c r="D5" s="1062">
        <v>0.05</v>
      </c>
      <c r="E5" s="1009">
        <f>SUM('Capex Summary Sheet'!F7+'Capex Summary Sheet'!F8+'Capex Summary Sheet'!F9)</f>
        <v>20326550</v>
      </c>
      <c r="F5" s="972">
        <f>E5*D5</f>
        <v>1016327.5</v>
      </c>
    </row>
    <row r="6" spans="1:6" x14ac:dyDescent="0.25">
      <c r="A6" s="1027" t="s">
        <v>1235</v>
      </c>
      <c r="B6" s="974" t="s">
        <v>1236</v>
      </c>
      <c r="C6" s="949" t="s">
        <v>743</v>
      </c>
      <c r="D6" s="1062">
        <v>0.05</v>
      </c>
      <c r="E6" s="1009">
        <f>SUM('Capex Summary Sheet'!F10:F11)</f>
        <v>11262379.391579619</v>
      </c>
      <c r="F6" s="972">
        <f>E6*D6</f>
        <v>563118.96957898093</v>
      </c>
    </row>
    <row r="7" spans="1:6" x14ac:dyDescent="0.25">
      <c r="A7" s="1027" t="s">
        <v>1237</v>
      </c>
      <c r="B7" s="945" t="s">
        <v>1238</v>
      </c>
      <c r="C7" s="949" t="s">
        <v>743</v>
      </c>
      <c r="D7" s="1062">
        <v>0.06</v>
      </c>
      <c r="E7" s="971">
        <f>'Capex Summary Sheet'!F8</f>
        <v>14014800</v>
      </c>
      <c r="F7" s="972">
        <f t="shared" ref="F7:F17" si="0">D7*E7</f>
        <v>840888</v>
      </c>
    </row>
    <row r="8" spans="1:6" x14ac:dyDescent="0.25">
      <c r="A8" s="1027" t="s">
        <v>1239</v>
      </c>
      <c r="B8" s="945" t="s">
        <v>1240</v>
      </c>
      <c r="C8" s="949" t="s">
        <v>743</v>
      </c>
      <c r="D8" s="1062">
        <v>0.01</v>
      </c>
      <c r="E8" s="971">
        <f>E5</f>
        <v>20326550</v>
      </c>
      <c r="F8" s="972">
        <f t="shared" si="0"/>
        <v>203265.5</v>
      </c>
    </row>
    <row r="9" spans="1:6" x14ac:dyDescent="0.25">
      <c r="A9" s="1027" t="s">
        <v>1241</v>
      </c>
      <c r="B9" s="945" t="s">
        <v>1242</v>
      </c>
      <c r="C9" s="949" t="s">
        <v>743</v>
      </c>
      <c r="D9" s="1063">
        <v>5.0000000000000001E-3</v>
      </c>
      <c r="E9" s="971">
        <f>E5+E6</f>
        <v>31588929.391579621</v>
      </c>
      <c r="F9" s="972">
        <f t="shared" si="0"/>
        <v>157944.64695789811</v>
      </c>
    </row>
    <row r="10" spans="1:6" x14ac:dyDescent="0.25">
      <c r="A10" s="1027" t="s">
        <v>1243</v>
      </c>
      <c r="B10" s="945" t="s">
        <v>1244</v>
      </c>
      <c r="C10" s="949" t="s">
        <v>750</v>
      </c>
      <c r="D10" s="1064">
        <v>1</v>
      </c>
      <c r="E10" s="971">
        <v>100000</v>
      </c>
      <c r="F10" s="972">
        <f t="shared" si="0"/>
        <v>100000</v>
      </c>
    </row>
    <row r="11" spans="1:6" x14ac:dyDescent="0.25">
      <c r="A11" s="1027" t="s">
        <v>1245</v>
      </c>
      <c r="B11" s="945" t="s">
        <v>1246</v>
      </c>
      <c r="C11" s="949" t="s">
        <v>743</v>
      </c>
      <c r="D11" s="1063">
        <v>5.0000000000000001E-3</v>
      </c>
      <c r="E11" s="971">
        <f>E9</f>
        <v>31588929.391579621</v>
      </c>
      <c r="F11" s="972">
        <f t="shared" si="0"/>
        <v>157944.64695789811</v>
      </c>
    </row>
    <row r="12" spans="1:6" x14ac:dyDescent="0.25">
      <c r="A12" s="1027"/>
      <c r="C12" s="949"/>
      <c r="D12" s="949"/>
      <c r="F12" s="972"/>
    </row>
    <row r="13" spans="1:6" x14ac:dyDescent="0.25">
      <c r="A13" s="947" t="s">
        <v>1247</v>
      </c>
      <c r="B13" s="976" t="s">
        <v>1248</v>
      </c>
      <c r="C13" s="949"/>
      <c r="D13" s="949"/>
      <c r="F13" s="972"/>
    </row>
    <row r="14" spans="1:6" x14ac:dyDescent="0.25">
      <c r="A14" s="1027" t="s">
        <v>1249</v>
      </c>
      <c r="B14" s="945" t="s">
        <v>1250</v>
      </c>
      <c r="C14" s="949" t="s">
        <v>743</v>
      </c>
      <c r="D14" s="1062">
        <v>0.02</v>
      </c>
      <c r="E14" s="971">
        <f>E11</f>
        <v>31588929.391579621</v>
      </c>
      <c r="F14" s="972">
        <f t="shared" si="0"/>
        <v>631778.58783159242</v>
      </c>
    </row>
    <row r="15" spans="1:6" x14ac:dyDescent="0.25">
      <c r="A15" s="1027" t="s">
        <v>1251</v>
      </c>
      <c r="B15" s="945" t="s">
        <v>1252</v>
      </c>
      <c r="C15" s="949" t="s">
        <v>743</v>
      </c>
      <c r="D15" s="1062">
        <v>0.02</v>
      </c>
      <c r="E15" s="971">
        <f>E14</f>
        <v>31588929.391579621</v>
      </c>
      <c r="F15" s="972">
        <f t="shared" si="0"/>
        <v>631778.58783159242</v>
      </c>
    </row>
    <row r="16" spans="1:6" x14ac:dyDescent="0.25">
      <c r="A16" s="1027" t="s">
        <v>1253</v>
      </c>
      <c r="B16" s="974" t="s">
        <v>1254</v>
      </c>
      <c r="C16" s="949" t="s">
        <v>750</v>
      </c>
      <c r="D16" s="1064">
        <v>1</v>
      </c>
      <c r="E16" s="971">
        <v>100000</v>
      </c>
      <c r="F16" s="972">
        <f t="shared" si="0"/>
        <v>100000</v>
      </c>
    </row>
    <row r="17" spans="1:6" x14ac:dyDescent="0.25">
      <c r="A17" s="1027" t="s">
        <v>1255</v>
      </c>
      <c r="B17" s="974" t="s">
        <v>1256</v>
      </c>
      <c r="C17" s="949" t="s">
        <v>743</v>
      </c>
      <c r="D17" s="1063">
        <v>5.0000000000000001E-3</v>
      </c>
      <c r="E17" s="971">
        <f>E14</f>
        <v>31588929.391579621</v>
      </c>
      <c r="F17" s="972">
        <f t="shared" si="0"/>
        <v>157944.64695789811</v>
      </c>
    </row>
    <row r="18" spans="1:6" x14ac:dyDescent="0.25">
      <c r="A18" s="1029"/>
      <c r="C18" s="949"/>
      <c r="D18" s="949"/>
      <c r="F18" s="972"/>
    </row>
    <row r="19" spans="1:6" ht="15.75" thickBot="1" x14ac:dyDescent="0.3">
      <c r="A19" s="1056"/>
      <c r="B19" s="1003" t="s">
        <v>755</v>
      </c>
      <c r="C19" s="1034"/>
      <c r="D19" s="1034"/>
      <c r="E19" s="1035"/>
      <c r="F19" s="955">
        <f>SUM(F5:F18)</f>
        <v>4560991.0861158604</v>
      </c>
    </row>
    <row r="20" spans="1:6" ht="15.75" thickTop="1" x14ac:dyDescent="0.25"/>
  </sheetData>
  <pageMargins left="0.7" right="0.7" top="0.75" bottom="0.75" header="0.3" footer="0.3"/>
  <ignoredErrors>
    <ignoredError sqref="E6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"/>
  <sheetViews>
    <sheetView workbookViewId="0">
      <selection activeCell="C14" sqref="C14"/>
    </sheetView>
  </sheetViews>
  <sheetFormatPr defaultColWidth="9.140625" defaultRowHeight="15" x14ac:dyDescent="0.25"/>
  <cols>
    <col min="1" max="1" width="9.140625" style="1030"/>
    <col min="2" max="2" width="84.85546875" style="945" customWidth="1"/>
    <col min="3" max="3" width="6.7109375" style="945" customWidth="1"/>
    <col min="4" max="4" width="13.5703125" style="945" customWidth="1"/>
    <col min="5" max="5" width="16.42578125" style="971" customWidth="1"/>
    <col min="6" max="6" width="20.28515625" style="971" bestFit="1" customWidth="1"/>
    <col min="7" max="16384" width="9.140625" style="945"/>
  </cols>
  <sheetData>
    <row r="1" spans="1:6" x14ac:dyDescent="0.25">
      <c r="A1" s="996" t="s">
        <v>658</v>
      </c>
      <c r="B1" s="995" t="s">
        <v>659</v>
      </c>
      <c r="C1" s="996" t="s">
        <v>660</v>
      </c>
      <c r="D1" s="997" t="s">
        <v>1228</v>
      </c>
      <c r="E1" s="998" t="s">
        <v>200</v>
      </c>
      <c r="F1" s="999" t="s">
        <v>662</v>
      </c>
    </row>
    <row r="2" spans="1:6" x14ac:dyDescent="0.25">
      <c r="A2" s="1027"/>
      <c r="C2" s="949"/>
      <c r="D2" s="949"/>
      <c r="F2" s="972"/>
    </row>
    <row r="3" spans="1:6" x14ac:dyDescent="0.25">
      <c r="A3" s="946" t="s">
        <v>1257</v>
      </c>
      <c r="B3" s="973" t="s">
        <v>1258</v>
      </c>
      <c r="C3" s="949"/>
      <c r="D3" s="949"/>
      <c r="F3" s="972"/>
    </row>
    <row r="4" spans="1:6" x14ac:dyDescent="0.25">
      <c r="A4" s="947">
        <v>10.1</v>
      </c>
      <c r="B4" s="976" t="s">
        <v>1259</v>
      </c>
      <c r="C4" s="949"/>
      <c r="D4" s="949"/>
      <c r="F4" s="972"/>
    </row>
    <row r="5" spans="1:6" x14ac:dyDescent="0.25">
      <c r="A5" s="1027" t="s">
        <v>1260</v>
      </c>
      <c r="B5" s="974" t="s">
        <v>1261</v>
      </c>
      <c r="C5" s="949" t="s">
        <v>743</v>
      </c>
      <c r="D5" s="1062">
        <v>0.05</v>
      </c>
      <c r="E5" s="971">
        <f>SUM('Capex Summary Sheet'!F5:F14)</f>
        <v>44193274.41856917</v>
      </c>
      <c r="F5" s="972">
        <f>D5*E5</f>
        <v>2209663.7209284585</v>
      </c>
    </row>
    <row r="6" spans="1:6" x14ac:dyDescent="0.25">
      <c r="A6" s="1027" t="s">
        <v>1262</v>
      </c>
      <c r="B6" s="945" t="s">
        <v>1263</v>
      </c>
      <c r="C6" s="949" t="s">
        <v>750</v>
      </c>
      <c r="D6" s="949">
        <v>0</v>
      </c>
      <c r="E6" s="971">
        <v>0</v>
      </c>
      <c r="F6" s="972">
        <f t="shared" ref="F6" si="0">D6*E6</f>
        <v>0</v>
      </c>
    </row>
    <row r="7" spans="1:6" x14ac:dyDescent="0.25">
      <c r="A7" s="1027"/>
      <c r="C7" s="949"/>
      <c r="D7" s="949"/>
      <c r="F7" s="972"/>
    </row>
    <row r="8" spans="1:6" ht="15.75" thickBot="1" x14ac:dyDescent="0.3">
      <c r="A8" s="1056"/>
      <c r="B8" s="1003" t="s">
        <v>755</v>
      </c>
      <c r="C8" s="1034"/>
      <c r="D8" s="1034"/>
      <c r="E8" s="1035"/>
      <c r="F8" s="955">
        <f>SUM(F5:F7)</f>
        <v>2209663.7209284585</v>
      </c>
    </row>
    <row r="9" spans="1:6" ht="15.75" thickTop="1" x14ac:dyDescent="0.25"/>
  </sheetData>
  <pageMargins left="0.7" right="0.7" top="0.75" bottom="0.75" header="0.3" footer="0.3"/>
  <ignoredErrors>
    <ignoredError sqref="E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D46"/>
  <sheetViews>
    <sheetView zoomScale="68" zoomScaleNormal="68" zoomScalePage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P14" sqref="BP14"/>
    </sheetView>
  </sheetViews>
  <sheetFormatPr defaultColWidth="8.85546875" defaultRowHeight="12.75" x14ac:dyDescent="0.2"/>
  <cols>
    <col min="1" max="1" width="19.42578125" style="2" customWidth="1"/>
    <col min="2" max="2" width="31.85546875" style="2" customWidth="1"/>
    <col min="3" max="3" width="1.28515625" style="2" customWidth="1"/>
    <col min="4" max="105" width="11.7109375" style="2" customWidth="1"/>
    <col min="106" max="106" width="12.5703125" style="2" bestFit="1" customWidth="1"/>
    <col min="107" max="122" width="11.7109375" style="2" customWidth="1"/>
    <col min="123" max="123" width="12.5703125" style="2" bestFit="1" customWidth="1"/>
    <col min="124" max="124" width="11.7109375" style="2" customWidth="1"/>
    <col min="125" max="16384" width="8.85546875" style="2"/>
  </cols>
  <sheetData>
    <row r="1" spans="1:124" ht="17.25" customHeight="1" x14ac:dyDescent="0.2">
      <c r="A1" s="1342" t="s">
        <v>152</v>
      </c>
      <c r="B1" s="1342"/>
      <c r="C1" s="101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5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42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42"/>
      <c r="AN1" s="887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42"/>
      <c r="AZ1" s="887"/>
      <c r="BA1" s="887"/>
      <c r="BB1" s="887"/>
      <c r="BC1" s="887"/>
      <c r="BD1" s="887"/>
      <c r="BE1" s="887"/>
      <c r="BF1" s="887"/>
      <c r="BG1" s="887"/>
      <c r="BH1" s="887"/>
      <c r="BI1" s="887"/>
      <c r="BJ1" s="887"/>
      <c r="BK1" s="842"/>
      <c r="BL1" s="887"/>
      <c r="BM1" s="887"/>
      <c r="BN1" s="887"/>
      <c r="BO1" s="887"/>
      <c r="BP1" s="887"/>
      <c r="BQ1" s="887"/>
      <c r="BR1" s="887"/>
      <c r="BS1" s="887"/>
      <c r="BT1" s="887"/>
      <c r="BU1" s="887"/>
      <c r="BV1" s="887"/>
      <c r="BW1" s="842"/>
      <c r="BX1" s="887"/>
      <c r="BY1" s="887"/>
      <c r="BZ1" s="887"/>
      <c r="CA1" s="887"/>
      <c r="CB1" s="887"/>
      <c r="CC1" s="887"/>
      <c r="CD1" s="887"/>
      <c r="CE1" s="887"/>
      <c r="CF1" s="887"/>
      <c r="CG1" s="887"/>
      <c r="CH1" s="887"/>
      <c r="CI1" s="842"/>
      <c r="CJ1" s="887"/>
      <c r="CK1" s="887"/>
      <c r="CL1" s="887"/>
      <c r="CM1" s="887"/>
      <c r="CN1" s="887"/>
      <c r="CO1" s="887"/>
      <c r="CP1" s="887"/>
      <c r="CQ1" s="887"/>
      <c r="CR1" s="887"/>
      <c r="CS1" s="887"/>
      <c r="CT1" s="887"/>
      <c r="CU1" s="842"/>
      <c r="CV1" s="887"/>
      <c r="CW1" s="887"/>
      <c r="CX1" s="887"/>
      <c r="CY1" s="887"/>
      <c r="CZ1" s="887"/>
      <c r="DA1" s="887"/>
      <c r="DB1" s="887"/>
      <c r="DC1" s="887"/>
      <c r="DD1" s="887"/>
      <c r="DE1" s="887"/>
      <c r="DF1" s="887"/>
      <c r="DG1" s="842"/>
      <c r="DH1" s="887"/>
      <c r="DI1" s="887"/>
      <c r="DJ1" s="887"/>
      <c r="DK1" s="887"/>
      <c r="DL1" s="887"/>
      <c r="DM1" s="887"/>
      <c r="DN1" s="887"/>
      <c r="DO1" s="887"/>
      <c r="DP1" s="887"/>
      <c r="DQ1" s="887"/>
      <c r="DR1" s="887"/>
      <c r="DS1" s="842"/>
      <c r="DT1" s="843"/>
    </row>
    <row r="2" spans="1:124" ht="39" customHeight="1" x14ac:dyDescent="0.2">
      <c r="A2" s="1342"/>
      <c r="B2" s="1342"/>
      <c r="C2" s="101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5"/>
      <c r="P2" s="1"/>
      <c r="Q2" s="18"/>
      <c r="R2" s="1"/>
      <c r="S2" s="1"/>
      <c r="T2" s="1"/>
      <c r="U2" s="1"/>
      <c r="V2" s="1"/>
      <c r="W2" s="1"/>
      <c r="X2" s="1"/>
      <c r="Y2" s="1"/>
      <c r="Z2" s="1"/>
      <c r="AA2" s="692"/>
      <c r="AB2" s="1"/>
      <c r="AC2" s="1"/>
      <c r="AD2" s="1"/>
      <c r="AE2" s="1"/>
      <c r="AF2" s="1"/>
      <c r="AG2" s="1"/>
      <c r="AH2" s="1"/>
      <c r="AI2" s="1"/>
      <c r="AJ2" s="1" t="s">
        <v>55</v>
      </c>
      <c r="AK2" s="1"/>
      <c r="AL2" s="1"/>
      <c r="AM2" s="69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692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692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692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92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692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692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692"/>
      <c r="DT2" s="843"/>
    </row>
    <row r="3" spans="1:124" ht="18.75" customHeight="1" x14ac:dyDescent="0.2">
      <c r="A3" s="1342"/>
      <c r="B3" s="1342"/>
      <c r="C3" s="101"/>
      <c r="D3" s="1334" t="s">
        <v>454</v>
      </c>
      <c r="E3" s="1334"/>
      <c r="F3" s="1334"/>
      <c r="G3" s="1334"/>
      <c r="H3" s="1334"/>
      <c r="I3" s="1334"/>
      <c r="J3" s="1334"/>
      <c r="K3" s="1334"/>
      <c r="L3" s="1334"/>
      <c r="M3" s="1334"/>
      <c r="N3" s="1334"/>
      <c r="O3" s="1335"/>
      <c r="P3" s="1340" t="s">
        <v>455</v>
      </c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1"/>
      <c r="AB3" s="1340" t="s">
        <v>456</v>
      </c>
      <c r="AC3" s="1340"/>
      <c r="AD3" s="1340"/>
      <c r="AE3" s="1340"/>
      <c r="AF3" s="1340"/>
      <c r="AG3" s="1340"/>
      <c r="AH3" s="1340"/>
      <c r="AI3" s="1340"/>
      <c r="AJ3" s="1340"/>
      <c r="AK3" s="1340"/>
      <c r="AL3" s="1340"/>
      <c r="AM3" s="1341"/>
      <c r="AN3" s="1340" t="s">
        <v>457</v>
      </c>
      <c r="AO3" s="1340"/>
      <c r="AP3" s="1340"/>
      <c r="AQ3" s="1340"/>
      <c r="AR3" s="1340"/>
      <c r="AS3" s="1340"/>
      <c r="AT3" s="1340"/>
      <c r="AU3" s="1340"/>
      <c r="AV3" s="1340"/>
      <c r="AW3" s="1340"/>
      <c r="AX3" s="1340"/>
      <c r="AY3" s="1341"/>
      <c r="AZ3" s="1340" t="s">
        <v>458</v>
      </c>
      <c r="BA3" s="1340"/>
      <c r="BB3" s="1340"/>
      <c r="BC3" s="1340"/>
      <c r="BD3" s="1340"/>
      <c r="BE3" s="1340"/>
      <c r="BF3" s="1340"/>
      <c r="BG3" s="1340"/>
      <c r="BH3" s="1340"/>
      <c r="BI3" s="1340"/>
      <c r="BJ3" s="1340"/>
      <c r="BK3" s="1341"/>
      <c r="BL3" s="1340" t="s">
        <v>459</v>
      </c>
      <c r="BM3" s="1340"/>
      <c r="BN3" s="1340"/>
      <c r="BO3" s="1340"/>
      <c r="BP3" s="1340"/>
      <c r="BQ3" s="1340"/>
      <c r="BR3" s="1340"/>
      <c r="BS3" s="1340"/>
      <c r="BT3" s="1340"/>
      <c r="BU3" s="1340"/>
      <c r="BV3" s="1340"/>
      <c r="BW3" s="1341"/>
      <c r="BX3" s="1340" t="s">
        <v>460</v>
      </c>
      <c r="BY3" s="1340"/>
      <c r="BZ3" s="1340"/>
      <c r="CA3" s="1340"/>
      <c r="CB3" s="1340"/>
      <c r="CC3" s="1340"/>
      <c r="CD3" s="1340"/>
      <c r="CE3" s="1340"/>
      <c r="CF3" s="1340"/>
      <c r="CG3" s="1340"/>
      <c r="CH3" s="1340"/>
      <c r="CI3" s="1341"/>
      <c r="CJ3" s="1340" t="s">
        <v>461</v>
      </c>
      <c r="CK3" s="1340"/>
      <c r="CL3" s="1340"/>
      <c r="CM3" s="1340"/>
      <c r="CN3" s="1340"/>
      <c r="CO3" s="1340"/>
      <c r="CP3" s="1340"/>
      <c r="CQ3" s="1340"/>
      <c r="CR3" s="1340"/>
      <c r="CS3" s="1340"/>
      <c r="CT3" s="1340"/>
      <c r="CU3" s="1341"/>
      <c r="CV3" s="1340" t="s">
        <v>462</v>
      </c>
      <c r="CW3" s="1340"/>
      <c r="CX3" s="1340"/>
      <c r="CY3" s="1340"/>
      <c r="CZ3" s="1340"/>
      <c r="DA3" s="1340"/>
      <c r="DB3" s="1340"/>
      <c r="DC3" s="1340"/>
      <c r="DD3" s="1340"/>
      <c r="DE3" s="1340"/>
      <c r="DF3" s="1340"/>
      <c r="DG3" s="1341"/>
      <c r="DH3" s="1340" t="s">
        <v>463</v>
      </c>
      <c r="DI3" s="1340"/>
      <c r="DJ3" s="1340"/>
      <c r="DK3" s="1340"/>
      <c r="DL3" s="1340"/>
      <c r="DM3" s="1340"/>
      <c r="DN3" s="1340"/>
      <c r="DO3" s="1340"/>
      <c r="DP3" s="1340"/>
      <c r="DQ3" s="1340"/>
      <c r="DR3" s="1340"/>
      <c r="DS3" s="1341"/>
      <c r="DT3" s="843"/>
    </row>
    <row r="4" spans="1:124" ht="12.75" customHeight="1" x14ac:dyDescent="0.25">
      <c r="A4" s="1342"/>
      <c r="B4" s="1342"/>
      <c r="C4" s="7"/>
      <c r="D4" s="840" t="s">
        <v>174</v>
      </c>
      <c r="E4" s="840" t="s">
        <v>175</v>
      </c>
      <c r="F4" s="840" t="s">
        <v>176</v>
      </c>
      <c r="G4" s="840" t="s">
        <v>177</v>
      </c>
      <c r="H4" s="840" t="s">
        <v>166</v>
      </c>
      <c r="I4" s="840" t="s">
        <v>167</v>
      </c>
      <c r="J4" s="840" t="s">
        <v>168</v>
      </c>
      <c r="K4" s="840" t="s">
        <v>169</v>
      </c>
      <c r="L4" s="840" t="s">
        <v>170</v>
      </c>
      <c r="M4" s="840" t="s">
        <v>171</v>
      </c>
      <c r="N4" s="840" t="s">
        <v>172</v>
      </c>
      <c r="O4" s="682" t="s">
        <v>173</v>
      </c>
      <c r="P4" s="891" t="s">
        <v>174</v>
      </c>
      <c r="Q4" s="891" t="s">
        <v>175</v>
      </c>
      <c r="R4" s="891" t="s">
        <v>176</v>
      </c>
      <c r="S4" s="891" t="s">
        <v>177</v>
      </c>
      <c r="T4" s="891" t="s">
        <v>166</v>
      </c>
      <c r="U4" s="891" t="s">
        <v>167</v>
      </c>
      <c r="V4" s="891" t="s">
        <v>168</v>
      </c>
      <c r="W4" s="891" t="s">
        <v>169</v>
      </c>
      <c r="X4" s="891" t="s">
        <v>170</v>
      </c>
      <c r="Y4" s="891" t="s">
        <v>171</v>
      </c>
      <c r="Z4" s="891" t="s">
        <v>172</v>
      </c>
      <c r="AA4" s="846" t="s">
        <v>173</v>
      </c>
      <c r="AB4" s="891" t="s">
        <v>174</v>
      </c>
      <c r="AC4" s="891" t="s">
        <v>175</v>
      </c>
      <c r="AD4" s="891" t="s">
        <v>176</v>
      </c>
      <c r="AE4" s="891" t="s">
        <v>177</v>
      </c>
      <c r="AF4" s="891" t="s">
        <v>166</v>
      </c>
      <c r="AG4" s="891" t="s">
        <v>167</v>
      </c>
      <c r="AH4" s="891" t="s">
        <v>168</v>
      </c>
      <c r="AI4" s="891" t="s">
        <v>169</v>
      </c>
      <c r="AJ4" s="891" t="s">
        <v>170</v>
      </c>
      <c r="AK4" s="891" t="s">
        <v>171</v>
      </c>
      <c r="AL4" s="891" t="s">
        <v>172</v>
      </c>
      <c r="AM4" s="846" t="s">
        <v>173</v>
      </c>
      <c r="AN4" s="891" t="s">
        <v>174</v>
      </c>
      <c r="AO4" s="891" t="s">
        <v>175</v>
      </c>
      <c r="AP4" s="891" t="s">
        <v>176</v>
      </c>
      <c r="AQ4" s="891" t="s">
        <v>177</v>
      </c>
      <c r="AR4" s="891" t="s">
        <v>166</v>
      </c>
      <c r="AS4" s="891" t="s">
        <v>167</v>
      </c>
      <c r="AT4" s="891" t="s">
        <v>168</v>
      </c>
      <c r="AU4" s="891" t="s">
        <v>169</v>
      </c>
      <c r="AV4" s="891" t="s">
        <v>170</v>
      </c>
      <c r="AW4" s="891" t="s">
        <v>171</v>
      </c>
      <c r="AX4" s="891" t="s">
        <v>172</v>
      </c>
      <c r="AY4" s="846" t="s">
        <v>173</v>
      </c>
      <c r="AZ4" s="891" t="s">
        <v>174</v>
      </c>
      <c r="BA4" s="891" t="s">
        <v>175</v>
      </c>
      <c r="BB4" s="891" t="s">
        <v>176</v>
      </c>
      <c r="BC4" s="891" t="s">
        <v>177</v>
      </c>
      <c r="BD4" s="891" t="s">
        <v>166</v>
      </c>
      <c r="BE4" s="891" t="s">
        <v>167</v>
      </c>
      <c r="BF4" s="891" t="s">
        <v>168</v>
      </c>
      <c r="BG4" s="891" t="s">
        <v>169</v>
      </c>
      <c r="BH4" s="891" t="s">
        <v>170</v>
      </c>
      <c r="BI4" s="891" t="s">
        <v>171</v>
      </c>
      <c r="BJ4" s="891" t="s">
        <v>172</v>
      </c>
      <c r="BK4" s="846" t="s">
        <v>173</v>
      </c>
      <c r="BL4" s="891" t="s">
        <v>174</v>
      </c>
      <c r="BM4" s="891" t="s">
        <v>175</v>
      </c>
      <c r="BN4" s="891" t="s">
        <v>176</v>
      </c>
      <c r="BO4" s="891" t="s">
        <v>177</v>
      </c>
      <c r="BP4" s="891" t="s">
        <v>166</v>
      </c>
      <c r="BQ4" s="891" t="s">
        <v>167</v>
      </c>
      <c r="BR4" s="891" t="s">
        <v>168</v>
      </c>
      <c r="BS4" s="891" t="s">
        <v>169</v>
      </c>
      <c r="BT4" s="891" t="s">
        <v>170</v>
      </c>
      <c r="BU4" s="891" t="s">
        <v>171</v>
      </c>
      <c r="BV4" s="891" t="s">
        <v>172</v>
      </c>
      <c r="BW4" s="846" t="s">
        <v>173</v>
      </c>
      <c r="BX4" s="891" t="s">
        <v>174</v>
      </c>
      <c r="BY4" s="891" t="s">
        <v>175</v>
      </c>
      <c r="BZ4" s="891" t="s">
        <v>176</v>
      </c>
      <c r="CA4" s="891" t="s">
        <v>177</v>
      </c>
      <c r="CB4" s="891" t="s">
        <v>166</v>
      </c>
      <c r="CC4" s="891" t="s">
        <v>167</v>
      </c>
      <c r="CD4" s="891" t="s">
        <v>168</v>
      </c>
      <c r="CE4" s="891" t="s">
        <v>169</v>
      </c>
      <c r="CF4" s="891" t="s">
        <v>170</v>
      </c>
      <c r="CG4" s="891" t="s">
        <v>171</v>
      </c>
      <c r="CH4" s="891" t="s">
        <v>172</v>
      </c>
      <c r="CI4" s="846" t="s">
        <v>173</v>
      </c>
      <c r="CJ4" s="891" t="s">
        <v>174</v>
      </c>
      <c r="CK4" s="891" t="s">
        <v>175</v>
      </c>
      <c r="CL4" s="891" t="s">
        <v>176</v>
      </c>
      <c r="CM4" s="891" t="s">
        <v>177</v>
      </c>
      <c r="CN4" s="891" t="s">
        <v>166</v>
      </c>
      <c r="CO4" s="891" t="s">
        <v>167</v>
      </c>
      <c r="CP4" s="891" t="s">
        <v>168</v>
      </c>
      <c r="CQ4" s="891" t="s">
        <v>169</v>
      </c>
      <c r="CR4" s="891" t="s">
        <v>170</v>
      </c>
      <c r="CS4" s="891" t="s">
        <v>171</v>
      </c>
      <c r="CT4" s="891" t="s">
        <v>172</v>
      </c>
      <c r="CU4" s="846" t="s">
        <v>173</v>
      </c>
      <c r="CV4" s="891" t="s">
        <v>174</v>
      </c>
      <c r="CW4" s="891" t="s">
        <v>175</v>
      </c>
      <c r="CX4" s="891" t="s">
        <v>176</v>
      </c>
      <c r="CY4" s="891" t="s">
        <v>177</v>
      </c>
      <c r="CZ4" s="891" t="s">
        <v>166</v>
      </c>
      <c r="DA4" s="891" t="s">
        <v>167</v>
      </c>
      <c r="DB4" s="891" t="s">
        <v>168</v>
      </c>
      <c r="DC4" s="891" t="s">
        <v>169</v>
      </c>
      <c r="DD4" s="891" t="s">
        <v>170</v>
      </c>
      <c r="DE4" s="891" t="s">
        <v>171</v>
      </c>
      <c r="DF4" s="891" t="s">
        <v>172</v>
      </c>
      <c r="DG4" s="846" t="s">
        <v>173</v>
      </c>
      <c r="DH4" s="891" t="s">
        <v>174</v>
      </c>
      <c r="DI4" s="891" t="s">
        <v>175</v>
      </c>
      <c r="DJ4" s="891" t="s">
        <v>176</v>
      </c>
      <c r="DK4" s="891" t="s">
        <v>177</v>
      </c>
      <c r="DL4" s="891" t="s">
        <v>166</v>
      </c>
      <c r="DM4" s="891" t="s">
        <v>167</v>
      </c>
      <c r="DN4" s="891" t="s">
        <v>168</v>
      </c>
      <c r="DO4" s="891" t="s">
        <v>169</v>
      </c>
      <c r="DP4" s="891" t="s">
        <v>170</v>
      </c>
      <c r="DQ4" s="891" t="s">
        <v>171</v>
      </c>
      <c r="DR4" s="891" t="s">
        <v>172</v>
      </c>
      <c r="DS4" s="846" t="s">
        <v>173</v>
      </c>
      <c r="DT4" s="843"/>
    </row>
    <row r="5" spans="1:124" ht="12.75" customHeight="1" x14ac:dyDescent="0.2">
      <c r="A5" s="246"/>
      <c r="B5" s="246"/>
      <c r="C5" s="7"/>
      <c r="D5" s="1334"/>
      <c r="E5" s="1334"/>
      <c r="F5" s="1334"/>
      <c r="G5" s="1334"/>
      <c r="H5" s="1334"/>
      <c r="I5" s="1334"/>
      <c r="J5" s="1334"/>
      <c r="K5" s="1334"/>
      <c r="L5" s="1334"/>
      <c r="M5" s="1334"/>
      <c r="N5" s="1334"/>
      <c r="O5" s="1335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905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905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905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905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905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905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905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905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905"/>
      <c r="DT5" s="843"/>
    </row>
    <row r="6" spans="1:124" ht="15.75" customHeight="1" x14ac:dyDescent="0.2">
      <c r="A6" s="1337" t="s">
        <v>130</v>
      </c>
      <c r="B6" s="1337"/>
      <c r="C6" s="7"/>
      <c r="D6" s="1334"/>
      <c r="E6" s="1334"/>
      <c r="F6" s="1334"/>
      <c r="G6" s="1334"/>
      <c r="H6" s="1334"/>
      <c r="I6" s="1334"/>
      <c r="J6" s="1334"/>
      <c r="K6" s="1334"/>
      <c r="L6" s="1334"/>
      <c r="M6" s="1334"/>
      <c r="N6" s="1334"/>
      <c r="O6" s="1335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905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905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905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905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905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905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905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905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905"/>
      <c r="DT6" s="843"/>
    </row>
    <row r="7" spans="1:124" ht="15.75" customHeight="1" x14ac:dyDescent="0.2">
      <c r="A7" s="1337"/>
      <c r="B7" s="1337"/>
      <c r="C7" s="73"/>
      <c r="D7" s="1334"/>
      <c r="E7" s="1334"/>
      <c r="F7" s="1334"/>
      <c r="G7" s="1334"/>
      <c r="H7" s="1334"/>
      <c r="I7" s="1334"/>
      <c r="J7" s="1334"/>
      <c r="K7" s="1334"/>
      <c r="L7" s="1334"/>
      <c r="M7" s="1334"/>
      <c r="N7" s="1334"/>
      <c r="O7" s="1335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74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74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74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74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74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74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74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74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74"/>
      <c r="DT7" s="843"/>
    </row>
    <row r="8" spans="1:124" ht="22.5" customHeight="1" x14ac:dyDescent="0.3">
      <c r="A8" s="1330" t="s">
        <v>101</v>
      </c>
      <c r="B8" s="1330"/>
      <c r="C8" s="103"/>
      <c r="D8" s="404">
        <f>SUM('1.Revenue'!E29:E31)</f>
        <v>0</v>
      </c>
      <c r="E8" s="404">
        <f>SUM('1.Revenue'!F29:F31)</f>
        <v>0</v>
      </c>
      <c r="F8" s="404">
        <f>SUM('1.Revenue'!G29:G31)</f>
        <v>0</v>
      </c>
      <c r="G8" s="404">
        <f>SUM('1.Revenue'!H29:H31)</f>
        <v>0</v>
      </c>
      <c r="H8" s="404">
        <f>SUM('1.Revenue'!I29:I31)</f>
        <v>0</v>
      </c>
      <c r="I8" s="404">
        <f>SUM('1.Revenue'!J29:J31)</f>
        <v>0</v>
      </c>
      <c r="J8" s="404">
        <f>SUM('1.Revenue'!K29:K31)</f>
        <v>0</v>
      </c>
      <c r="K8" s="404">
        <f>SUM('1.Revenue'!L29:L31)</f>
        <v>0</v>
      </c>
      <c r="L8" s="404">
        <f>SUM('1.Revenue'!M29:M31)</f>
        <v>0</v>
      </c>
      <c r="M8" s="404">
        <f>SUM('1.Revenue'!N29:N31)</f>
        <v>0</v>
      </c>
      <c r="N8" s="404">
        <f>SUM('1.Revenue'!O29:O31)</f>
        <v>0</v>
      </c>
      <c r="O8" s="497">
        <f>SUM('1.Revenue'!P29:P31)</f>
        <v>0</v>
      </c>
      <c r="P8" s="299">
        <f>SUM('1.Revenue'!Q29:Q31)</f>
        <v>0</v>
      </c>
      <c r="Q8" s="300">
        <f>SUM('1.Revenue'!R29:R31)</f>
        <v>0</v>
      </c>
      <c r="R8" s="300">
        <f>SUM('1.Revenue'!S29:S31)</f>
        <v>0</v>
      </c>
      <c r="S8" s="300">
        <f>SUM('1.Revenue'!T29:T31)</f>
        <v>0</v>
      </c>
      <c r="T8" s="300">
        <f>SUM('1.Revenue'!U29:U31)</f>
        <v>0</v>
      </c>
      <c r="U8" s="300">
        <f>SUM('1.Revenue'!V29:V31)</f>
        <v>0</v>
      </c>
      <c r="V8" s="300">
        <f>SUM('1.Revenue'!W29:W31)</f>
        <v>0</v>
      </c>
      <c r="W8" s="300">
        <f>SUM('1.Revenue'!X29:X31)</f>
        <v>0</v>
      </c>
      <c r="X8" s="300">
        <f>SUM('1.Revenue'!Y29:Y31)</f>
        <v>0</v>
      </c>
      <c r="Y8" s="300">
        <f>SUM('1.Revenue'!Z29:Z31)</f>
        <v>0</v>
      </c>
      <c r="Z8" s="300">
        <f>SUM('1.Revenue'!AA29:AA31)</f>
        <v>0</v>
      </c>
      <c r="AA8" s="206">
        <f>SUM('1.Revenue'!AB29:AB31)</f>
        <v>0</v>
      </c>
      <c r="AB8" s="299">
        <f>SUM('1.Revenue'!AC29:AC31)</f>
        <v>0</v>
      </c>
      <c r="AC8" s="300">
        <f>SUM('1.Revenue'!AD29:AD31)</f>
        <v>0</v>
      </c>
      <c r="AD8" s="300">
        <f>SUM('1.Revenue'!AE29:AE31)</f>
        <v>0</v>
      </c>
      <c r="AE8" s="300">
        <f>SUM('1.Revenue'!AF29:AF31)</f>
        <v>0</v>
      </c>
      <c r="AF8" s="300">
        <f>SUM('1.Revenue'!AG29:AG31)</f>
        <v>0</v>
      </c>
      <c r="AG8" s="300">
        <f>SUM('1.Revenue'!AH29:AH31)</f>
        <v>0</v>
      </c>
      <c r="AH8" s="300">
        <f>SUM('1.Revenue'!AI29:AI31)</f>
        <v>0</v>
      </c>
      <c r="AI8" s="300">
        <f>SUM('1.Revenue'!AJ29:AJ31)</f>
        <v>0</v>
      </c>
      <c r="AJ8" s="300">
        <f>SUM('1.Revenue'!AK29:AK31)</f>
        <v>0</v>
      </c>
      <c r="AK8" s="300">
        <f>SUM('1.Revenue'!AL29:AL31)</f>
        <v>0</v>
      </c>
      <c r="AL8" s="300">
        <f>SUM('1.Revenue'!AM29:AM31)</f>
        <v>3267700.3772194642</v>
      </c>
      <c r="AM8" s="206">
        <f>SUM('1.Revenue'!AN29:AN31)</f>
        <v>3646429.7786309803</v>
      </c>
      <c r="AN8" s="299">
        <f>SUM('1.Revenue'!AO29:AO31)</f>
        <v>3208589.6299624974</v>
      </c>
      <c r="AO8" s="300">
        <f>SUM('1.Revenue'!AP29:AP31)</f>
        <v>3554456.6224380853</v>
      </c>
      <c r="AP8" s="300">
        <f>SUM('1.Revenue'!AQ29:AQ31)</f>
        <v>3966421.3295893148</v>
      </c>
      <c r="AQ8" s="300">
        <f>SUM('1.Revenue'!AR29:AR31)</f>
        <v>3477223.3551709107</v>
      </c>
      <c r="AR8" s="300">
        <f>SUM('1.Revenue'!AS29:AS31)</f>
        <v>3613363.6858760333</v>
      </c>
      <c r="AS8" s="300">
        <f>SUM('1.Revenue'!AT29:AT31)</f>
        <v>4017917.2800960834</v>
      </c>
      <c r="AT8" s="300">
        <f>SUM('1.Revenue'!AU29:AU31)</f>
        <v>3535471.2695999169</v>
      </c>
      <c r="AU8" s="300">
        <f>SUM('1.Revenue'!AV29:AV31)</f>
        <v>3542760.1789279147</v>
      </c>
      <c r="AV8" s="300">
        <f>SUM('1.Revenue'!AW29:AW31)</f>
        <v>3939408.9772338294</v>
      </c>
      <c r="AW8" s="300">
        <f>SUM('1.Revenue'!AX29:AX31)</f>
        <v>3466389.7455552244</v>
      </c>
      <c r="AX8" s="300">
        <f>SUM('1.Revenue'!AY29:AY31)</f>
        <v>3473565.5009842901</v>
      </c>
      <c r="AY8" s="206">
        <f>SUM('1.Revenue'!AZ29:AZ31)</f>
        <v>3876154.8546847315</v>
      </c>
      <c r="AZ8" s="299">
        <f>SUM('1.Revenue'!BA29:BA31)</f>
        <v>3410730.7766501345</v>
      </c>
      <c r="BA8" s="300">
        <f>SUM('1.Revenue'!BB29:BB31)</f>
        <v>3778387.3896516841</v>
      </c>
      <c r="BB8" s="300">
        <f>SUM('1.Revenue'!BC29:BC31)</f>
        <v>4216305.8733534412</v>
      </c>
      <c r="BC8" s="300">
        <f>SUM('1.Revenue'!BD29:BD31)</f>
        <v>3696288.4265466775</v>
      </c>
      <c r="BD8" s="300">
        <f>SUM('1.Revenue'!BE29:BE31)</f>
        <v>3841005.5980862225</v>
      </c>
      <c r="BE8" s="300">
        <f>SUM('1.Revenue'!BF29:BF31)</f>
        <v>4271046.0687421355</v>
      </c>
      <c r="BF8" s="300">
        <f>SUM('1.Revenue'!BG29:BG31)</f>
        <v>3758205.9595847111</v>
      </c>
      <c r="BG8" s="300">
        <f>SUM('1.Revenue'!BH29:BH31)</f>
        <v>3765954.0702003725</v>
      </c>
      <c r="BH8" s="300">
        <f>SUM('1.Revenue'!BI29:BI31)</f>
        <v>4187591.7427995601</v>
      </c>
      <c r="BI8" s="300">
        <f>SUM('1.Revenue'!BJ29:BJ31)</f>
        <v>3684772.2995252027</v>
      </c>
      <c r="BJ8" s="300">
        <f>SUM('1.Revenue'!BK29:BK31)</f>
        <v>3692400.1275462997</v>
      </c>
      <c r="BK8" s="206">
        <f>SUM('1.Revenue'!BL29:BL31)</f>
        <v>4120352.6105298689</v>
      </c>
      <c r="BL8" s="299">
        <f>SUM('1.Revenue'!BM29:BM31)</f>
        <v>3625606.8155790921</v>
      </c>
      <c r="BM8" s="300">
        <f>SUM('1.Revenue'!BN29:BN31)</f>
        <v>4016425.7951997407</v>
      </c>
      <c r="BN8" s="300">
        <f>SUM('1.Revenue'!BO29:BO31)</f>
        <v>4481933.1433747075</v>
      </c>
      <c r="BO8" s="300">
        <f>SUM('1.Revenue'!BP29:BP31)</f>
        <v>3929154.5974191185</v>
      </c>
      <c r="BP8" s="300">
        <f>SUM('1.Revenue'!BQ29:BQ31)</f>
        <v>4082988.9507656549</v>
      </c>
      <c r="BQ8" s="300">
        <f>SUM('1.Revenue'!BR29:BR31)</f>
        <v>4540121.9710728908</v>
      </c>
      <c r="BR8" s="300">
        <f>SUM('1.Revenue'!BS29:BS31)</f>
        <v>3994972.9350385484</v>
      </c>
      <c r="BS8" s="300">
        <f>SUM('1.Revenue'!BT29:BT31)</f>
        <v>4003209.1766229961</v>
      </c>
      <c r="BT8" s="300">
        <f>SUM('1.Revenue'!BU29:BU31)</f>
        <v>4451410.0225959327</v>
      </c>
      <c r="BU8" s="300">
        <f>SUM('1.Revenue'!BV29:BV31)</f>
        <v>3916912.9543952909</v>
      </c>
      <c r="BV8" s="300">
        <f>SUM('1.Revenue'!BW29:BW31)</f>
        <v>3925021.3355817166</v>
      </c>
      <c r="BW8" s="206">
        <f>SUM('1.Revenue'!BX29:BX31)</f>
        <v>4379934.8249932509</v>
      </c>
      <c r="BX8" s="299">
        <f>SUM('1.Revenue'!BY29:BY31)</f>
        <v>3854020.0449605752</v>
      </c>
      <c r="BY8" s="300">
        <f>SUM('1.Revenue'!BZ29:BZ31)</f>
        <v>4269460.6202973239</v>
      </c>
      <c r="BZ8" s="300">
        <f>SUM('1.Revenue'!CA29:CA31)</f>
        <v>4764294.9314073147</v>
      </c>
      <c r="CA8" s="300">
        <f>SUM('1.Revenue'!CB29:CB31)</f>
        <v>4176691.3370565232</v>
      </c>
      <c r="CB8" s="300">
        <f>SUM('1.Revenue'!CC29:CC31)</f>
        <v>4340217.2546638912</v>
      </c>
      <c r="CC8" s="300">
        <f>SUM('1.Revenue'!CD29:CD31)</f>
        <v>4826149.6552504832</v>
      </c>
      <c r="CD8" s="300">
        <f>SUM('1.Revenue'!CE29:CE31)</f>
        <v>4246656.2299459772</v>
      </c>
      <c r="CE8" s="300">
        <f>SUM('1.Revenue'!CF29:CF31)</f>
        <v>4255411.3547502449</v>
      </c>
      <c r="CF8" s="300">
        <f>SUM('1.Revenue'!CG29:CG31)</f>
        <v>4731848.854019477</v>
      </c>
      <c r="CG8" s="300">
        <f>SUM('1.Revenue'!CH29:CH31)</f>
        <v>4163678.4705221942</v>
      </c>
      <c r="CH8" s="300">
        <f>SUM('1.Revenue'!CI29:CI31)</f>
        <v>4172297.6797233648</v>
      </c>
      <c r="CI8" s="206">
        <f>SUM('1.Revenue'!CJ29:CJ31)</f>
        <v>4655870.7189678261</v>
      </c>
      <c r="CJ8" s="299">
        <f>SUM('1.Revenue'!CK29:CK31)</f>
        <v>4096823.3077930915</v>
      </c>
      <c r="CK8" s="300">
        <f>SUM('1.Revenue'!CL29:CL31)</f>
        <v>4538436.6393760554</v>
      </c>
      <c r="CL8" s="300">
        <f>SUM('1.Revenue'!CM29:CM31)</f>
        <v>5064445.5120859742</v>
      </c>
      <c r="CM8" s="300">
        <f>SUM('1.Revenue'!CN29:CN31)</f>
        <v>4439822.8912910838</v>
      </c>
      <c r="CN8" s="300">
        <f>SUM('1.Revenue'!CO29:CO31)</f>
        <v>4613650.9417077154</v>
      </c>
      <c r="CO8" s="300">
        <f>SUM('1.Revenue'!CP29:CP31)</f>
        <v>5130197.0835312624</v>
      </c>
      <c r="CP8" s="300">
        <f>SUM('1.Revenue'!CQ29:CQ31)</f>
        <v>4514195.572432573</v>
      </c>
      <c r="CQ8" s="300">
        <f>SUM('1.Revenue'!CR29:CR31)</f>
        <v>4523502.2700995095</v>
      </c>
      <c r="CR8" s="300">
        <f>SUM('1.Revenue'!CS29:CS31)</f>
        <v>5029955.3318227027</v>
      </c>
      <c r="CS8" s="300">
        <f>SUM('1.Revenue'!CT29:CT31)</f>
        <v>4425990.2141650915</v>
      </c>
      <c r="CT8" s="300">
        <f>SUM('1.Revenue'!CU29:CU31)</f>
        <v>4435152.4335459359</v>
      </c>
      <c r="CU8" s="206">
        <f>SUM('1.Revenue'!CV29:CV31)</f>
        <v>4949190.5742627978</v>
      </c>
      <c r="CV8" s="299">
        <f>SUM('1.Revenue'!CW29:CW31)</f>
        <v>4354923.1761840554</v>
      </c>
      <c r="CW8" s="300">
        <f>SUM('1.Revenue'!CX29:CX31)</f>
        <v>4824358.1476567471</v>
      </c>
      <c r="CX8" s="300">
        <f>SUM('1.Revenue'!CY29:CY31)</f>
        <v>5383505.5793473916</v>
      </c>
      <c r="CY8" s="300">
        <f>SUM('1.Revenue'!CZ29:CZ31)</f>
        <v>4719531.733442422</v>
      </c>
      <c r="CZ8" s="300">
        <f>SUM('1.Revenue'!DA29:DA31)</f>
        <v>4904310.9510353021</v>
      </c>
      <c r="DA8" s="300">
        <f>SUM('1.Revenue'!DB29:DB31)</f>
        <v>5453399.4997937325</v>
      </c>
      <c r="DB8" s="300">
        <f>SUM('1.Revenue'!DC29:DC31)</f>
        <v>4798589.8934958251</v>
      </c>
      <c r="DC8" s="300">
        <f>SUM('1.Revenue'!DD29:DD31)</f>
        <v>4808482.9131157789</v>
      </c>
      <c r="DD8" s="300">
        <f>SUM('1.Revenue'!DE29:DE31)</f>
        <v>5346842.5177275334</v>
      </c>
      <c r="DE8" s="300">
        <f>SUM('1.Revenue'!DF29:DF31)</f>
        <v>4704827.5976574933</v>
      </c>
      <c r="DF8" s="300">
        <f>SUM('1.Revenue'!DG29:DG31)</f>
        <v>4714567.0368593307</v>
      </c>
      <c r="DG8" s="206">
        <f>SUM('1.Revenue'!DH29:DH31)</f>
        <v>5260989.5804413548</v>
      </c>
      <c r="DH8" s="299">
        <f>SUM('1.Revenue'!DI29:DI31)</f>
        <v>4629283.3362836512</v>
      </c>
      <c r="DI8" s="300">
        <f>SUM('1.Revenue'!DJ29:DJ31)</f>
        <v>5128292.7109591207</v>
      </c>
      <c r="DJ8" s="300">
        <f>SUM('1.Revenue'!DK29:DK31)</f>
        <v>5722666.4308462758</v>
      </c>
      <c r="DK8" s="300">
        <f>SUM('1.Revenue'!DL29:DL31)</f>
        <v>5016862.2326492937</v>
      </c>
      <c r="DL8" s="300">
        <f>SUM('1.Revenue'!DM29:DM31)</f>
        <v>5213282.5409505256</v>
      </c>
      <c r="DM8" s="300">
        <f>SUM('1.Revenue'!DN29:DN31)</f>
        <v>5796963.6682807365</v>
      </c>
      <c r="DN8" s="300">
        <f>SUM('1.Revenue'!DO29:DO31)</f>
        <v>5100901.0567860613</v>
      </c>
      <c r="DO8" s="300">
        <f>SUM('1.Revenue'!DP29:DP31)</f>
        <v>5111417.3366420725</v>
      </c>
      <c r="DP8" s="300">
        <f>SUM('1.Revenue'!DQ29:DQ31)</f>
        <v>5683693.5963443676</v>
      </c>
      <c r="DQ8" s="300">
        <f>SUM('1.Revenue'!DR29:DR31)</f>
        <v>5001231.7363099139</v>
      </c>
      <c r="DR8" s="300">
        <f>SUM('1.Revenue'!DS29:DS31)</f>
        <v>5011584.760181468</v>
      </c>
      <c r="DS8" s="206">
        <f>SUM('1.Revenue'!DT29:DT31)</f>
        <v>5592431.9240091592</v>
      </c>
      <c r="DT8" s="843"/>
    </row>
    <row r="9" spans="1:124" ht="19.5" customHeight="1" x14ac:dyDescent="0.25">
      <c r="A9" s="284" t="s">
        <v>63</v>
      </c>
      <c r="B9" s="284"/>
      <c r="C9" s="51"/>
      <c r="D9" s="404">
        <f>SUM('1.Revenue'!E24:E26)</f>
        <v>0</v>
      </c>
      <c r="E9" s="404">
        <f>SUM('1.Revenue'!F24:F26)</f>
        <v>0</v>
      </c>
      <c r="F9" s="404">
        <f>SUM('1.Revenue'!G24:G26)</f>
        <v>0</v>
      </c>
      <c r="G9" s="404">
        <f>SUM('1.Revenue'!H24:H26)</f>
        <v>0</v>
      </c>
      <c r="H9" s="404">
        <f>SUM('1.Revenue'!I24:I26)</f>
        <v>0</v>
      </c>
      <c r="I9" s="404">
        <f>SUM('1.Revenue'!J24:J26)</f>
        <v>0</v>
      </c>
      <c r="J9" s="404">
        <f>SUM('1.Revenue'!K24:K26)</f>
        <v>0</v>
      </c>
      <c r="K9" s="404">
        <f>SUM('1.Revenue'!L24:L26)</f>
        <v>0</v>
      </c>
      <c r="L9" s="404">
        <f>SUM('1.Revenue'!M24:M26)</f>
        <v>0</v>
      </c>
      <c r="M9" s="404">
        <f>SUM('1.Revenue'!N24:N26)</f>
        <v>0</v>
      </c>
      <c r="N9" s="404">
        <f>SUM('1.Revenue'!O24:O26)</f>
        <v>0</v>
      </c>
      <c r="O9" s="497">
        <f>SUM('1.Revenue'!P24:P26)</f>
        <v>0</v>
      </c>
      <c r="P9" s="133">
        <f>SUM('1.Revenue'!Q24:Q26)</f>
        <v>0</v>
      </c>
      <c r="Q9" s="186">
        <f>SUM('1.Revenue'!R24:R26)</f>
        <v>0</v>
      </c>
      <c r="R9" s="186">
        <f>SUM('1.Revenue'!S24:S26)</f>
        <v>0</v>
      </c>
      <c r="S9" s="186">
        <f>SUM('1.Revenue'!T24:T26)</f>
        <v>0</v>
      </c>
      <c r="T9" s="186">
        <f>SUM('1.Revenue'!U24:U26)</f>
        <v>0</v>
      </c>
      <c r="U9" s="186">
        <f>SUM('1.Revenue'!V24:V26)</f>
        <v>0</v>
      </c>
      <c r="V9" s="186">
        <f>SUM('1.Revenue'!W24:W26)</f>
        <v>0</v>
      </c>
      <c r="W9" s="186">
        <f>SUM('1.Revenue'!X24:X26)</f>
        <v>0</v>
      </c>
      <c r="X9" s="186">
        <f>SUM('1.Revenue'!Y24:Y26)</f>
        <v>0</v>
      </c>
      <c r="Y9" s="186">
        <f>SUM('1.Revenue'!Z24:Z26)</f>
        <v>0</v>
      </c>
      <c r="Z9" s="186">
        <f>SUM('1.Revenue'!AA24:AA26)</f>
        <v>0</v>
      </c>
      <c r="AA9" s="209">
        <f>SUM('1.Revenue'!AB24:AB26)</f>
        <v>0</v>
      </c>
      <c r="AB9" s="133">
        <f>SUM('1.Revenue'!AC24:AC26)</f>
        <v>0</v>
      </c>
      <c r="AC9" s="210">
        <f>SUM('1.Revenue'!AD24:AD26)</f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>
        <v>0</v>
      </c>
      <c r="AK9" s="210">
        <v>0</v>
      </c>
      <c r="AL9" s="210">
        <v>0</v>
      </c>
      <c r="AM9" s="209">
        <v>0</v>
      </c>
      <c r="AN9" s="211">
        <v>0</v>
      </c>
      <c r="AO9" s="210">
        <v>0</v>
      </c>
      <c r="AP9" s="210">
        <v>0</v>
      </c>
      <c r="AQ9" s="210">
        <v>0</v>
      </c>
      <c r="AR9" s="210">
        <v>0</v>
      </c>
      <c r="AS9" s="210">
        <v>0</v>
      </c>
      <c r="AT9" s="210">
        <v>0</v>
      </c>
      <c r="AU9" s="210">
        <v>0</v>
      </c>
      <c r="AV9" s="210">
        <v>0</v>
      </c>
      <c r="AW9" s="210">
        <v>0</v>
      </c>
      <c r="AX9" s="210">
        <v>0</v>
      </c>
      <c r="AY9" s="209">
        <v>0</v>
      </c>
      <c r="AZ9" s="211">
        <v>0</v>
      </c>
      <c r="BA9" s="210">
        <v>0</v>
      </c>
      <c r="BB9" s="210">
        <v>0</v>
      </c>
      <c r="BC9" s="210">
        <v>0</v>
      </c>
      <c r="BD9" s="210">
        <v>0</v>
      </c>
      <c r="BE9" s="210">
        <v>0</v>
      </c>
      <c r="BF9" s="210">
        <v>0</v>
      </c>
      <c r="BG9" s="210">
        <v>0</v>
      </c>
      <c r="BH9" s="210">
        <v>0</v>
      </c>
      <c r="BI9" s="210">
        <v>0</v>
      </c>
      <c r="BJ9" s="210">
        <v>0</v>
      </c>
      <c r="BK9" s="209">
        <v>0</v>
      </c>
      <c r="BL9" s="211">
        <v>0</v>
      </c>
      <c r="BM9" s="210">
        <v>0</v>
      </c>
      <c r="BN9" s="210">
        <v>0</v>
      </c>
      <c r="BO9" s="210"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09">
        <v>0</v>
      </c>
      <c r="BX9" s="211">
        <v>0</v>
      </c>
      <c r="BY9" s="210">
        <v>0</v>
      </c>
      <c r="BZ9" s="210">
        <v>0</v>
      </c>
      <c r="CA9" s="210">
        <v>0</v>
      </c>
      <c r="CB9" s="210">
        <v>0</v>
      </c>
      <c r="CC9" s="210">
        <v>0</v>
      </c>
      <c r="CD9" s="210">
        <v>0</v>
      </c>
      <c r="CE9" s="210">
        <v>0</v>
      </c>
      <c r="CF9" s="210">
        <v>0</v>
      </c>
      <c r="CG9" s="210">
        <v>0</v>
      </c>
      <c r="CH9" s="210">
        <v>0</v>
      </c>
      <c r="CI9" s="209">
        <v>0</v>
      </c>
      <c r="CJ9" s="211">
        <v>0</v>
      </c>
      <c r="CK9" s="210">
        <v>0</v>
      </c>
      <c r="CL9" s="210">
        <v>0</v>
      </c>
      <c r="CM9" s="210">
        <v>0</v>
      </c>
      <c r="CN9" s="210">
        <v>0</v>
      </c>
      <c r="CO9" s="210">
        <v>0</v>
      </c>
      <c r="CP9" s="210">
        <v>0</v>
      </c>
      <c r="CQ9" s="210">
        <v>0</v>
      </c>
      <c r="CR9" s="210">
        <v>0</v>
      </c>
      <c r="CS9" s="210">
        <v>0</v>
      </c>
      <c r="CT9" s="210">
        <v>0</v>
      </c>
      <c r="CU9" s="209">
        <v>0</v>
      </c>
      <c r="CV9" s="211">
        <v>0</v>
      </c>
      <c r="CW9" s="210">
        <v>0</v>
      </c>
      <c r="CX9" s="210">
        <v>0</v>
      </c>
      <c r="CY9" s="210">
        <v>0</v>
      </c>
      <c r="CZ9" s="210">
        <v>0</v>
      </c>
      <c r="DA9" s="210">
        <v>0</v>
      </c>
      <c r="DB9" s="210">
        <v>0</v>
      </c>
      <c r="DC9" s="210">
        <v>0</v>
      </c>
      <c r="DD9" s="210">
        <v>0</v>
      </c>
      <c r="DE9" s="210">
        <v>0</v>
      </c>
      <c r="DF9" s="210">
        <v>0</v>
      </c>
      <c r="DG9" s="209">
        <v>0</v>
      </c>
      <c r="DH9" s="211">
        <v>0</v>
      </c>
      <c r="DI9" s="210">
        <v>0</v>
      </c>
      <c r="DJ9" s="210">
        <v>0</v>
      </c>
      <c r="DK9" s="210">
        <v>0</v>
      </c>
      <c r="DL9" s="210">
        <v>0</v>
      </c>
      <c r="DM9" s="210">
        <v>0</v>
      </c>
      <c r="DN9" s="210">
        <v>0</v>
      </c>
      <c r="DO9" s="210">
        <v>0</v>
      </c>
      <c r="DP9" s="210">
        <v>0</v>
      </c>
      <c r="DQ9" s="210">
        <v>0</v>
      </c>
      <c r="DR9" s="210">
        <v>0</v>
      </c>
      <c r="DS9" s="209">
        <v>0</v>
      </c>
      <c r="DT9" s="843"/>
    </row>
    <row r="10" spans="1:124" ht="19.5" customHeight="1" x14ac:dyDescent="0.25">
      <c r="A10" s="284" t="s">
        <v>178</v>
      </c>
      <c r="B10" s="284"/>
      <c r="C10" s="51"/>
      <c r="D10" s="404">
        <f>SUM('2.Sales Costs'!D9:D10)</f>
        <v>0</v>
      </c>
      <c r="E10" s="404">
        <f>SUM('2.Sales Costs'!E9:E10)</f>
        <v>0</v>
      </c>
      <c r="F10" s="404">
        <f>SUM('2.Sales Costs'!F9:F10)</f>
        <v>0</v>
      </c>
      <c r="G10" s="404">
        <f>SUM('2.Sales Costs'!G9:G10)</f>
        <v>0</v>
      </c>
      <c r="H10" s="404">
        <f>SUM('2.Sales Costs'!H9:H10)</f>
        <v>0</v>
      </c>
      <c r="I10" s="404">
        <f>SUM('2.Sales Costs'!I9:I10)</f>
        <v>0</v>
      </c>
      <c r="J10" s="404">
        <f>SUM('2.Sales Costs'!J9:J10)</f>
        <v>0</v>
      </c>
      <c r="K10" s="404">
        <f>SUM('2.Sales Costs'!K9:K10)</f>
        <v>0</v>
      </c>
      <c r="L10" s="404">
        <f>SUM('2.Sales Costs'!L9:L10)</f>
        <v>0</v>
      </c>
      <c r="M10" s="404">
        <f>SUM('2.Sales Costs'!M9:M10)</f>
        <v>0</v>
      </c>
      <c r="N10" s="404">
        <f>SUM('2.Sales Costs'!N9:N10)</f>
        <v>0</v>
      </c>
      <c r="O10" s="497">
        <f>SUM('2.Sales Costs'!O9:O10)</f>
        <v>0</v>
      </c>
      <c r="P10" s="133">
        <f>SUM('2.Sales Costs'!P9:P10)</f>
        <v>0</v>
      </c>
      <c r="Q10" s="186">
        <f>SUM('2.Sales Costs'!Q9:Q10)</f>
        <v>0</v>
      </c>
      <c r="R10" s="186">
        <f>SUM('2.Sales Costs'!R9:R10)</f>
        <v>0</v>
      </c>
      <c r="S10" s="186">
        <f>SUM('2.Sales Costs'!S9:S10)</f>
        <v>0</v>
      </c>
      <c r="T10" s="186">
        <f>SUM('2.Sales Costs'!T9:T10)</f>
        <v>0</v>
      </c>
      <c r="U10" s="186">
        <f>SUM('2.Sales Costs'!U9:U10)</f>
        <v>0</v>
      </c>
      <c r="V10" s="186">
        <f>SUM('2.Sales Costs'!V9:V10)</f>
        <v>0</v>
      </c>
      <c r="W10" s="186">
        <f>SUM('2.Sales Costs'!W9:W10)</f>
        <v>0</v>
      </c>
      <c r="X10" s="186">
        <f>SUM('2.Sales Costs'!X9:X10)</f>
        <v>0</v>
      </c>
      <c r="Y10" s="186">
        <f>SUM('2.Sales Costs'!Y9:Y10)</f>
        <v>0</v>
      </c>
      <c r="Z10" s="186">
        <f>SUM('2.Sales Costs'!Z9:Z10)</f>
        <v>0</v>
      </c>
      <c r="AA10" s="209">
        <f>SUM('2.Sales Costs'!AA9:AA10)</f>
        <v>0</v>
      </c>
      <c r="AB10" s="133">
        <f>SUM('2.Sales Costs'!AB9:AB10)</f>
        <v>0</v>
      </c>
      <c r="AC10" s="210">
        <f>SUM('2.Sales Costs'!AC9:AC10)</f>
        <v>0</v>
      </c>
      <c r="AD10" s="210">
        <f>SUM('2.Sales Costs'!AD9:AD10)</f>
        <v>0</v>
      </c>
      <c r="AE10" s="210">
        <f>SUM('2.Sales Costs'!AE9:AE10)</f>
        <v>0</v>
      </c>
      <c r="AF10" s="210">
        <f>SUM('2.Sales Costs'!AF9:AF10)</f>
        <v>0</v>
      </c>
      <c r="AG10" s="210">
        <f>SUM('2.Sales Costs'!AG9:AG10)</f>
        <v>0</v>
      </c>
      <c r="AH10" s="210">
        <f>SUM('2.Sales Costs'!AH9:AH10)</f>
        <v>0</v>
      </c>
      <c r="AI10" s="210">
        <f>SUM('2.Sales Costs'!AI9:AI10)</f>
        <v>0</v>
      </c>
      <c r="AJ10" s="210">
        <f>SUM('2.Sales Costs'!AJ9:AJ10)</f>
        <v>0</v>
      </c>
      <c r="AK10" s="210">
        <f>SUM('2.Sales Costs'!AK9:AK10)</f>
        <v>-320216.28637731494</v>
      </c>
      <c r="AL10" s="210">
        <f>SUM('2.Sales Costs'!AL9:AL10)</f>
        <v>-352913.60052649345</v>
      </c>
      <c r="AM10" s="209">
        <f>SUM('2.Sales Costs'!AM9:AM10)</f>
        <v>-316876.62077895465</v>
      </c>
      <c r="AN10" s="211">
        <f>SUM('2.Sales Costs'!AN9:AN10)</f>
        <v>-357611.87665486621</v>
      </c>
      <c r="AO10" s="210">
        <f>SUM('2.Sales Costs'!AO9:AO10)</f>
        <v>-406376.73315036565</v>
      </c>
      <c r="AP10" s="210">
        <f>SUM('2.Sales Costs'!AP9:AP10)</f>
        <v>-352973.41249282612</v>
      </c>
      <c r="AQ10" s="210">
        <f>SUM('2.Sales Costs'!AQ9:AQ10)</f>
        <v>-373161.27884319448</v>
      </c>
      <c r="AR10" s="210">
        <f>SUM('2.Sales Costs'!AR9:AR10)</f>
        <v>-397457.89887252409</v>
      </c>
      <c r="AS10" s="210">
        <f>SUM('2.Sales Costs'!AS9:AS10)</f>
        <v>-368483.22760729876</v>
      </c>
      <c r="AT10" s="210">
        <f>SUM('2.Sales Costs'!AT9:AT10)</f>
        <v>-356909.41337751219</v>
      </c>
      <c r="AU10" s="210">
        <f>SUM('2.Sales Costs'!AU9:AU10)</f>
        <v>-404754.4292809738</v>
      </c>
      <c r="AV10" s="210">
        <f>SUM('2.Sales Costs'!AV9:AV10)</f>
        <v>-352322.76916610962</v>
      </c>
      <c r="AW10" s="210">
        <f>SUM('2.Sales Costs'!AW9:AW10)</f>
        <v>-352753.72962616815</v>
      </c>
      <c r="AX10" s="210">
        <f>SUM('2.Sales Costs'!AX9:AX10)</f>
        <v>-388943.95205839124</v>
      </c>
      <c r="AY10" s="209">
        <f>SUM('2.Sales Costs'!AY9:AY10)</f>
        <v>-348980.01102965453</v>
      </c>
      <c r="AZ10" s="211">
        <f>SUM('2.Sales Costs'!AZ9:AZ10)</f>
        <v>-394437.50029815716</v>
      </c>
      <c r="BA10" s="210">
        <f>SUM('2.Sales Costs'!BA9:BA10)</f>
        <v>-447931.47070190945</v>
      </c>
      <c r="BB10" s="210">
        <f>SUM('2.Sales Costs'!BB9:BB10)</f>
        <v>-389196.17958744097</v>
      </c>
      <c r="BC10" s="210">
        <f>SUM('2.Sales Costs'!BC9:BC10)</f>
        <v>-411203.43987669499</v>
      </c>
      <c r="BD10" s="210">
        <f>SUM('2.Sales Costs'!BD9:BD10)</f>
        <v>-451426.16672422644</v>
      </c>
      <c r="BE10" s="210">
        <f>SUM('2.Sales Costs'!BE9:BE10)</f>
        <v>-393149.08759011107</v>
      </c>
      <c r="BF10" s="210">
        <f>SUM('2.Sales Costs'!BF9:BF10)</f>
        <v>-393643.73857110884</v>
      </c>
      <c r="BG10" s="210">
        <f>SUM('2.Sales Costs'!BG9:BG10)</f>
        <v>-446098.31762091652</v>
      </c>
      <c r="BH10" s="210">
        <f>SUM('2.Sales Costs'!BH9:BH10)</f>
        <v>-388460.9727981945</v>
      </c>
      <c r="BI10" s="210">
        <f>SUM('2.Sales Costs'!BI9:BI10)</f>
        <v>-388947.94475828647</v>
      </c>
      <c r="BJ10" s="210">
        <f>SUM('2.Sales Costs'!BJ9:BJ10)</f>
        <v>-429037.37134699756</v>
      </c>
      <c r="BK10" s="209">
        <f>SUM('2.Sales Costs'!BK9:BK10)</f>
        <v>-384683.75972950243</v>
      </c>
      <c r="BL10" s="211">
        <f>SUM('2.Sales Costs'!BL9:BL10)</f>
        <v>-449013.88712887774</v>
      </c>
      <c r="BM10" s="210">
        <f>SUM('2.Sales Costs'!BM9:BM10)</f>
        <v>-480604.85034088005</v>
      </c>
      <c r="BN10" s="210">
        <f>SUM('2.Sales Costs'!BN9:BN10)</f>
        <v>-429518.65493429499</v>
      </c>
      <c r="BO10" s="210">
        <f>SUM('2.Sales Costs'!BO9:BO10)</f>
        <v>-453531.09659292083</v>
      </c>
      <c r="BP10" s="210">
        <f>SUM('2.Sales Costs'!BP9:BP10)</f>
        <v>-498126.45078293706</v>
      </c>
      <c r="BQ10" s="210">
        <f>SUM('2.Sales Costs'!BQ9:BQ10)</f>
        <v>-433985.31843716424</v>
      </c>
      <c r="BR10" s="210">
        <f>SUM('2.Sales Costs'!BR9:BR10)</f>
        <v>-434544.25871151127</v>
      </c>
      <c r="BS10" s="210">
        <f>SUM('2.Sales Costs'!BS9:BS10)</f>
        <v>-492106.14645951899</v>
      </c>
      <c r="BT10" s="210">
        <f>SUM('2.Sales Costs'!BT9:BT10)</f>
        <v>-428687.89405385702</v>
      </c>
      <c r="BU10" s="210">
        <f>SUM('2.Sales Costs'!BU9:BU10)</f>
        <v>-429238.15727263008</v>
      </c>
      <c r="BV10" s="210">
        <f>SUM('2.Sales Costs'!BV9:BV10)</f>
        <v>-487255.58857490274</v>
      </c>
      <c r="BW10" s="209">
        <f>SUM('2.Sales Costs'!BW9:BW10)</f>
        <v>-410847.05810742464</v>
      </c>
      <c r="BX10" s="211">
        <f>SUM('2.Sales Costs'!BX9:BX10)</f>
        <v>-495555.41914487281</v>
      </c>
      <c r="BY10" s="210">
        <f>SUM('2.Sales Costs'!BY9:BY10)</f>
        <v>-531252.22825457586</v>
      </c>
      <c r="BZ10" s="210">
        <f>SUM('2.Sales Costs'!BZ9:BZ10)</f>
        <v>-488863.14393125137</v>
      </c>
      <c r="CA10" s="210">
        <f>SUM('2.Sales Costs'!CA9:CA10)</f>
        <v>-486231.94329017063</v>
      </c>
      <c r="CB10" s="210">
        <f>SUM('2.Sales Costs'!CB9:CB10)</f>
        <v>-550142.14328600513</v>
      </c>
      <c r="CC10" s="210">
        <f>SUM('2.Sales Costs'!CC9:CC10)</f>
        <v>-479482.55270734738</v>
      </c>
      <c r="CD10" s="210">
        <f>SUM('2.Sales Costs'!CD9:CD10)</f>
        <v>-494541.92040578858</v>
      </c>
      <c r="CE10" s="210">
        <f>SUM('2.Sales Costs'!CE9:CE10)</f>
        <v>-528911.60351439915</v>
      </c>
      <c r="CF10" s="210">
        <f>SUM('2.Sales Costs'!CF9:CF10)</f>
        <v>-473496.6273743661</v>
      </c>
      <c r="CG10" s="210">
        <f>SUM('2.Sales Costs'!CG9:CG10)</f>
        <v>-474118.40775341983</v>
      </c>
      <c r="CH10" s="210">
        <f>SUM('2.Sales Costs'!CH9:CH10)</f>
        <v>-537858.40598765481</v>
      </c>
      <c r="CI10" s="209">
        <f>SUM('2.Sales Costs'!CI9:CI10)</f>
        <v>-468673.76863487082</v>
      </c>
      <c r="CJ10" s="211">
        <f>SUM('2.Sales Costs'!CJ9:CJ10)</f>
        <v>-532064.74442693952</v>
      </c>
      <c r="CK10" s="210">
        <f>SUM('2.Sales Costs'!CK9:CK10)</f>
        <v>-603074.49774793931</v>
      </c>
      <c r="CL10" s="210">
        <f>SUM('2.Sales Costs'!CL9:CL10)</f>
        <v>-524502.68089607882</v>
      </c>
      <c r="CM10" s="210">
        <f>SUM('2.Sales Costs'!CM9:CM10)</f>
        <v>-537832.45272022206</v>
      </c>
      <c r="CN10" s="210">
        <f>SUM('2.Sales Costs'!CN9:CN10)</f>
        <v>-608116.56916474376</v>
      </c>
      <c r="CO10" s="210">
        <f>SUM('2.Sales Costs'!CO9:CO10)</f>
        <v>-530205.85059273988</v>
      </c>
      <c r="CP10" s="210">
        <f>SUM('2.Sales Costs'!CP9:CP10)</f>
        <v>-546256.25508429401</v>
      </c>
      <c r="CQ10" s="210">
        <f>SUM('2.Sales Costs'!CQ9:CQ10)</f>
        <v>-585092.93153684784</v>
      </c>
      <c r="CR10" s="210">
        <f>SUM('2.Sales Costs'!CR9:CR10)</f>
        <v>-523441.94053015637</v>
      </c>
      <c r="CS10" s="210">
        <f>SUM('2.Sales Costs'!CS9:CS10)</f>
        <v>-539481.26589735434</v>
      </c>
      <c r="CT10" s="210">
        <f>SUM('2.Sales Costs'!CT9:CT10)</f>
        <v>-578899.59399940528</v>
      </c>
      <c r="CU10" s="209">
        <f>SUM('2.Sales Costs'!CU9:CU10)</f>
        <v>-517992.25966314774</v>
      </c>
      <c r="CV10" s="211">
        <f>SUM('2.Sales Costs'!CV9:CV10)</f>
        <v>-588891.63927746774</v>
      </c>
      <c r="CW10" s="210">
        <f>SUM('2.Sales Costs'!CW9:CW10)</f>
        <v>-667076.28790819529</v>
      </c>
      <c r="CX10" s="210">
        <f>SUM('2.Sales Costs'!CX9:CX10)</f>
        <v>-580346.7419115646</v>
      </c>
      <c r="CY10" s="210">
        <f>SUM('2.Sales Costs'!CY9:CY10)</f>
        <v>-595408.97084992006</v>
      </c>
      <c r="CZ10" s="210">
        <f>SUM('2.Sales Costs'!CZ9:CZ10)</f>
        <v>-672773.67230497045</v>
      </c>
      <c r="DA10" s="210">
        <f>SUM('2.Sales Costs'!DA9:DA10)</f>
        <v>-603094.09385187575</v>
      </c>
      <c r="DB10" s="210">
        <f>SUM('2.Sales Costs'!DB9:DB10)</f>
        <v>-587597.57374227862</v>
      </c>
      <c r="DC10" s="210">
        <f>SUM('2.Sales Costs'!DC9:DC10)</f>
        <v>-664087.70815938362</v>
      </c>
      <c r="DD10" s="210">
        <f>SUM('2.Sales Costs'!DD9:DD10)</f>
        <v>-579148.13818102377</v>
      </c>
      <c r="DE10" s="210">
        <f>SUM('2.Sales Costs'!DE9:DE10)</f>
        <v>-579942.04598570161</v>
      </c>
      <c r="DF10" s="210">
        <f>SUM('2.Sales Costs'!DF9:DF10)</f>
        <v>-640786.48175419262</v>
      </c>
      <c r="DG10" s="209">
        <f>SUM('2.Sales Costs'!DG9:DG10)</f>
        <v>-572990.16774141067</v>
      </c>
      <c r="DH10" s="211">
        <f>SUM('2.Sales Costs'!DH9:DH10)</f>
        <v>-652327.79206599679</v>
      </c>
      <c r="DI10" s="210">
        <f>SUM('2.Sales Costs'!DI9:DI10)</f>
        <v>-738490.437181824</v>
      </c>
      <c r="DJ10" s="210">
        <f>SUM('2.Sales Costs'!DJ9:DJ10)</f>
        <v>-642672.32293434464</v>
      </c>
      <c r="DK10" s="210">
        <f>SUM('2.Sales Costs'!DK9:DK10)</f>
        <v>-677022.20734675857</v>
      </c>
      <c r="DL10" s="210">
        <f>SUM('2.Sales Costs'!DL9:DL10)</f>
        <v>-744928.30493126356</v>
      </c>
      <c r="DM10" s="210">
        <f>SUM('2.Sales Costs'!DM9:DM10)</f>
        <v>-649954.30076142296</v>
      </c>
      <c r="DN10" s="210">
        <f>SUM('2.Sales Costs'!DN9:DN10)</f>
        <v>-650865.53812726482</v>
      </c>
      <c r="DO10" s="210">
        <f>SUM('2.Sales Costs'!DO9:DO10)</f>
        <v>-735113.43471163919</v>
      </c>
      <c r="DP10" s="210">
        <f>SUM('2.Sales Costs'!DP9:DP10)</f>
        <v>-641317.93787554908</v>
      </c>
      <c r="DQ10" s="210">
        <f>SUM('2.Sales Costs'!DQ9:DQ10)</f>
        <v>-642215.02908369317</v>
      </c>
      <c r="DR10" s="210">
        <f>SUM('2.Sales Costs'!DR9:DR10)</f>
        <v>-709875.56326818536</v>
      </c>
      <c r="DS10" s="209">
        <f>SUM('2.Sales Costs'!DS9:DS10)</f>
        <v>-634359.62217587</v>
      </c>
      <c r="DT10" s="843"/>
    </row>
    <row r="11" spans="1:124" ht="19.5" customHeight="1" x14ac:dyDescent="0.25">
      <c r="A11" s="284" t="s">
        <v>161</v>
      </c>
      <c r="B11" s="284"/>
      <c r="C11" s="51"/>
      <c r="D11" s="404">
        <f>SUM('3. Variable Costs'!D8:D45)</f>
        <v>0</v>
      </c>
      <c r="E11" s="404">
        <f>SUM('3. Variable Costs'!E8:E45)</f>
        <v>0</v>
      </c>
      <c r="F11" s="404">
        <f>SUM('3. Variable Costs'!F8:F45)</f>
        <v>0</v>
      </c>
      <c r="G11" s="404">
        <f>SUM('3. Variable Costs'!G8:G45)</f>
        <v>0</v>
      </c>
      <c r="H11" s="404">
        <f>SUM('3. Variable Costs'!H8:H45)</f>
        <v>0</v>
      </c>
      <c r="I11" s="404">
        <f>SUM('3. Variable Costs'!I8:I45)</f>
        <v>0</v>
      </c>
      <c r="J11" s="404">
        <f>SUM('3. Variable Costs'!J8:J45)</f>
        <v>0</v>
      </c>
      <c r="K11" s="404">
        <f>SUM('3. Variable Costs'!K8:K45)</f>
        <v>0</v>
      </c>
      <c r="L11" s="404">
        <f>SUM('3. Variable Costs'!L8:L45)</f>
        <v>0</v>
      </c>
      <c r="M11" s="404">
        <f>SUM('3. Variable Costs'!M8:M45)</f>
        <v>0</v>
      </c>
      <c r="N11" s="404">
        <f>SUM('3. Variable Costs'!N8:N45)</f>
        <v>-263322.33132288</v>
      </c>
      <c r="O11" s="497">
        <f>SUM('3. Variable Costs'!O8:O45)</f>
        <v>-57830.996425714409</v>
      </c>
      <c r="P11" s="301">
        <f>SUM('3. Variable Costs'!P8:P45)</f>
        <v>-60483.028758102882</v>
      </c>
      <c r="Q11" s="302">
        <f>SUM('3. Variable Costs'!Q8:Q45)</f>
        <v>-604935.74215979793</v>
      </c>
      <c r="R11" s="302">
        <f>SUM('3. Variable Costs'!R8:R45)</f>
        <v>-411719.98131375463</v>
      </c>
      <c r="S11" s="302">
        <f>SUM('3. Variable Costs'!S8:S45)</f>
        <v>-453753.38667456311</v>
      </c>
      <c r="T11" s="302">
        <f>SUM('3. Variable Costs'!T8:T45)</f>
        <v>-715825.9605186478</v>
      </c>
      <c r="U11" s="302">
        <f>SUM('3. Variable Costs'!U8:U45)</f>
        <v>-549281.05981478561</v>
      </c>
      <c r="V11" s="302">
        <f>SUM('3. Variable Costs'!V8:V45)</f>
        <v>-582103.19591416139</v>
      </c>
      <c r="W11" s="302">
        <f>SUM('3. Variable Costs'!W8:W45)</f>
        <v>-854823.15041161259</v>
      </c>
      <c r="X11" s="302">
        <f>SUM('3. Variable Costs'!X8:X45)</f>
        <v>-687336.35138041608</v>
      </c>
      <c r="Y11" s="302">
        <f>SUM('3. Variable Costs'!Y8:Y45)</f>
        <v>-750209.53361831291</v>
      </c>
      <c r="Z11" s="302">
        <f>SUM('3. Variable Costs'!Z8:Z45)</f>
        <v>-840513.34794595803</v>
      </c>
      <c r="AA11" s="286">
        <f>SUM('3. Variable Costs'!AA8:AA45)</f>
        <v>-873918.36863617727</v>
      </c>
      <c r="AB11" s="301">
        <f>SUM('3. Variable Costs'!AB8:AB45)</f>
        <v>-1056985.7545976327</v>
      </c>
      <c r="AC11" s="285">
        <f>SUM('3. Variable Costs'!AC8:AC45)</f>
        <v>-1105836.8868588661</v>
      </c>
      <c r="AD11" s="285">
        <f>SUM('3. Variable Costs'!AD8:AD45)</f>
        <v>-1245598.8109472913</v>
      </c>
      <c r="AE11" s="285">
        <f>SUM('3. Variable Costs'!AE8:AE45)</f>
        <v>-1324557.7316107822</v>
      </c>
      <c r="AF11" s="285">
        <f>SUM('3. Variable Costs'!AF8:AF45)</f>
        <v>-1455392.9626154925</v>
      </c>
      <c r="AG11" s="285">
        <f>SUM('3. Variable Costs'!AG8:AG45)</f>
        <v>-1621835.7251459588</v>
      </c>
      <c r="AH11" s="285">
        <f>SUM('3. Variable Costs'!AH8:AH45)</f>
        <v>-1728114.9835529595</v>
      </c>
      <c r="AI11" s="285">
        <f>SUM('3. Variable Costs'!AI8:AI45)</f>
        <v>-1900200.5657751663</v>
      </c>
      <c r="AJ11" s="285">
        <f>SUM('3. Variable Costs'!AJ8:AJ45)</f>
        <v>-2088251.4443783641</v>
      </c>
      <c r="AK11" s="285">
        <f>SUM('3. Variable Costs'!AK8:AK45)</f>
        <v>-2424353.4900178104</v>
      </c>
      <c r="AL11" s="285">
        <f>SUM('3. Variable Costs'!AL8:AL45)</f>
        <v>-2412582.2935281564</v>
      </c>
      <c r="AM11" s="286">
        <f>SUM('3. Variable Costs'!AM8:AM45)</f>
        <v>-2291827.9828735548</v>
      </c>
      <c r="AN11" s="287">
        <f>SUM('3. Variable Costs'!AN8:AN45)</f>
        <v>-2636238.2922510933</v>
      </c>
      <c r="AO11" s="285">
        <f>SUM('3. Variable Costs'!AO8:AO45)</f>
        <v>-2567090.5929883849</v>
      </c>
      <c r="AP11" s="285">
        <f>SUM('3. Variable Costs'!AP8:AP45)</f>
        <v>-2639413.7480027331</v>
      </c>
      <c r="AQ11" s="285">
        <f>SUM('3. Variable Costs'!AQ8:AQ45)</f>
        <v>-2563199.8285764856</v>
      </c>
      <c r="AR11" s="285">
        <f>SUM('3. Variable Costs'!AR8:AR45)</f>
        <v>-3579974.6463192143</v>
      </c>
      <c r="AS11" s="285">
        <f>SUM('3. Variable Costs'!AS8:AS45)</f>
        <v>-2644500.6807337012</v>
      </c>
      <c r="AT11" s="285">
        <f>SUM('3. Variable Costs'!AT8:AT45)</f>
        <v>-2570088.5362501675</v>
      </c>
      <c r="AU11" s="285">
        <f>SUM('3. Variable Costs'!AU8:AU45)</f>
        <v>-2603489.9664863367</v>
      </c>
      <c r="AV11" s="285">
        <f>SUM('3. Variable Costs'!AV8:AV45)</f>
        <v>-2574711.672749822</v>
      </c>
      <c r="AW11" s="285">
        <f>SUM('3. Variable Costs'!AW8:AW45)</f>
        <v>-2611176.3741264995</v>
      </c>
      <c r="AX11" s="285">
        <f>SUM('3. Variable Costs'!AX8:AX45)</f>
        <v>-2598929.8142469302</v>
      </c>
      <c r="AY11" s="286">
        <f>SUM('3. Variable Costs'!AY8:AY45)</f>
        <v>-2470303.5491986508</v>
      </c>
      <c r="AZ11" s="287">
        <f>SUM('3. Variable Costs'!AZ8:AZ45)</f>
        <v>-2838764.5546550825</v>
      </c>
      <c r="BA11" s="285">
        <f>SUM('3. Variable Costs'!BA8:BA45)</f>
        <v>-2765261.5156466737</v>
      </c>
      <c r="BB11" s="285">
        <f>SUM('3. Variable Costs'!BB8:BB45)</f>
        <v>-2842142.0005434495</v>
      </c>
      <c r="BC11" s="285">
        <f>SUM('3. Variable Costs'!BC8:BC45)</f>
        <v>-2761127.5811535027</v>
      </c>
      <c r="BD11" s="285">
        <f>SUM('3. Variable Costs'!BD8:BD45)</f>
        <v>-3853192.6775617278</v>
      </c>
      <c r="BE11" s="285">
        <f>SUM('3. Variable Costs'!BE8:BE45)</f>
        <v>-2832230.3992971452</v>
      </c>
      <c r="BF11" s="285">
        <f>SUM('3. Variable Costs'!BF8:BF45)</f>
        <v>-2768453.2437055488</v>
      </c>
      <c r="BG11" s="285">
        <f>SUM('3. Variable Costs'!BG8:BG45)</f>
        <v>-2593556.3739714362</v>
      </c>
      <c r="BH11" s="285">
        <f>SUM('3. Variable Costs'!BH8:BH45)</f>
        <v>-2773369.6452031042</v>
      </c>
      <c r="BI11" s="285">
        <f>SUM('3. Variable Costs'!BI8:BI45)</f>
        <v>-2812132.635534321</v>
      </c>
      <c r="BJ11" s="285">
        <f>SUM('3. Variable Costs'!BJ8:BJ45)</f>
        <v>-2799115.5612444095</v>
      </c>
      <c r="BK11" s="286">
        <f>SUM('3. Variable Costs'!BK8:BK45)</f>
        <v>-2662386.8664910942</v>
      </c>
      <c r="BL11" s="287">
        <f>SUM('3. Variable Costs'!BL8:BL45)</f>
        <v>-5278100.007397214</v>
      </c>
      <c r="BM11" s="285">
        <f>SUM('3. Variable Costs'!BM8:BM45)</f>
        <v>-2927897.0192487487</v>
      </c>
      <c r="BN11" s="285">
        <f>SUM('3. Variable Costs'!BN8:BN45)</f>
        <v>-3025909.3267762763</v>
      </c>
      <c r="BO11" s="285">
        <f>SUM('3. Variable Costs'!BO8:BO45)</f>
        <v>-2939792.1149955913</v>
      </c>
      <c r="BP11" s="285">
        <f>SUM('3. Variable Costs'!BP8:BP45)</f>
        <v>-4100658.4352240022</v>
      </c>
      <c r="BQ11" s="285">
        <f>SUM('3. Variable Costs'!BQ8:BQ45)</f>
        <v>-3015376.6629312714</v>
      </c>
      <c r="BR11" s="285">
        <f>SUM('3. Variable Costs'!BR8:BR45)</f>
        <v>-2947582.6828366281</v>
      </c>
      <c r="BS11" s="285">
        <f>SUM('3. Variable Costs'!BS8:BS45)</f>
        <v>-2761668.4534460939</v>
      </c>
      <c r="BT11" s="285">
        <f>SUM('3. Variable Costs'!BT8:BT45)</f>
        <v>-2952811.1107809362</v>
      </c>
      <c r="BU11" s="285">
        <f>SUM('3. Variable Costs'!BU8:BU45)</f>
        <v>-2994017.3264387376</v>
      </c>
      <c r="BV11" s="285">
        <f>SUM('3. Variable Costs'!BV8:BV45)</f>
        <v>-2996468.5830929601</v>
      </c>
      <c r="BW11" s="286">
        <f>SUM('3. Variable Costs'!BW8:BW45)</f>
        <v>-2818552.6660175645</v>
      </c>
      <c r="BX11" s="287">
        <f>SUM('3. Variable Costs'!BX8:BX45)</f>
        <v>-3235315.2547212178</v>
      </c>
      <c r="BY11" s="285">
        <f>SUM('3. Variable Costs'!BY8:BY45)</f>
        <v>-3117634.8530821311</v>
      </c>
      <c r="BZ11" s="285">
        <f>SUM('3. Variable Costs'!BZ8:BZ45)</f>
        <v>-3239136.5422751298</v>
      </c>
      <c r="CA11" s="285">
        <f>SUM('3. Variable Costs'!CA8:CA45)</f>
        <v>-3112968.5430131452</v>
      </c>
      <c r="CB11" s="285">
        <f>SUM('3. Variable Costs'!CB8:CB45)</f>
        <v>-4364284.0630045244</v>
      </c>
      <c r="CC11" s="285">
        <f>SUM('3. Variable Costs'!CC8:CC45)</f>
        <v>-3210630.8293450139</v>
      </c>
      <c r="CD11" s="285">
        <f>SUM('3. Variable Costs'!CD8:CD45)</f>
        <v>-3155880.4655749826</v>
      </c>
      <c r="CE11" s="285">
        <f>SUM('3. Variable Costs'!CE8:CE45)</f>
        <v>-2923628.2675582804</v>
      </c>
      <c r="CF11" s="285">
        <f>SUM('3. Variable Costs'!CF8:CF45)</f>
        <v>-3144127.5650446722</v>
      </c>
      <c r="CG11" s="285">
        <f>SUM('3. Variable Costs'!CG8:CG45)</f>
        <v>-3187931.0939149032</v>
      </c>
      <c r="CH11" s="285">
        <f>SUM('3. Variable Costs'!CH8:CH45)</f>
        <v>-3190538.1093171271</v>
      </c>
      <c r="CI11" s="286">
        <f>SUM('3. Variable Costs'!CI8:CI45)</f>
        <v>-3018728.1660641078</v>
      </c>
      <c r="CJ11" s="287">
        <f>SUM('3. Variable Costs'!CJ8:CJ45)</f>
        <v>-3426653.6985709928</v>
      </c>
      <c r="CK11" s="285">
        <f>SUM('3. Variable Costs'!CK8:CK45)</f>
        <v>-3338369.0293925442</v>
      </c>
      <c r="CL11" s="285">
        <f>SUM('3. Variable Costs'!CL8:CL45)</f>
        <v>-3430718.6139202663</v>
      </c>
      <c r="CM11" s="285">
        <f>SUM('3. Variable Costs'!CM8:CM45)</f>
        <v>-3315007.5664622053</v>
      </c>
      <c r="CN11" s="285">
        <f>SUM('3. Variable Costs'!CN8:CN45)</f>
        <v>-4645157.4293572688</v>
      </c>
      <c r="CO11" s="285">
        <f>SUM('3. Variable Costs'!CO8:CO45)</f>
        <v>-3418825.5159378476</v>
      </c>
      <c r="CP11" s="285">
        <f>SUM('3. Variable Costs'!CP8:CP45)</f>
        <v>-3360627.3620803989</v>
      </c>
      <c r="CQ11" s="285">
        <f>SUM('3. Variable Costs'!CQ8:CQ45)</f>
        <v>-3113744.7673415691</v>
      </c>
      <c r="CR11" s="285">
        <f>SUM('3. Variable Costs'!CR8:CR45)</f>
        <v>-3348137.0212990516</v>
      </c>
      <c r="CS11" s="285">
        <f>SUM('3. Variable Costs'!CS8:CS45)</f>
        <v>-3413105.761624963</v>
      </c>
      <c r="CT11" s="285">
        <f>SUM('3. Variable Costs'!CT8:CT45)</f>
        <v>-3379070.3790886491</v>
      </c>
      <c r="CU11" s="286">
        <f>SUM('3. Variable Costs'!CU8:CU45)</f>
        <v>-3214842.0167719726</v>
      </c>
      <c r="CV11" s="287">
        <f>SUM('3. Variable Costs'!CV8:CV45)</f>
        <v>-3649167.5006015254</v>
      </c>
      <c r="CW11" s="285">
        <f>SUM('3. Variable Costs'!CW8:CW45)</f>
        <v>-3555322.5411186754</v>
      </c>
      <c r="CX11" s="285">
        <f>SUM('3. Variable Costs'!CX8:CX45)</f>
        <v>-3653491.8032172639</v>
      </c>
      <c r="CY11" s="285">
        <f>SUM('3. Variable Costs'!CY8:CY45)</f>
        <v>-3530492.6234662682</v>
      </c>
      <c r="CZ11" s="285">
        <f>SUM('3. Variable Costs'!CZ8:CZ45)</f>
        <v>-4944443.6014318271</v>
      </c>
      <c r="DA11" s="285">
        <f>SUM('3. Variable Costs'!DA8:DA45)</f>
        <v>-3660417.9976241286</v>
      </c>
      <c r="DB11" s="285">
        <f>SUM('3. Variable Costs'!DB8:DB45)</f>
        <v>-3559427.9812299963</v>
      </c>
      <c r="DC11" s="285">
        <f>SUM('3. Variable Costs'!DC8:DC45)</f>
        <v>-3336120.5598824085</v>
      </c>
      <c r="DD11" s="285">
        <f>SUM('3. Variable Costs'!DD8:DD45)</f>
        <v>-3565717.7038204931</v>
      </c>
      <c r="DE11" s="285">
        <f>SUM('3. Variable Costs'!DE8:DE45)</f>
        <v>-3615217.6630842583</v>
      </c>
      <c r="DF11" s="285">
        <f>SUM('3. Variable Costs'!DF8:DF45)</f>
        <v>-3598603.3228788194</v>
      </c>
      <c r="DG11" s="286">
        <f>SUM('3. Variable Costs'!DG8:DG45)</f>
        <v>-3424030.3192298049</v>
      </c>
      <c r="DH11" s="287">
        <f>SUM('3. Variable Costs'!DH8:DH45)</f>
        <v>-6745960.1067735562</v>
      </c>
      <c r="DI11" s="285">
        <f>SUM('3. Variable Costs'!DI8:DI45)</f>
        <v>-3786749.4069074388</v>
      </c>
      <c r="DJ11" s="285">
        <f>SUM('3. Variable Costs'!DJ8:DJ45)</f>
        <v>-3891105.2216752204</v>
      </c>
      <c r="DK11" s="285">
        <f>SUM('3. Variable Costs'!DK8:DK45)</f>
        <v>-3781155.0332941725</v>
      </c>
      <c r="DL11" s="285">
        <f>SUM('3. Variable Costs'!DL8:DL45)</f>
        <v>-5263390.7956632972</v>
      </c>
      <c r="DM11" s="285">
        <f>SUM('3. Variable Costs'!DM8:DM45)</f>
        <v>-3877677.4631125419</v>
      </c>
      <c r="DN11" s="285">
        <f>SUM('3. Variable Costs'!DN8:DN45)</f>
        <v>-3791123.0498955459</v>
      </c>
      <c r="DO11" s="285">
        <f>SUM('3. Variable Costs'!DO8:DO45)</f>
        <v>-3553510.8143975502</v>
      </c>
      <c r="DP11" s="285">
        <f>SUM('3. Variable Costs'!DP8:DP45)</f>
        <v>-3797396.2654991038</v>
      </c>
      <c r="DQ11" s="285">
        <f>SUM('3. Variable Costs'!DQ8:DQ45)</f>
        <v>-3847451.4281749749</v>
      </c>
      <c r="DR11" s="285">
        <f>SUM('3. Variable Costs'!DR8:DR45)</f>
        <v>-3817643.8905532677</v>
      </c>
      <c r="DS11" s="286">
        <f>SUM('3. Variable Costs'!DS8:DS45)</f>
        <v>-3622562.2165762116</v>
      </c>
      <c r="DT11" s="843"/>
    </row>
    <row r="12" spans="1:124" ht="19.5" customHeight="1" thickBot="1" x14ac:dyDescent="0.3">
      <c r="A12" s="284" t="s">
        <v>162</v>
      </c>
      <c r="B12" s="284"/>
      <c r="C12" s="51"/>
      <c r="D12" s="1133">
        <f>SUM('4. OH Expenses'!D8:D32)</f>
        <v>0</v>
      </c>
      <c r="E12" s="1133">
        <f>SUM('4. OH Expenses'!E8:E32)</f>
        <v>0</v>
      </c>
      <c r="F12" s="1133">
        <f>SUM('4. OH Expenses'!F8:F32)</f>
        <v>0</v>
      </c>
      <c r="G12" s="1133">
        <f>SUM('4. OH Expenses'!G8:G32)</f>
        <v>0</v>
      </c>
      <c r="H12" s="1133">
        <f>SUM('4. OH Expenses'!H8:H32)</f>
        <v>0</v>
      </c>
      <c r="I12" s="1133">
        <f>SUM('4. OH Expenses'!I8:I32)</f>
        <v>0</v>
      </c>
      <c r="J12" s="1133">
        <f>SUM('4. OH Expenses'!J8:J32)</f>
        <v>0</v>
      </c>
      <c r="K12" s="1133">
        <f>SUM('4. OH Expenses'!K8:K32)</f>
        <v>0</v>
      </c>
      <c r="L12" s="1133">
        <f>SUM('4. OH Expenses'!L8:L32)</f>
        <v>0</v>
      </c>
      <c r="M12" s="1133">
        <f>SUM('4. OH Expenses'!M8:M32)</f>
        <v>0</v>
      </c>
      <c r="N12" s="1133">
        <f>SUM('4. OH Expenses'!N8:N32)</f>
        <v>-310291.66666666663</v>
      </c>
      <c r="O12" s="1134">
        <f>SUM('4. OH Expenses'!O8:O32)</f>
        <v>-310291.66666666663</v>
      </c>
      <c r="P12" s="303">
        <f>SUM('4. OH Expenses'!P8:P32)</f>
        <v>-335155.04166666663</v>
      </c>
      <c r="Q12" s="304">
        <f>SUM('4. OH Expenses'!Q8:Q32)</f>
        <v>-329840.04166666663</v>
      </c>
      <c r="R12" s="304">
        <f>SUM('4. OH Expenses'!R8:R32)</f>
        <v>-361730.04166666663</v>
      </c>
      <c r="S12" s="304">
        <f>SUM('4. OH Expenses'!S8:S32)</f>
        <v>-335155.04166666663</v>
      </c>
      <c r="T12" s="304">
        <f>SUM('4. OH Expenses'!T8:T32)</f>
        <v>-329840.04166666663</v>
      </c>
      <c r="U12" s="304">
        <f>SUM('4. OH Expenses'!U8:U32)</f>
        <v>-329840.04166666663</v>
      </c>
      <c r="V12" s="304">
        <f>SUM('4. OH Expenses'!V8:V32)</f>
        <v>-335155.04166666663</v>
      </c>
      <c r="W12" s="304">
        <f>SUM('4. OH Expenses'!W8:W32)</f>
        <v>-329840.04166666663</v>
      </c>
      <c r="X12" s="304">
        <f>SUM('4. OH Expenses'!X8:X32)</f>
        <v>-329840.04166666663</v>
      </c>
      <c r="Y12" s="304">
        <f>SUM('4. OH Expenses'!Y8:Y32)</f>
        <v>-335155.04166666663</v>
      </c>
      <c r="Z12" s="304">
        <f>SUM('4. OH Expenses'!Z8:Z32)</f>
        <v>-329840.04166666663</v>
      </c>
      <c r="AA12" s="212">
        <f>SUM('4. OH Expenses'!AA8:AA32)</f>
        <v>-329840.04166666663</v>
      </c>
      <c r="AB12" s="303">
        <f>SUM('4. OH Expenses'!AB8:AB32)</f>
        <v>-378277.87129166658</v>
      </c>
      <c r="AC12" s="213">
        <f>SUM('4. OH Expenses'!AC8:AC32)</f>
        <v>-393558.78629166656</v>
      </c>
      <c r="AD12" s="213">
        <f>SUM('4. OH Expenses'!AD8:AD32)</f>
        <v>-427457.85629166657</v>
      </c>
      <c r="AE12" s="213">
        <f>SUM('4. OH Expenses'!AE8:AE32)</f>
        <v>-399208.63129166659</v>
      </c>
      <c r="AF12" s="213">
        <f>SUM('4. OH Expenses'!AF8:AF32)</f>
        <v>-393558.78629166656</v>
      </c>
      <c r="AG12" s="213">
        <f>SUM('4. OH Expenses'!AG8:AG32)</f>
        <v>-393558.78629166656</v>
      </c>
      <c r="AH12" s="213">
        <f>SUM('4. OH Expenses'!AH8:AH32)</f>
        <v>-399208.63129166659</v>
      </c>
      <c r="AI12" s="213">
        <f>SUM('4. OH Expenses'!AI8:AI32)</f>
        <v>-393558.78629166656</v>
      </c>
      <c r="AJ12" s="213">
        <f>SUM('4. OH Expenses'!AJ8:AJ32)</f>
        <v>-393558.78629166656</v>
      </c>
      <c r="AK12" s="213">
        <f>SUM('4. OH Expenses'!AK8:AK32)</f>
        <v>-399208.63129166659</v>
      </c>
      <c r="AL12" s="213">
        <f>SUM('4. OH Expenses'!AL8:AL32)</f>
        <v>-393558.78629166656</v>
      </c>
      <c r="AM12" s="212">
        <f>SUM('4. OH Expenses'!AM8:AM32)</f>
        <v>-393558.78629166656</v>
      </c>
      <c r="AN12" s="214">
        <f>SUM('4. OH Expenses'!AN8:AN32)</f>
        <v>-424358.77506304154</v>
      </c>
      <c r="AO12" s="213">
        <f>SUM('4. OH Expenses'!AO8:AO32)</f>
        <v>-418352.98982804152</v>
      </c>
      <c r="AP12" s="213">
        <f>SUM('4. OH Expenses'!AP8:AP32)</f>
        <v>-454387.70123804157</v>
      </c>
      <c r="AQ12" s="213">
        <f>SUM('4. OH Expenses'!AQ8:AQ32)</f>
        <v>-424358.77506304154</v>
      </c>
      <c r="AR12" s="213">
        <f>SUM('4. OH Expenses'!AR8:AR32)</f>
        <v>-418352.98982804152</v>
      </c>
      <c r="AS12" s="213">
        <f>SUM('4. OH Expenses'!AS8:AS32)</f>
        <v>-418352.98982804152</v>
      </c>
      <c r="AT12" s="213">
        <f>SUM('4. OH Expenses'!AT8:AT32)</f>
        <v>-424358.77506304154</v>
      </c>
      <c r="AU12" s="213">
        <f>SUM('4. OH Expenses'!AU8:AU32)</f>
        <v>-418352.98982804152</v>
      </c>
      <c r="AV12" s="213">
        <f>SUM('4. OH Expenses'!AV8:AV32)</f>
        <v>-418352.98982804152</v>
      </c>
      <c r="AW12" s="213">
        <f>SUM('4. OH Expenses'!AW8:AW32)</f>
        <v>-424358.77506304154</v>
      </c>
      <c r="AX12" s="213">
        <f>SUM('4. OH Expenses'!AX8:AX32)</f>
        <v>-418352.98982804152</v>
      </c>
      <c r="AY12" s="212">
        <f>SUM('4. OH Expenses'!AY8:AY32)</f>
        <v>-418352.98982804152</v>
      </c>
      <c r="AZ12" s="214">
        <f>SUM('4. OH Expenses'!AZ8:AZ32)</f>
        <v>-451093.37789201306</v>
      </c>
      <c r="BA12" s="213">
        <f>SUM('4. OH Expenses'!BA8:BA32)</f>
        <v>-444709.22818720806</v>
      </c>
      <c r="BB12" s="213">
        <f>SUM('4. OH Expenses'!BB8:BB32)</f>
        <v>-483014.12641603802</v>
      </c>
      <c r="BC12" s="213">
        <f>SUM('4. OH Expenses'!BC8:BC32)</f>
        <v>-451093.37789201306</v>
      </c>
      <c r="BD12" s="213">
        <f>SUM('4. OH Expenses'!BD8:BD32)</f>
        <v>-444709.22818720806</v>
      </c>
      <c r="BE12" s="213">
        <f>SUM('4. OH Expenses'!BE8:BE32)</f>
        <v>-444709.22818720806</v>
      </c>
      <c r="BF12" s="213">
        <f>SUM('4. OH Expenses'!BF8:BF32)</f>
        <v>-451093.37789201306</v>
      </c>
      <c r="BG12" s="213">
        <f>SUM('4. OH Expenses'!BG8:BG32)</f>
        <v>-444709.22818720806</v>
      </c>
      <c r="BH12" s="213">
        <f>SUM('4. OH Expenses'!BH8:BH32)</f>
        <v>-444709.22818720806</v>
      </c>
      <c r="BI12" s="213">
        <f>SUM('4. OH Expenses'!BI8:BI32)</f>
        <v>-451093.37789201306</v>
      </c>
      <c r="BJ12" s="213">
        <f>SUM('4. OH Expenses'!BJ8:BJ32)</f>
        <v>-444709.22818720806</v>
      </c>
      <c r="BK12" s="212">
        <f>SUM('4. OH Expenses'!BK8:BK32)</f>
        <v>-444709.22818720806</v>
      </c>
      <c r="BL12" s="214">
        <f>SUM('4. OH Expenses'!BL8:BL32)</f>
        <v>-479512.26069920999</v>
      </c>
      <c r="BM12" s="213">
        <f>SUM('4. OH Expenses'!BM8:BM32)</f>
        <v>-472725.90956300223</v>
      </c>
      <c r="BN12" s="213">
        <f>SUM('4. OH Expenses'!BN8:BN32)</f>
        <v>-513444.01638024853</v>
      </c>
      <c r="BO12" s="213">
        <f>SUM('4. OH Expenses'!BO8:BO32)</f>
        <v>-479512.26069920999</v>
      </c>
      <c r="BP12" s="213">
        <f>SUM('4. OH Expenses'!BP8:BP32)</f>
        <v>-472725.90956300223</v>
      </c>
      <c r="BQ12" s="213">
        <f>SUM('4. OH Expenses'!BQ8:BQ32)</f>
        <v>-472725.90956300223</v>
      </c>
      <c r="BR12" s="213">
        <f>SUM('4. OH Expenses'!BR8:BR32)</f>
        <v>-479512.26069920999</v>
      </c>
      <c r="BS12" s="213">
        <f>SUM('4. OH Expenses'!BS8:BS32)</f>
        <v>-472725.90956300223</v>
      </c>
      <c r="BT12" s="213">
        <f>SUM('4. OH Expenses'!BT8:BT32)</f>
        <v>-472725.90956300223</v>
      </c>
      <c r="BU12" s="213">
        <f>SUM('4. OH Expenses'!BU8:BU32)</f>
        <v>-479512.26069920999</v>
      </c>
      <c r="BV12" s="213">
        <f>SUM('4. OH Expenses'!BV8:BV32)</f>
        <v>-472725.90956300223</v>
      </c>
      <c r="BW12" s="212">
        <f>SUM('4. OH Expenses'!BW8:BW32)</f>
        <v>-472725.90956300223</v>
      </c>
      <c r="BX12" s="214">
        <f>SUM('4. OH Expenses'!BX8:BX32)</f>
        <v>-509721.53312326025</v>
      </c>
      <c r="BY12" s="213">
        <f>SUM('4. OH Expenses'!BY8:BY32)</f>
        <v>-502507.64186547149</v>
      </c>
      <c r="BZ12" s="213">
        <f>SUM('4. OH Expenses'!BZ8:BZ32)</f>
        <v>-545790.98941220413</v>
      </c>
      <c r="CA12" s="213">
        <f>SUM('4. OH Expenses'!CA8:CA32)</f>
        <v>-509721.53312326025</v>
      </c>
      <c r="CB12" s="213">
        <f>SUM('4. OH Expenses'!CB8:CB32)</f>
        <v>-502507.64186547149</v>
      </c>
      <c r="CC12" s="213">
        <f>SUM('4. OH Expenses'!CC8:CC32)</f>
        <v>-502507.64186547149</v>
      </c>
      <c r="CD12" s="213">
        <f>SUM('4. OH Expenses'!CD8:CD32)</f>
        <v>-509721.53312326025</v>
      </c>
      <c r="CE12" s="213">
        <f>SUM('4. OH Expenses'!CE8:CE32)</f>
        <v>-502507.64186547149</v>
      </c>
      <c r="CF12" s="213">
        <f>SUM('4. OH Expenses'!CF8:CF32)</f>
        <v>-502507.64186547149</v>
      </c>
      <c r="CG12" s="213">
        <f>SUM('4. OH Expenses'!CG8:CG32)</f>
        <v>-509721.53312326025</v>
      </c>
      <c r="CH12" s="213">
        <f>SUM('4. OH Expenses'!CH8:CH32)</f>
        <v>-502507.64186547149</v>
      </c>
      <c r="CI12" s="212">
        <f>SUM('4. OH Expenses'!CI8:CI32)</f>
        <v>-502507.64186547149</v>
      </c>
      <c r="CJ12" s="214">
        <f>SUM('4. OH Expenses'!CJ8:CJ32)</f>
        <v>-541833.98971002549</v>
      </c>
      <c r="CK12" s="213">
        <f>SUM('4. OH Expenses'!CK8:CK32)</f>
        <v>-534165.62330299593</v>
      </c>
      <c r="CL12" s="213">
        <f>SUM('4. OH Expenses'!CL8:CL32)</f>
        <v>-580175.82174517296</v>
      </c>
      <c r="CM12" s="213">
        <f>SUM('4. OH Expenses'!CM8:CM32)</f>
        <v>-541833.98971002549</v>
      </c>
      <c r="CN12" s="213">
        <f>SUM('4. OH Expenses'!CN8:CN32)</f>
        <v>-534165.62330299593</v>
      </c>
      <c r="CO12" s="213">
        <f>SUM('4. OH Expenses'!CO8:CO32)</f>
        <v>-534165.62330299593</v>
      </c>
      <c r="CP12" s="213">
        <f>SUM('4. OH Expenses'!CP8:CP32)</f>
        <v>-541833.98971002549</v>
      </c>
      <c r="CQ12" s="213">
        <f>SUM('4. OH Expenses'!CQ8:CQ32)</f>
        <v>-534165.62330299593</v>
      </c>
      <c r="CR12" s="213">
        <f>SUM('4. OH Expenses'!CR8:CR32)</f>
        <v>-534165.62330299593</v>
      </c>
      <c r="CS12" s="213">
        <f>SUM('4. OH Expenses'!CS8:CS32)</f>
        <v>-541833.98971002549</v>
      </c>
      <c r="CT12" s="213">
        <f>SUM('4. OH Expenses'!CT8:CT32)</f>
        <v>-534165.62330299593</v>
      </c>
      <c r="CU12" s="212">
        <f>SUM('4. OH Expenses'!CU8:CU32)</f>
        <v>-534165.62330299593</v>
      </c>
      <c r="CV12" s="214">
        <f>SUM('4. OH Expenses'!CV8:CV32)</f>
        <v>-575969.53106175677</v>
      </c>
      <c r="CW12" s="213">
        <f>SUM('4. OH Expenses'!CW8:CW32)</f>
        <v>-567818.05757108447</v>
      </c>
      <c r="CX12" s="213">
        <f>SUM('4. OH Expenses'!CX8:CX32)</f>
        <v>-616726.89851511864</v>
      </c>
      <c r="CY12" s="213">
        <f>SUM('4. OH Expenses'!CY8:CY32)</f>
        <v>-575969.53106175677</v>
      </c>
      <c r="CZ12" s="213">
        <f>SUM('4. OH Expenses'!CZ8:CZ32)</f>
        <v>-567818.05757108447</v>
      </c>
      <c r="DA12" s="213">
        <f>SUM('4. OH Expenses'!DA8:DA32)</f>
        <v>-567818.05757108447</v>
      </c>
      <c r="DB12" s="213">
        <f>SUM('4. OH Expenses'!DB8:DB32)</f>
        <v>-575969.53106175677</v>
      </c>
      <c r="DC12" s="213">
        <f>SUM('4. OH Expenses'!DC8:DC32)</f>
        <v>-567818.05757108447</v>
      </c>
      <c r="DD12" s="213">
        <f>SUM('4. OH Expenses'!DD8:DD32)</f>
        <v>-567818.05757108447</v>
      </c>
      <c r="DE12" s="213">
        <f>SUM('4. OH Expenses'!DE8:DE32)</f>
        <v>-575969.53106175677</v>
      </c>
      <c r="DF12" s="213">
        <f>SUM('4. OH Expenses'!DF8:DF32)</f>
        <v>-567818.05757108447</v>
      </c>
      <c r="DG12" s="212">
        <f>SUM('4. OH Expenses'!DG8:DG32)</f>
        <v>-567818.05757108447</v>
      </c>
      <c r="DH12" s="214">
        <f>SUM('4. OH Expenses'!DH8:DH32)</f>
        <v>-612255.61151864775</v>
      </c>
      <c r="DI12" s="213">
        <f>SUM('4. OH Expenses'!DI8:DI32)</f>
        <v>-603590.59519806306</v>
      </c>
      <c r="DJ12" s="213">
        <f>SUM('4. OH Expenses'!DJ8:DJ32)</f>
        <v>-655580.69312157133</v>
      </c>
      <c r="DK12" s="213">
        <f>SUM('4. OH Expenses'!DK8:DK32)</f>
        <v>-612255.61151864775</v>
      </c>
      <c r="DL12" s="213">
        <f>SUM('4. OH Expenses'!DL8:DL32)</f>
        <v>-603590.59519806306</v>
      </c>
      <c r="DM12" s="213">
        <f>SUM('4. OH Expenses'!DM8:DM32)</f>
        <v>-603590.59519806306</v>
      </c>
      <c r="DN12" s="213">
        <f>SUM('4. OH Expenses'!DN8:DN32)</f>
        <v>-612255.61151864775</v>
      </c>
      <c r="DO12" s="213">
        <f>SUM('4. OH Expenses'!DO8:DO32)</f>
        <v>-603590.59519806306</v>
      </c>
      <c r="DP12" s="213">
        <f>SUM('4. OH Expenses'!DP8:DP32)</f>
        <v>-603590.59519806306</v>
      </c>
      <c r="DQ12" s="213">
        <f>SUM('4. OH Expenses'!DQ8:DQ32)</f>
        <v>-612255.61151864775</v>
      </c>
      <c r="DR12" s="213">
        <f>SUM('4. OH Expenses'!DR8:DR32)</f>
        <v>-603590.59519806306</v>
      </c>
      <c r="DS12" s="212">
        <f>SUM('4. OH Expenses'!DS8:DS32)</f>
        <v>-603590.59519806306</v>
      </c>
      <c r="DT12" s="843"/>
    </row>
    <row r="13" spans="1:124" ht="22.5" customHeight="1" x14ac:dyDescent="0.3">
      <c r="A13" s="1332" t="s">
        <v>50</v>
      </c>
      <c r="B13" s="1332"/>
      <c r="C13" s="103"/>
      <c r="D13" s="711">
        <f t="shared" ref="D13:M13" si="0">SUM(D8:D12)</f>
        <v>0</v>
      </c>
      <c r="E13" s="711">
        <f t="shared" si="0"/>
        <v>0</v>
      </c>
      <c r="F13" s="711">
        <f t="shared" si="0"/>
        <v>0</v>
      </c>
      <c r="G13" s="711">
        <f t="shared" si="0"/>
        <v>0</v>
      </c>
      <c r="H13" s="711">
        <f t="shared" si="0"/>
        <v>0</v>
      </c>
      <c r="I13" s="711">
        <f t="shared" si="0"/>
        <v>0</v>
      </c>
      <c r="J13" s="711">
        <f t="shared" si="0"/>
        <v>0</v>
      </c>
      <c r="K13" s="711">
        <f t="shared" si="0"/>
        <v>0</v>
      </c>
      <c r="L13" s="711">
        <f t="shared" si="0"/>
        <v>0</v>
      </c>
      <c r="M13" s="711">
        <f t="shared" si="0"/>
        <v>0</v>
      </c>
      <c r="N13" s="711">
        <f t="shared" ref="N13:R13" si="1">SUM(N8:N12)</f>
        <v>-573613.99798954662</v>
      </c>
      <c r="O13" s="770">
        <f t="shared" si="1"/>
        <v>-368122.66309238103</v>
      </c>
      <c r="P13" s="299">
        <f t="shared" si="1"/>
        <v>-395638.07042476954</v>
      </c>
      <c r="Q13" s="300">
        <f t="shared" si="1"/>
        <v>-934775.78382646455</v>
      </c>
      <c r="R13" s="300">
        <f t="shared" si="1"/>
        <v>-773450.02298042132</v>
      </c>
      <c r="S13" s="300">
        <f t="shared" ref="S13:CB13" si="2">SUM(S8:S12)</f>
        <v>-788908.42834122968</v>
      </c>
      <c r="T13" s="300">
        <f t="shared" si="2"/>
        <v>-1045666.0021853144</v>
      </c>
      <c r="U13" s="300">
        <f t="shared" si="2"/>
        <v>-879121.10148145224</v>
      </c>
      <c r="V13" s="300">
        <f t="shared" si="2"/>
        <v>-917258.23758082802</v>
      </c>
      <c r="W13" s="300">
        <f t="shared" si="2"/>
        <v>-1184663.1920782793</v>
      </c>
      <c r="X13" s="300">
        <f t="shared" si="2"/>
        <v>-1017176.3930470827</v>
      </c>
      <c r="Y13" s="300">
        <f t="shared" si="2"/>
        <v>-1085364.5752849795</v>
      </c>
      <c r="Z13" s="300">
        <f t="shared" si="2"/>
        <v>-1170353.3896126247</v>
      </c>
      <c r="AA13" s="206">
        <f t="shared" si="2"/>
        <v>-1203758.4103028439</v>
      </c>
      <c r="AB13" s="299">
        <f t="shared" si="2"/>
        <v>-1435263.6258892992</v>
      </c>
      <c r="AC13" s="207">
        <f t="shared" si="2"/>
        <v>-1499395.6731505326</v>
      </c>
      <c r="AD13" s="207">
        <f t="shared" si="2"/>
        <v>-1673056.6672389579</v>
      </c>
      <c r="AE13" s="207">
        <f t="shared" si="2"/>
        <v>-1723766.3629024487</v>
      </c>
      <c r="AF13" s="207">
        <f t="shared" si="2"/>
        <v>-1848951.7489071591</v>
      </c>
      <c r="AG13" s="207">
        <f t="shared" si="2"/>
        <v>-2015394.5114376254</v>
      </c>
      <c r="AH13" s="207">
        <f t="shared" si="2"/>
        <v>-2127323.6148446263</v>
      </c>
      <c r="AI13" s="207">
        <f t="shared" si="2"/>
        <v>-2293759.3520668326</v>
      </c>
      <c r="AJ13" s="207">
        <f t="shared" si="2"/>
        <v>-2481810.2306700307</v>
      </c>
      <c r="AK13" s="207">
        <f t="shared" si="2"/>
        <v>-3143778.4076867918</v>
      </c>
      <c r="AL13" s="207">
        <f t="shared" si="2"/>
        <v>108645.69687314774</v>
      </c>
      <c r="AM13" s="206">
        <f t="shared" si="2"/>
        <v>644166.38868680433</v>
      </c>
      <c r="AN13" s="208">
        <f t="shared" si="2"/>
        <v>-209619.31400650361</v>
      </c>
      <c r="AO13" s="207">
        <f t="shared" si="2"/>
        <v>162636.30647129309</v>
      </c>
      <c r="AP13" s="207">
        <f t="shared" si="2"/>
        <v>519646.46785571397</v>
      </c>
      <c r="AQ13" s="207">
        <f t="shared" si="2"/>
        <v>116503.47268818883</v>
      </c>
      <c r="AR13" s="207">
        <f t="shared" si="2"/>
        <v>-782421.84914374654</v>
      </c>
      <c r="AS13" s="207">
        <f t="shared" si="2"/>
        <v>586580.38192704204</v>
      </c>
      <c r="AT13" s="207">
        <f t="shared" si="2"/>
        <v>184114.54490919557</v>
      </c>
      <c r="AU13" s="207">
        <f t="shared" si="2"/>
        <v>116162.79333256255</v>
      </c>
      <c r="AV13" s="207">
        <f t="shared" si="2"/>
        <v>594021.54548985627</v>
      </c>
      <c r="AW13" s="207">
        <f t="shared" si="2"/>
        <v>78100.866739515273</v>
      </c>
      <c r="AX13" s="207">
        <f t="shared" si="2"/>
        <v>67338.744850927265</v>
      </c>
      <c r="AY13" s="206">
        <f t="shared" si="2"/>
        <v>638518.30462838453</v>
      </c>
      <c r="AZ13" s="208">
        <f t="shared" si="2"/>
        <v>-273564.65619511844</v>
      </c>
      <c r="BA13" s="207">
        <f t="shared" si="2"/>
        <v>120485.17511589266</v>
      </c>
      <c r="BB13" s="207">
        <f t="shared" si="2"/>
        <v>501953.56680651265</v>
      </c>
      <c r="BC13" s="207">
        <f t="shared" si="2"/>
        <v>72864.027624466573</v>
      </c>
      <c r="BD13" s="207">
        <f t="shared" si="2"/>
        <v>-908322.47438693978</v>
      </c>
      <c r="BE13" s="207">
        <f t="shared" si="2"/>
        <v>600957.35366767133</v>
      </c>
      <c r="BF13" s="207">
        <f t="shared" si="2"/>
        <v>145015.59941604047</v>
      </c>
      <c r="BG13" s="207">
        <f t="shared" si="2"/>
        <v>281590.15042081196</v>
      </c>
      <c r="BH13" s="207">
        <f t="shared" si="2"/>
        <v>581051.8966110535</v>
      </c>
      <c r="BI13" s="207">
        <f t="shared" si="2"/>
        <v>32598.341340582469</v>
      </c>
      <c r="BJ13" s="207">
        <f t="shared" si="2"/>
        <v>19537.966767684557</v>
      </c>
      <c r="BK13" s="206">
        <f t="shared" si="2"/>
        <v>628572.75612206431</v>
      </c>
      <c r="BL13" s="208">
        <f t="shared" si="2"/>
        <v>-2581019.33964621</v>
      </c>
      <c r="BM13" s="207">
        <f t="shared" si="2"/>
        <v>135198.01604710979</v>
      </c>
      <c r="BN13" s="207">
        <f t="shared" si="2"/>
        <v>513061.14528388769</v>
      </c>
      <c r="BO13" s="207">
        <f t="shared" si="2"/>
        <v>56319.125131396344</v>
      </c>
      <c r="BP13" s="207">
        <f t="shared" si="2"/>
        <v>-988521.84480428649</v>
      </c>
      <c r="BQ13" s="207">
        <f t="shared" si="2"/>
        <v>618034.08014145307</v>
      </c>
      <c r="BR13" s="207">
        <f t="shared" si="2"/>
        <v>133333.73279119912</v>
      </c>
      <c r="BS13" s="207">
        <f t="shared" si="2"/>
        <v>276708.66715438099</v>
      </c>
      <c r="BT13" s="207">
        <f t="shared" si="2"/>
        <v>597185.10819813749</v>
      </c>
      <c r="BU13" s="207">
        <f t="shared" si="2"/>
        <v>14145.209984713467</v>
      </c>
      <c r="BV13" s="207">
        <f t="shared" si="2"/>
        <v>-31428.745649148303</v>
      </c>
      <c r="BW13" s="206">
        <f t="shared" si="2"/>
        <v>677809.19130525971</v>
      </c>
      <c r="BX13" s="208">
        <f t="shared" si="2"/>
        <v>-386572.16202877543</v>
      </c>
      <c r="BY13" s="207">
        <f t="shared" si="2"/>
        <v>118065.89709514554</v>
      </c>
      <c r="BZ13" s="207">
        <f t="shared" si="2"/>
        <v>490504.25578872976</v>
      </c>
      <c r="CA13" s="207">
        <f t="shared" si="2"/>
        <v>67769.317629946978</v>
      </c>
      <c r="CB13" s="207">
        <f t="shared" si="2"/>
        <v>-1076716.5934921098</v>
      </c>
      <c r="CC13" s="207">
        <f t="shared" ref="CC13:DS13" si="3">SUM(CC8:CC12)</f>
        <v>633528.63133265066</v>
      </c>
      <c r="CD13" s="207">
        <f t="shared" si="3"/>
        <v>86512.310841946048</v>
      </c>
      <c r="CE13" s="207">
        <f t="shared" si="3"/>
        <v>300363.84181209363</v>
      </c>
      <c r="CF13" s="207">
        <f t="shared" si="3"/>
        <v>611717.01973496738</v>
      </c>
      <c r="CG13" s="207">
        <f t="shared" si="3"/>
        <v>-8092.5642693893751</v>
      </c>
      <c r="CH13" s="207">
        <f t="shared" si="3"/>
        <v>-58606.47744688869</v>
      </c>
      <c r="CI13" s="206">
        <f t="shared" si="3"/>
        <v>665961.14240337617</v>
      </c>
      <c r="CJ13" s="208">
        <f t="shared" si="3"/>
        <v>-403729.12491486641</v>
      </c>
      <c r="CK13" s="207">
        <f t="shared" si="3"/>
        <v>62827.488932576263</v>
      </c>
      <c r="CL13" s="207">
        <f t="shared" si="3"/>
        <v>529048.39552445582</v>
      </c>
      <c r="CM13" s="207">
        <f t="shared" si="3"/>
        <v>45148.882398630958</v>
      </c>
      <c r="CN13" s="207">
        <f t="shared" si="3"/>
        <v>-1173788.680117293</v>
      </c>
      <c r="CO13" s="207">
        <f t="shared" si="3"/>
        <v>647000.093697679</v>
      </c>
      <c r="CP13" s="207">
        <f t="shared" si="3"/>
        <v>65477.965557854623</v>
      </c>
      <c r="CQ13" s="207">
        <f t="shared" si="3"/>
        <v>290498.94791809679</v>
      </c>
      <c r="CR13" s="207">
        <f t="shared" si="3"/>
        <v>624210.74669049843</v>
      </c>
      <c r="CS13" s="207">
        <f t="shared" si="3"/>
        <v>-68430.803067251109</v>
      </c>
      <c r="CT13" s="207">
        <f t="shared" si="3"/>
        <v>-56983.162845114479</v>
      </c>
      <c r="CU13" s="206">
        <f t="shared" si="3"/>
        <v>682190.67452468141</v>
      </c>
      <c r="CV13" s="208">
        <f t="shared" si="3"/>
        <v>-459105.4947566943</v>
      </c>
      <c r="CW13" s="207">
        <f t="shared" si="3"/>
        <v>34141.261058791773</v>
      </c>
      <c r="CX13" s="207">
        <f t="shared" si="3"/>
        <v>532940.13570344413</v>
      </c>
      <c r="CY13" s="207">
        <f t="shared" si="3"/>
        <v>17660.608064476983</v>
      </c>
      <c r="CZ13" s="207">
        <f t="shared" si="3"/>
        <v>-1280724.3802725796</v>
      </c>
      <c r="DA13" s="207">
        <f t="shared" si="3"/>
        <v>622069.35074664396</v>
      </c>
      <c r="DB13" s="207">
        <f t="shared" si="3"/>
        <v>75594.807461793185</v>
      </c>
      <c r="DC13" s="207">
        <f t="shared" si="3"/>
        <v>240456.58750290261</v>
      </c>
      <c r="DD13" s="207">
        <f t="shared" si="3"/>
        <v>634158.61815493251</v>
      </c>
      <c r="DE13" s="207">
        <f t="shared" si="3"/>
        <v>-66301.642474223278</v>
      </c>
      <c r="DF13" s="207">
        <f t="shared" si="3"/>
        <v>-92640.825344765792</v>
      </c>
      <c r="DG13" s="206">
        <f t="shared" si="3"/>
        <v>696151.03589905496</v>
      </c>
      <c r="DH13" s="208">
        <f t="shared" si="3"/>
        <v>-3381260.1740745492</v>
      </c>
      <c r="DI13" s="207">
        <f t="shared" si="3"/>
        <v>-537.72832820506301</v>
      </c>
      <c r="DJ13" s="207">
        <f t="shared" si="3"/>
        <v>533308.19311513961</v>
      </c>
      <c r="DK13" s="207">
        <f t="shared" si="3"/>
        <v>-53570.619510285323</v>
      </c>
      <c r="DL13" s="207">
        <f t="shared" si="3"/>
        <v>-1398627.1548420982</v>
      </c>
      <c r="DM13" s="207">
        <f t="shared" si="3"/>
        <v>665741.30920870847</v>
      </c>
      <c r="DN13" s="207">
        <f t="shared" si="3"/>
        <v>46656.857244602637</v>
      </c>
      <c r="DO13" s="207">
        <f t="shared" si="3"/>
        <v>219202.49233482045</v>
      </c>
      <c r="DP13" s="207">
        <f t="shared" si="3"/>
        <v>641388.79777165141</v>
      </c>
      <c r="DQ13" s="207">
        <f t="shared" si="3"/>
        <v>-100690.3324674021</v>
      </c>
      <c r="DR13" s="207">
        <f t="shared" si="3"/>
        <v>-119525.28883804835</v>
      </c>
      <c r="DS13" s="206">
        <f t="shared" si="3"/>
        <v>731919.49005901406</v>
      </c>
      <c r="DT13" s="843"/>
    </row>
    <row r="14" spans="1:124" ht="19.5" customHeight="1" thickBot="1" x14ac:dyDescent="0.3">
      <c r="A14" s="1338" t="s">
        <v>104</v>
      </c>
      <c r="B14" s="1339"/>
      <c r="C14" s="51"/>
      <c r="D14" s="1133">
        <f>'5.Depreciation'!$F62/12</f>
        <v>-216944.4898596603</v>
      </c>
      <c r="E14" s="1133">
        <f>'5.Depreciation'!$F62/12</f>
        <v>-216944.4898596603</v>
      </c>
      <c r="F14" s="1133">
        <f>'5.Depreciation'!$F62/12</f>
        <v>-216944.4898596603</v>
      </c>
      <c r="G14" s="1133">
        <f>'5.Depreciation'!$F62/12</f>
        <v>-216944.4898596603</v>
      </c>
      <c r="H14" s="1133">
        <f>'5.Depreciation'!$F62/12</f>
        <v>-216944.4898596603</v>
      </c>
      <c r="I14" s="1133">
        <f>'5.Depreciation'!$F62/12</f>
        <v>-216944.4898596603</v>
      </c>
      <c r="J14" s="1133">
        <f>'5.Depreciation'!$F62/12</f>
        <v>-216944.4898596603</v>
      </c>
      <c r="K14" s="1133">
        <f>'5.Depreciation'!$F62/12</f>
        <v>-216944.4898596603</v>
      </c>
      <c r="L14" s="1133">
        <f>'5.Depreciation'!$F62/12</f>
        <v>-216944.4898596603</v>
      </c>
      <c r="M14" s="1133">
        <f>'5.Depreciation'!$F62/12</f>
        <v>-216944.4898596603</v>
      </c>
      <c r="N14" s="1133">
        <f>'5.Depreciation'!$F62/12</f>
        <v>-216944.4898596603</v>
      </c>
      <c r="O14" s="1134">
        <f>'5.Depreciation'!$F62/12</f>
        <v>-216944.4898596603</v>
      </c>
      <c r="P14" s="214">
        <f>'5.Depreciation'!$G62/12</f>
        <v>-278118.73985966033</v>
      </c>
      <c r="Q14" s="213">
        <f>'5.Depreciation'!$G62/12</f>
        <v>-278118.73985966033</v>
      </c>
      <c r="R14" s="213">
        <f>'5.Depreciation'!$G62/12</f>
        <v>-278118.73985966033</v>
      </c>
      <c r="S14" s="213">
        <f>'5.Depreciation'!$G62/12</f>
        <v>-278118.73985966033</v>
      </c>
      <c r="T14" s="213">
        <f>'5.Depreciation'!$G62/12</f>
        <v>-278118.73985966033</v>
      </c>
      <c r="U14" s="213">
        <f>'5.Depreciation'!$G62/12</f>
        <v>-278118.73985966033</v>
      </c>
      <c r="V14" s="213">
        <f>'5.Depreciation'!$G62/12</f>
        <v>-278118.73985966033</v>
      </c>
      <c r="W14" s="213">
        <f>'5.Depreciation'!$G62/12</f>
        <v>-278118.73985966033</v>
      </c>
      <c r="X14" s="213">
        <f>'5.Depreciation'!$G62/12</f>
        <v>-278118.73985966033</v>
      </c>
      <c r="Y14" s="213">
        <f>'5.Depreciation'!$G62/12</f>
        <v>-278118.73985966033</v>
      </c>
      <c r="Z14" s="213">
        <f>'5.Depreciation'!$G62/12</f>
        <v>-278118.73985966033</v>
      </c>
      <c r="AA14" s="212">
        <f>'5.Depreciation'!$G62/12</f>
        <v>-278118.73985966033</v>
      </c>
      <c r="AB14" s="214">
        <f>'5.Depreciation'!$H62/12</f>
        <v>-278118.73985966033</v>
      </c>
      <c r="AC14" s="214">
        <f>'5.Depreciation'!$H62/12</f>
        <v>-278118.73985966033</v>
      </c>
      <c r="AD14" s="214">
        <f>'5.Depreciation'!$H62/12</f>
        <v>-278118.73985966033</v>
      </c>
      <c r="AE14" s="214">
        <f>'5.Depreciation'!$H62/12</f>
        <v>-278118.73985966033</v>
      </c>
      <c r="AF14" s="214">
        <f>'5.Depreciation'!$H62/12</f>
        <v>-278118.73985966033</v>
      </c>
      <c r="AG14" s="214">
        <f>'5.Depreciation'!$H62/12</f>
        <v>-278118.73985966033</v>
      </c>
      <c r="AH14" s="214">
        <f>'5.Depreciation'!$H62/12</f>
        <v>-278118.73985966033</v>
      </c>
      <c r="AI14" s="214">
        <f>'5.Depreciation'!$H62/12</f>
        <v>-278118.73985966033</v>
      </c>
      <c r="AJ14" s="214">
        <f>'5.Depreciation'!$H62/12</f>
        <v>-278118.73985966033</v>
      </c>
      <c r="AK14" s="214">
        <f>'5.Depreciation'!$H62/12</f>
        <v>-278118.73985966033</v>
      </c>
      <c r="AL14" s="214">
        <f>'5.Depreciation'!$H62/12</f>
        <v>-278118.73985966033</v>
      </c>
      <c r="AM14" s="911">
        <f>'5.Depreciation'!$H62/12</f>
        <v>-278118.73985966033</v>
      </c>
      <c r="AN14" s="214">
        <f>'5.Depreciation'!$I62/12</f>
        <v>-278118.73985966033</v>
      </c>
      <c r="AO14" s="214">
        <f>'5.Depreciation'!$I62/12</f>
        <v>-278118.73985966033</v>
      </c>
      <c r="AP14" s="214">
        <f>'5.Depreciation'!$I62/12</f>
        <v>-278118.73985966033</v>
      </c>
      <c r="AQ14" s="214">
        <f>'5.Depreciation'!$I62/12</f>
        <v>-278118.73985966033</v>
      </c>
      <c r="AR14" s="214">
        <f>'5.Depreciation'!$I62/12</f>
        <v>-278118.73985966033</v>
      </c>
      <c r="AS14" s="214">
        <f>'5.Depreciation'!$I62/12</f>
        <v>-278118.73985966033</v>
      </c>
      <c r="AT14" s="214">
        <f>'5.Depreciation'!$I62/12</f>
        <v>-278118.73985966033</v>
      </c>
      <c r="AU14" s="214">
        <f>'5.Depreciation'!$I62/12</f>
        <v>-278118.73985966033</v>
      </c>
      <c r="AV14" s="214">
        <f>'5.Depreciation'!$I62/12</f>
        <v>-278118.73985966033</v>
      </c>
      <c r="AW14" s="214">
        <f>'5.Depreciation'!$I62/12</f>
        <v>-278118.73985966033</v>
      </c>
      <c r="AX14" s="214">
        <f>'5.Depreciation'!$I62/12</f>
        <v>-278118.73985966033</v>
      </c>
      <c r="AY14" s="911">
        <f>'5.Depreciation'!$I62/12</f>
        <v>-278118.73985966033</v>
      </c>
      <c r="AZ14" s="214">
        <f>'5.Depreciation'!$J62/12</f>
        <v>-278118.73985966033</v>
      </c>
      <c r="BA14" s="214">
        <f>'5.Depreciation'!$J62/12</f>
        <v>-278118.73985966033</v>
      </c>
      <c r="BB14" s="214">
        <f>'5.Depreciation'!$J62/12</f>
        <v>-278118.73985966033</v>
      </c>
      <c r="BC14" s="214">
        <f>'5.Depreciation'!$J62/12</f>
        <v>-278118.73985966033</v>
      </c>
      <c r="BD14" s="214">
        <f>'5.Depreciation'!$J62/12</f>
        <v>-278118.73985966033</v>
      </c>
      <c r="BE14" s="214">
        <f>'5.Depreciation'!$J62/12</f>
        <v>-278118.73985966033</v>
      </c>
      <c r="BF14" s="214">
        <f>'5.Depreciation'!$J62/12</f>
        <v>-278118.73985966033</v>
      </c>
      <c r="BG14" s="214">
        <f>'5.Depreciation'!$J62/12</f>
        <v>-278118.73985966033</v>
      </c>
      <c r="BH14" s="214">
        <f>'5.Depreciation'!$J62/12</f>
        <v>-278118.73985966033</v>
      </c>
      <c r="BI14" s="214">
        <f>'5.Depreciation'!$J62/12</f>
        <v>-278118.73985966033</v>
      </c>
      <c r="BJ14" s="214">
        <f>'5.Depreciation'!$J62/12</f>
        <v>-278118.73985966033</v>
      </c>
      <c r="BK14" s="911">
        <f>'5.Depreciation'!$J62/12</f>
        <v>-278118.73985966033</v>
      </c>
      <c r="BL14" s="214">
        <f>'5.Depreciation'!$K62/12</f>
        <v>-149765.08333333334</v>
      </c>
      <c r="BM14" s="214">
        <f>'5.Depreciation'!$K62/12</f>
        <v>-149765.08333333334</v>
      </c>
      <c r="BN14" s="214">
        <f>'5.Depreciation'!$K62/12</f>
        <v>-149765.08333333334</v>
      </c>
      <c r="BO14" s="214">
        <f>'5.Depreciation'!$K62/12</f>
        <v>-149765.08333333334</v>
      </c>
      <c r="BP14" s="214">
        <f>'5.Depreciation'!$K62/12</f>
        <v>-149765.08333333334</v>
      </c>
      <c r="BQ14" s="214">
        <f>'5.Depreciation'!$K62/12</f>
        <v>-149765.08333333334</v>
      </c>
      <c r="BR14" s="214">
        <f>'5.Depreciation'!$K62/12</f>
        <v>-149765.08333333334</v>
      </c>
      <c r="BS14" s="214">
        <f>'5.Depreciation'!$K62/12</f>
        <v>-149765.08333333334</v>
      </c>
      <c r="BT14" s="214">
        <f>'5.Depreciation'!$K62/12</f>
        <v>-149765.08333333334</v>
      </c>
      <c r="BU14" s="214">
        <f>'5.Depreciation'!$K62/12</f>
        <v>-149765.08333333334</v>
      </c>
      <c r="BV14" s="214">
        <f>'5.Depreciation'!$K62/12</f>
        <v>-149765.08333333334</v>
      </c>
      <c r="BW14" s="911">
        <f>'5.Depreciation'!$K62/12</f>
        <v>-149765.08333333334</v>
      </c>
      <c r="BX14" s="214">
        <f>'5.Depreciation'!$L62/12</f>
        <v>-149765.08333333334</v>
      </c>
      <c r="BY14" s="214">
        <f>'5.Depreciation'!$L62/12</f>
        <v>-149765.08333333334</v>
      </c>
      <c r="BZ14" s="214">
        <f>'5.Depreciation'!$L62/12</f>
        <v>-149765.08333333334</v>
      </c>
      <c r="CA14" s="214">
        <f>'5.Depreciation'!$L62/12</f>
        <v>-149765.08333333334</v>
      </c>
      <c r="CB14" s="214">
        <f>'5.Depreciation'!$L62/12</f>
        <v>-149765.08333333334</v>
      </c>
      <c r="CC14" s="214">
        <f>'5.Depreciation'!$L62/12</f>
        <v>-149765.08333333334</v>
      </c>
      <c r="CD14" s="214">
        <f>'5.Depreciation'!$L62/12</f>
        <v>-149765.08333333334</v>
      </c>
      <c r="CE14" s="214">
        <f>'5.Depreciation'!$L62/12</f>
        <v>-149765.08333333334</v>
      </c>
      <c r="CF14" s="214">
        <f>'5.Depreciation'!$L62/12</f>
        <v>-149765.08333333334</v>
      </c>
      <c r="CG14" s="214">
        <f>'5.Depreciation'!$L62/12</f>
        <v>-149765.08333333334</v>
      </c>
      <c r="CH14" s="214">
        <f>'5.Depreciation'!$L62/12</f>
        <v>-149765.08333333334</v>
      </c>
      <c r="CI14" s="911">
        <f>'5.Depreciation'!$L62/12</f>
        <v>-149765.08333333334</v>
      </c>
      <c r="CJ14" s="214">
        <f>'5.Depreciation'!$M62/12</f>
        <v>-149765.08333333334</v>
      </c>
      <c r="CK14" s="214">
        <f>'5.Depreciation'!$M62/12</f>
        <v>-149765.08333333334</v>
      </c>
      <c r="CL14" s="214">
        <f>'5.Depreciation'!$M62/12</f>
        <v>-149765.08333333334</v>
      </c>
      <c r="CM14" s="214">
        <f>'5.Depreciation'!$M62/12</f>
        <v>-149765.08333333334</v>
      </c>
      <c r="CN14" s="214">
        <f>'5.Depreciation'!$M62/12</f>
        <v>-149765.08333333334</v>
      </c>
      <c r="CO14" s="214">
        <f>'5.Depreciation'!$M62/12</f>
        <v>-149765.08333333334</v>
      </c>
      <c r="CP14" s="214">
        <f>'5.Depreciation'!$M62/12</f>
        <v>-149765.08333333334</v>
      </c>
      <c r="CQ14" s="214">
        <f>'5.Depreciation'!$M62/12</f>
        <v>-149765.08333333334</v>
      </c>
      <c r="CR14" s="214">
        <f>'5.Depreciation'!$M62/12</f>
        <v>-149765.08333333334</v>
      </c>
      <c r="CS14" s="214">
        <f>'5.Depreciation'!$M62/12</f>
        <v>-149765.08333333334</v>
      </c>
      <c r="CT14" s="214">
        <f>'5.Depreciation'!$M62/12</f>
        <v>-149765.08333333334</v>
      </c>
      <c r="CU14" s="911">
        <f>'5.Depreciation'!$M62/12</f>
        <v>-149765.08333333334</v>
      </c>
      <c r="CV14" s="214">
        <f>'5.Depreciation'!$N62/12</f>
        <v>-149765.08333333334</v>
      </c>
      <c r="CW14" s="214">
        <f>'5.Depreciation'!$N62/12</f>
        <v>-149765.08333333334</v>
      </c>
      <c r="CX14" s="214">
        <f>'5.Depreciation'!$N62/12</f>
        <v>-149765.08333333334</v>
      </c>
      <c r="CY14" s="214">
        <f>'5.Depreciation'!$N62/12</f>
        <v>-149765.08333333334</v>
      </c>
      <c r="CZ14" s="214">
        <f>'5.Depreciation'!$N62/12</f>
        <v>-149765.08333333334</v>
      </c>
      <c r="DA14" s="214">
        <f>'5.Depreciation'!$N62/12</f>
        <v>-149765.08333333334</v>
      </c>
      <c r="DB14" s="214">
        <f>'5.Depreciation'!$N62/12</f>
        <v>-149765.08333333334</v>
      </c>
      <c r="DC14" s="214">
        <f>'5.Depreciation'!$N62/12</f>
        <v>-149765.08333333334</v>
      </c>
      <c r="DD14" s="214">
        <f>'5.Depreciation'!$N62/12</f>
        <v>-149765.08333333334</v>
      </c>
      <c r="DE14" s="214">
        <f>'5.Depreciation'!$N62/12</f>
        <v>-149765.08333333334</v>
      </c>
      <c r="DF14" s="214">
        <f>'5.Depreciation'!$N62/12</f>
        <v>-149765.08333333334</v>
      </c>
      <c r="DG14" s="911">
        <f>'5.Depreciation'!$N62/12</f>
        <v>-149765.08333333334</v>
      </c>
      <c r="DH14" s="214">
        <f>'5.Depreciation'!$O62/12</f>
        <v>-149765.08333333334</v>
      </c>
      <c r="DI14" s="214">
        <f>'5.Depreciation'!$O62/12</f>
        <v>-149765.08333333334</v>
      </c>
      <c r="DJ14" s="214">
        <f>'5.Depreciation'!$O62/12</f>
        <v>-149765.08333333334</v>
      </c>
      <c r="DK14" s="214">
        <f>'5.Depreciation'!$O62/12</f>
        <v>-149765.08333333334</v>
      </c>
      <c r="DL14" s="214">
        <f>'5.Depreciation'!$O62/12</f>
        <v>-149765.08333333334</v>
      </c>
      <c r="DM14" s="214">
        <f>'5.Depreciation'!$O62/12</f>
        <v>-149765.08333333334</v>
      </c>
      <c r="DN14" s="214">
        <f>'5.Depreciation'!$O62/12</f>
        <v>-149765.08333333334</v>
      </c>
      <c r="DO14" s="214">
        <f>'5.Depreciation'!$O62/12</f>
        <v>-149765.08333333334</v>
      </c>
      <c r="DP14" s="214">
        <f>'5.Depreciation'!$O62/12</f>
        <v>-149765.08333333334</v>
      </c>
      <c r="DQ14" s="214">
        <f>'5.Depreciation'!$O62/12</f>
        <v>-149765.08333333334</v>
      </c>
      <c r="DR14" s="214">
        <f>'5.Depreciation'!$O62/12</f>
        <v>-149765.08333333334</v>
      </c>
      <c r="DS14" s="911">
        <f>'5.Depreciation'!$O62/12</f>
        <v>-149765.08333333334</v>
      </c>
      <c r="DT14" s="918"/>
    </row>
    <row r="15" spans="1:124" ht="22.5" customHeight="1" x14ac:dyDescent="0.3">
      <c r="A15" s="1336" t="s">
        <v>105</v>
      </c>
      <c r="B15" s="1336"/>
      <c r="C15" s="52"/>
      <c r="D15" s="711">
        <f t="shared" ref="D15:M15" si="4">SUM(D13:D14)</f>
        <v>-216944.4898596603</v>
      </c>
      <c r="E15" s="711">
        <f t="shared" si="4"/>
        <v>-216944.4898596603</v>
      </c>
      <c r="F15" s="711">
        <f t="shared" si="4"/>
        <v>-216944.4898596603</v>
      </c>
      <c r="G15" s="711">
        <f t="shared" si="4"/>
        <v>-216944.4898596603</v>
      </c>
      <c r="H15" s="711">
        <f t="shared" si="4"/>
        <v>-216944.4898596603</v>
      </c>
      <c r="I15" s="711">
        <f t="shared" si="4"/>
        <v>-216944.4898596603</v>
      </c>
      <c r="J15" s="711">
        <f t="shared" si="4"/>
        <v>-216944.4898596603</v>
      </c>
      <c r="K15" s="711">
        <f t="shared" si="4"/>
        <v>-216944.4898596603</v>
      </c>
      <c r="L15" s="711">
        <f t="shared" si="4"/>
        <v>-216944.4898596603</v>
      </c>
      <c r="M15" s="711">
        <f t="shared" si="4"/>
        <v>-216944.4898596603</v>
      </c>
      <c r="N15" s="711">
        <f t="shared" ref="N15:R15" si="5">SUM(N13:N14)</f>
        <v>-790558.4878492069</v>
      </c>
      <c r="O15" s="770">
        <f t="shared" si="5"/>
        <v>-585067.15295204136</v>
      </c>
      <c r="P15" s="215">
        <f t="shared" si="5"/>
        <v>-673756.81028442993</v>
      </c>
      <c r="Q15" s="215">
        <f t="shared" si="5"/>
        <v>-1212894.5236861249</v>
      </c>
      <c r="R15" s="215">
        <f t="shared" si="5"/>
        <v>-1051568.7628400817</v>
      </c>
      <c r="S15" s="215">
        <f t="shared" ref="S15:CB15" si="6">SUM(S13:S14)</f>
        <v>-1067027.1682008901</v>
      </c>
      <c r="T15" s="215">
        <f t="shared" si="6"/>
        <v>-1323784.7420449748</v>
      </c>
      <c r="U15" s="215">
        <f t="shared" si="6"/>
        <v>-1157239.8413411125</v>
      </c>
      <c r="V15" s="215">
        <f t="shared" si="6"/>
        <v>-1195376.9774404883</v>
      </c>
      <c r="W15" s="215">
        <f t="shared" si="6"/>
        <v>-1462781.9319379397</v>
      </c>
      <c r="X15" s="215">
        <f t="shared" si="6"/>
        <v>-1295295.1329067431</v>
      </c>
      <c r="Y15" s="215">
        <f t="shared" si="6"/>
        <v>-1363483.3151446399</v>
      </c>
      <c r="Z15" s="215">
        <f t="shared" si="6"/>
        <v>-1448472.129472285</v>
      </c>
      <c r="AA15" s="216">
        <f t="shared" si="6"/>
        <v>-1481877.1501625043</v>
      </c>
      <c r="AB15" s="215">
        <f t="shared" si="6"/>
        <v>-1713382.3657489596</v>
      </c>
      <c r="AC15" s="215">
        <f t="shared" si="6"/>
        <v>-1777514.413010193</v>
      </c>
      <c r="AD15" s="215">
        <f t="shared" si="6"/>
        <v>-1951175.4070986183</v>
      </c>
      <c r="AE15" s="215">
        <f t="shared" si="6"/>
        <v>-2001885.1027621091</v>
      </c>
      <c r="AF15" s="215">
        <f t="shared" si="6"/>
        <v>-2127070.4887668192</v>
      </c>
      <c r="AG15" s="215">
        <f t="shared" si="6"/>
        <v>-2293513.2512972858</v>
      </c>
      <c r="AH15" s="215">
        <f t="shared" si="6"/>
        <v>-2405442.3547042864</v>
      </c>
      <c r="AI15" s="215">
        <f t="shared" si="6"/>
        <v>-2571878.0919264928</v>
      </c>
      <c r="AJ15" s="215">
        <f t="shared" si="6"/>
        <v>-2759928.9705296909</v>
      </c>
      <c r="AK15" s="215">
        <f t="shared" si="6"/>
        <v>-3421897.147546452</v>
      </c>
      <c r="AL15" s="215">
        <f t="shared" si="6"/>
        <v>-169473.04298651259</v>
      </c>
      <c r="AM15" s="216">
        <f t="shared" si="6"/>
        <v>366047.648827144</v>
      </c>
      <c r="AN15" s="215">
        <f t="shared" si="6"/>
        <v>-487738.05386616394</v>
      </c>
      <c r="AO15" s="215">
        <f t="shared" si="6"/>
        <v>-115482.43338836724</v>
      </c>
      <c r="AP15" s="215">
        <f t="shared" si="6"/>
        <v>241527.72799605364</v>
      </c>
      <c r="AQ15" s="215">
        <f t="shared" si="6"/>
        <v>-161615.2671714715</v>
      </c>
      <c r="AR15" s="215">
        <f t="shared" si="6"/>
        <v>-1060540.5890034069</v>
      </c>
      <c r="AS15" s="215">
        <f t="shared" si="6"/>
        <v>308461.6420673817</v>
      </c>
      <c r="AT15" s="215">
        <f t="shared" si="6"/>
        <v>-94004.194950464764</v>
      </c>
      <c r="AU15" s="215">
        <f t="shared" si="6"/>
        <v>-161955.94652709778</v>
      </c>
      <c r="AV15" s="215">
        <f t="shared" si="6"/>
        <v>315902.80563019594</v>
      </c>
      <c r="AW15" s="215">
        <f t="shared" si="6"/>
        <v>-200017.87312014506</v>
      </c>
      <c r="AX15" s="215">
        <f t="shared" si="6"/>
        <v>-210779.99500873307</v>
      </c>
      <c r="AY15" s="216">
        <f t="shared" si="6"/>
        <v>360399.5647687242</v>
      </c>
      <c r="AZ15" s="215">
        <f t="shared" si="6"/>
        <v>-551683.39605477871</v>
      </c>
      <c r="BA15" s="215">
        <f t="shared" si="6"/>
        <v>-157633.56474376767</v>
      </c>
      <c r="BB15" s="215">
        <f t="shared" si="6"/>
        <v>223834.82694685232</v>
      </c>
      <c r="BC15" s="215">
        <f t="shared" si="6"/>
        <v>-205254.71223519376</v>
      </c>
      <c r="BD15" s="215">
        <f t="shared" si="6"/>
        <v>-1186441.2142466002</v>
      </c>
      <c r="BE15" s="215">
        <f t="shared" si="6"/>
        <v>322838.613808011</v>
      </c>
      <c r="BF15" s="215">
        <f t="shared" si="6"/>
        <v>-133103.14044361986</v>
      </c>
      <c r="BG15" s="215">
        <f t="shared" si="6"/>
        <v>3471.4105611516279</v>
      </c>
      <c r="BH15" s="215">
        <f t="shared" si="6"/>
        <v>302933.15675139317</v>
      </c>
      <c r="BI15" s="215">
        <f t="shared" si="6"/>
        <v>-245520.39851907786</v>
      </c>
      <c r="BJ15" s="215">
        <f t="shared" si="6"/>
        <v>-258580.77309197577</v>
      </c>
      <c r="BK15" s="216">
        <f t="shared" si="6"/>
        <v>350454.01626240398</v>
      </c>
      <c r="BL15" s="215">
        <f t="shared" si="6"/>
        <v>-2730784.4229795435</v>
      </c>
      <c r="BM15" s="215">
        <f t="shared" si="6"/>
        <v>-14567.067286223551</v>
      </c>
      <c r="BN15" s="215">
        <f t="shared" si="6"/>
        <v>363296.06195055437</v>
      </c>
      <c r="BO15" s="215">
        <f t="shared" si="6"/>
        <v>-93445.958201936999</v>
      </c>
      <c r="BP15" s="215">
        <f t="shared" si="6"/>
        <v>-1138286.9281376197</v>
      </c>
      <c r="BQ15" s="215">
        <f t="shared" si="6"/>
        <v>468268.9968081197</v>
      </c>
      <c r="BR15" s="215">
        <f t="shared" si="6"/>
        <v>-16431.350542134227</v>
      </c>
      <c r="BS15" s="215">
        <f t="shared" si="6"/>
        <v>126943.58382104765</v>
      </c>
      <c r="BT15" s="215">
        <f t="shared" si="6"/>
        <v>447420.02486480412</v>
      </c>
      <c r="BU15" s="215">
        <f t="shared" si="6"/>
        <v>-135619.87334861988</v>
      </c>
      <c r="BV15" s="215">
        <f t="shared" si="6"/>
        <v>-181193.82898248165</v>
      </c>
      <c r="BW15" s="216">
        <f t="shared" si="6"/>
        <v>528044.10797192634</v>
      </c>
      <c r="BX15" s="215">
        <f t="shared" si="6"/>
        <v>-536337.24536210881</v>
      </c>
      <c r="BY15" s="215">
        <f t="shared" si="6"/>
        <v>-31699.186238187802</v>
      </c>
      <c r="BZ15" s="215">
        <f t="shared" si="6"/>
        <v>340739.17245539639</v>
      </c>
      <c r="CA15" s="215">
        <f t="shared" si="6"/>
        <v>-81995.765703386365</v>
      </c>
      <c r="CB15" s="215">
        <f t="shared" si="6"/>
        <v>-1226481.676825443</v>
      </c>
      <c r="CC15" s="215">
        <f t="shared" ref="CC15:DS15" si="7">SUM(CC13:CC14)</f>
        <v>483763.54799931729</v>
      </c>
      <c r="CD15" s="215">
        <f t="shared" si="7"/>
        <v>-63252.772491387295</v>
      </c>
      <c r="CE15" s="215">
        <f t="shared" si="7"/>
        <v>150598.75847876028</v>
      </c>
      <c r="CF15" s="215">
        <f t="shared" si="7"/>
        <v>461951.93640163401</v>
      </c>
      <c r="CG15" s="215">
        <f t="shared" si="7"/>
        <v>-157857.64760272272</v>
      </c>
      <c r="CH15" s="215">
        <f t="shared" si="7"/>
        <v>-208371.56078022203</v>
      </c>
      <c r="CI15" s="216">
        <f t="shared" si="7"/>
        <v>516196.0590700428</v>
      </c>
      <c r="CJ15" s="215">
        <f t="shared" si="7"/>
        <v>-553494.20824819978</v>
      </c>
      <c r="CK15" s="215">
        <f t="shared" si="7"/>
        <v>-86937.59440075708</v>
      </c>
      <c r="CL15" s="215">
        <f t="shared" si="7"/>
        <v>379283.31219112244</v>
      </c>
      <c r="CM15" s="215">
        <f t="shared" si="7"/>
        <v>-104616.20093470238</v>
      </c>
      <c r="CN15" s="215">
        <f t="shared" si="7"/>
        <v>-1323553.7634506263</v>
      </c>
      <c r="CO15" s="215">
        <f t="shared" si="7"/>
        <v>497235.01036434562</v>
      </c>
      <c r="CP15" s="215">
        <f t="shared" si="7"/>
        <v>-84287.11777547872</v>
      </c>
      <c r="CQ15" s="215">
        <f t="shared" si="7"/>
        <v>140733.86458476345</v>
      </c>
      <c r="CR15" s="215">
        <f t="shared" si="7"/>
        <v>474445.66335716506</v>
      </c>
      <c r="CS15" s="215">
        <f t="shared" si="7"/>
        <v>-218195.88640058445</v>
      </c>
      <c r="CT15" s="215">
        <f t="shared" si="7"/>
        <v>-206748.24617844782</v>
      </c>
      <c r="CU15" s="216">
        <f t="shared" si="7"/>
        <v>532425.59119134804</v>
      </c>
      <c r="CV15" s="215">
        <f t="shared" si="7"/>
        <v>-608870.57809002767</v>
      </c>
      <c r="CW15" s="215">
        <f t="shared" si="7"/>
        <v>-115623.82227454157</v>
      </c>
      <c r="CX15" s="215">
        <f t="shared" si="7"/>
        <v>383175.05237011076</v>
      </c>
      <c r="CY15" s="215">
        <f t="shared" si="7"/>
        <v>-132104.47526885636</v>
      </c>
      <c r="CZ15" s="215">
        <f t="shared" si="7"/>
        <v>-1430489.4636059129</v>
      </c>
      <c r="DA15" s="215">
        <f t="shared" si="7"/>
        <v>472304.26741331059</v>
      </c>
      <c r="DB15" s="215">
        <f t="shared" si="7"/>
        <v>-74170.275871540158</v>
      </c>
      <c r="DC15" s="215">
        <f t="shared" si="7"/>
        <v>90691.504169569263</v>
      </c>
      <c r="DD15" s="215">
        <f t="shared" si="7"/>
        <v>484393.53482159914</v>
      </c>
      <c r="DE15" s="215">
        <f t="shared" si="7"/>
        <v>-216066.72580755662</v>
      </c>
      <c r="DF15" s="215">
        <f t="shared" si="7"/>
        <v>-242405.90867809913</v>
      </c>
      <c r="DG15" s="216">
        <f t="shared" si="7"/>
        <v>546385.95256572159</v>
      </c>
      <c r="DH15" s="215">
        <f t="shared" si="7"/>
        <v>-3531025.2574078827</v>
      </c>
      <c r="DI15" s="215">
        <f t="shared" si="7"/>
        <v>-150302.81166153841</v>
      </c>
      <c r="DJ15" s="215">
        <f t="shared" si="7"/>
        <v>383543.10978180624</v>
      </c>
      <c r="DK15" s="215">
        <f t="shared" si="7"/>
        <v>-203335.70284361867</v>
      </c>
      <c r="DL15" s="215">
        <f t="shared" si="7"/>
        <v>-1548392.2381754315</v>
      </c>
      <c r="DM15" s="215">
        <f t="shared" si="7"/>
        <v>515976.22587537509</v>
      </c>
      <c r="DN15" s="215">
        <f t="shared" si="7"/>
        <v>-103108.22608873071</v>
      </c>
      <c r="DO15" s="215">
        <f t="shared" si="7"/>
        <v>69437.409001487104</v>
      </c>
      <c r="DP15" s="215">
        <f t="shared" si="7"/>
        <v>491623.71443831804</v>
      </c>
      <c r="DQ15" s="215">
        <f t="shared" si="7"/>
        <v>-250455.41580073544</v>
      </c>
      <c r="DR15" s="215">
        <f t="shared" si="7"/>
        <v>-269290.37217138172</v>
      </c>
      <c r="DS15" s="216">
        <f t="shared" si="7"/>
        <v>582154.40672568069</v>
      </c>
      <c r="DT15" s="843"/>
    </row>
    <row r="16" spans="1:124" ht="19.5" customHeight="1" x14ac:dyDescent="0.25">
      <c r="A16" s="95" t="s">
        <v>106</v>
      </c>
      <c r="B16" s="91"/>
      <c r="C16" s="51"/>
      <c r="D16" s="404">
        <f>'6. Finance Income'!C8</f>
        <v>0</v>
      </c>
      <c r="E16" s="404">
        <f>'6. Finance Income'!D8</f>
        <v>0</v>
      </c>
      <c r="F16" s="404">
        <f>'6. Finance Income'!E8</f>
        <v>0</v>
      </c>
      <c r="G16" s="404">
        <f>'6. Finance Income'!F8</f>
        <v>0</v>
      </c>
      <c r="H16" s="404">
        <f>'6. Finance Income'!G8</f>
        <v>0</v>
      </c>
      <c r="I16" s="404">
        <f>'6. Finance Income'!H8</f>
        <v>0</v>
      </c>
      <c r="J16" s="404">
        <f>'6. Finance Income'!I8</f>
        <v>0</v>
      </c>
      <c r="K16" s="404">
        <f>'6. Finance Income'!J8</f>
        <v>0</v>
      </c>
      <c r="L16" s="404">
        <f>'6. Finance Income'!K8</f>
        <v>0</v>
      </c>
      <c r="M16" s="404">
        <f>'6. Finance Income'!L8</f>
        <v>0</v>
      </c>
      <c r="N16" s="404">
        <f>'6. Finance Income'!M8</f>
        <v>0</v>
      </c>
      <c r="O16" s="497">
        <f>'6. Finance Income'!N8</f>
        <v>0</v>
      </c>
      <c r="P16" s="217">
        <f>'6. Finance Income'!O8</f>
        <v>0</v>
      </c>
      <c r="Q16" s="294">
        <f>'6. Finance Income'!P8</f>
        <v>0</v>
      </c>
      <c r="R16" s="294">
        <f>'6. Finance Income'!Q8</f>
        <v>0</v>
      </c>
      <c r="S16" s="294">
        <f>'6. Finance Income'!R8</f>
        <v>0</v>
      </c>
      <c r="T16" s="294">
        <f>'6. Finance Income'!S8</f>
        <v>0</v>
      </c>
      <c r="U16" s="294">
        <f>'6. Finance Income'!T8</f>
        <v>0</v>
      </c>
      <c r="V16" s="294">
        <f>'6. Finance Income'!U8</f>
        <v>0</v>
      </c>
      <c r="W16" s="294">
        <f>'6. Finance Income'!V8</f>
        <v>0</v>
      </c>
      <c r="X16" s="294">
        <f>'6. Finance Income'!W8</f>
        <v>0</v>
      </c>
      <c r="Y16" s="294">
        <f>'6. Finance Income'!X8</f>
        <v>0</v>
      </c>
      <c r="Z16" s="294">
        <f>'6. Finance Income'!Y8</f>
        <v>0</v>
      </c>
      <c r="AA16" s="218">
        <f>'6. Finance Income'!Z8</f>
        <v>0</v>
      </c>
      <c r="AB16" s="217">
        <f>'6. Finance Income'!AA8</f>
        <v>0</v>
      </c>
      <c r="AC16" s="219">
        <f>'6. Finance Income'!AB8</f>
        <v>0</v>
      </c>
      <c r="AD16" s="219">
        <f>'6. Finance Income'!AC8</f>
        <v>0</v>
      </c>
      <c r="AE16" s="219">
        <f>'6. Finance Income'!AD8</f>
        <v>0</v>
      </c>
      <c r="AF16" s="219">
        <f>'6. Finance Income'!AE8</f>
        <v>0</v>
      </c>
      <c r="AG16" s="219">
        <f>'6. Finance Income'!AF8</f>
        <v>0</v>
      </c>
      <c r="AH16" s="219">
        <f>'6. Finance Income'!AG8</f>
        <v>0</v>
      </c>
      <c r="AI16" s="219">
        <f>'6. Finance Income'!AH8</f>
        <v>0</v>
      </c>
      <c r="AJ16" s="219">
        <f>'6. Finance Income'!AI8</f>
        <v>0</v>
      </c>
      <c r="AK16" s="219">
        <f>'6. Finance Income'!AJ8</f>
        <v>0</v>
      </c>
      <c r="AL16" s="219">
        <f>'6. Finance Income'!AK8</f>
        <v>0</v>
      </c>
      <c r="AM16" s="218">
        <f>'6. Finance Income'!AL8</f>
        <v>0</v>
      </c>
      <c r="AN16" s="220">
        <f>'6. Finance Income'!AM8</f>
        <v>0</v>
      </c>
      <c r="AO16" s="219">
        <f>'6. Finance Income'!AN8</f>
        <v>0</v>
      </c>
      <c r="AP16" s="219">
        <f>'6. Finance Income'!AO8</f>
        <v>0</v>
      </c>
      <c r="AQ16" s="219">
        <f>'6. Finance Income'!AP8</f>
        <v>0</v>
      </c>
      <c r="AR16" s="219">
        <f>'6. Finance Income'!AQ8</f>
        <v>0</v>
      </c>
      <c r="AS16" s="219">
        <f>'6. Finance Income'!AR8</f>
        <v>0</v>
      </c>
      <c r="AT16" s="219">
        <f>'6. Finance Income'!AS8</f>
        <v>0</v>
      </c>
      <c r="AU16" s="219">
        <f>'6. Finance Income'!AT8</f>
        <v>0</v>
      </c>
      <c r="AV16" s="219">
        <f>'6. Finance Income'!AU8</f>
        <v>0</v>
      </c>
      <c r="AW16" s="219">
        <f>'6. Finance Income'!AV8</f>
        <v>0</v>
      </c>
      <c r="AX16" s="219">
        <f>'6. Finance Income'!AW8</f>
        <v>0</v>
      </c>
      <c r="AY16" s="218">
        <f>'6. Finance Income'!AX8</f>
        <v>0</v>
      </c>
      <c r="AZ16" s="220">
        <f>'6. Finance Income'!AY8</f>
        <v>0</v>
      </c>
      <c r="BA16" s="219">
        <f>'6. Finance Income'!AZ8</f>
        <v>0</v>
      </c>
      <c r="BB16" s="219">
        <f>'6. Finance Income'!BA8</f>
        <v>0</v>
      </c>
      <c r="BC16" s="219">
        <f>'6. Finance Income'!BB8</f>
        <v>0</v>
      </c>
      <c r="BD16" s="219">
        <f>'6. Finance Income'!BC8</f>
        <v>0</v>
      </c>
      <c r="BE16" s="219">
        <f>'6. Finance Income'!BD8</f>
        <v>0</v>
      </c>
      <c r="BF16" s="219">
        <f>'6. Finance Income'!BE8</f>
        <v>0</v>
      </c>
      <c r="BG16" s="219">
        <f>'6. Finance Income'!BF8</f>
        <v>0</v>
      </c>
      <c r="BH16" s="219">
        <f>'6. Finance Income'!BG8</f>
        <v>0</v>
      </c>
      <c r="BI16" s="219">
        <f>'6. Finance Income'!BH8</f>
        <v>0</v>
      </c>
      <c r="BJ16" s="219">
        <f>'6. Finance Income'!BI8</f>
        <v>0</v>
      </c>
      <c r="BK16" s="218">
        <f>'6. Finance Income'!BJ8</f>
        <v>0</v>
      </c>
      <c r="BL16" s="220">
        <f>'6. Finance Income'!BK8</f>
        <v>0</v>
      </c>
      <c r="BM16" s="219">
        <f>'6. Finance Income'!BL8</f>
        <v>0</v>
      </c>
      <c r="BN16" s="219">
        <f>'6. Finance Income'!BM8</f>
        <v>0</v>
      </c>
      <c r="BO16" s="219">
        <f>'6. Finance Income'!BN8</f>
        <v>0</v>
      </c>
      <c r="BP16" s="219">
        <f>'6. Finance Income'!BO8</f>
        <v>0</v>
      </c>
      <c r="BQ16" s="219">
        <f>'6. Finance Income'!BP8</f>
        <v>0</v>
      </c>
      <c r="BR16" s="219">
        <f>'6. Finance Income'!BQ8</f>
        <v>0</v>
      </c>
      <c r="BS16" s="219">
        <f>'6. Finance Income'!BR8</f>
        <v>0</v>
      </c>
      <c r="BT16" s="219">
        <f>'6. Finance Income'!BS8</f>
        <v>0</v>
      </c>
      <c r="BU16" s="219">
        <f>'6. Finance Income'!BT8</f>
        <v>0</v>
      </c>
      <c r="BV16" s="219">
        <f>'6. Finance Income'!BU8</f>
        <v>0</v>
      </c>
      <c r="BW16" s="218">
        <f>'6. Finance Income'!BV8</f>
        <v>0</v>
      </c>
      <c r="BX16" s="220">
        <f>'6. Finance Income'!BW8</f>
        <v>0</v>
      </c>
      <c r="BY16" s="219">
        <f>'6. Finance Income'!BX8</f>
        <v>0</v>
      </c>
      <c r="BZ16" s="219">
        <f>'6. Finance Income'!BY8</f>
        <v>0</v>
      </c>
      <c r="CA16" s="219">
        <f>'6. Finance Income'!BZ8</f>
        <v>0</v>
      </c>
      <c r="CB16" s="219">
        <f>'6. Finance Income'!CA8</f>
        <v>0</v>
      </c>
      <c r="CC16" s="219">
        <f>'6. Finance Income'!CB8</f>
        <v>0</v>
      </c>
      <c r="CD16" s="219">
        <f>'6. Finance Income'!CC8</f>
        <v>0</v>
      </c>
      <c r="CE16" s="219">
        <f>'6. Finance Income'!CD8</f>
        <v>0</v>
      </c>
      <c r="CF16" s="219">
        <f>'6. Finance Income'!CE8</f>
        <v>0</v>
      </c>
      <c r="CG16" s="219">
        <f>'6. Finance Income'!CF8</f>
        <v>0</v>
      </c>
      <c r="CH16" s="219">
        <f>'6. Finance Income'!CG8</f>
        <v>0</v>
      </c>
      <c r="CI16" s="218">
        <f>'6. Finance Income'!CH8</f>
        <v>0</v>
      </c>
      <c r="CJ16" s="220">
        <f>'6. Finance Income'!CI8</f>
        <v>0</v>
      </c>
      <c r="CK16" s="219">
        <f>'6. Finance Income'!CJ8</f>
        <v>0</v>
      </c>
      <c r="CL16" s="219">
        <f>'6. Finance Income'!CK8</f>
        <v>0</v>
      </c>
      <c r="CM16" s="219">
        <f>'6. Finance Income'!CL8</f>
        <v>0</v>
      </c>
      <c r="CN16" s="219">
        <f>'6. Finance Income'!CM8</f>
        <v>0</v>
      </c>
      <c r="CO16" s="219">
        <f>'6. Finance Income'!CN8</f>
        <v>0</v>
      </c>
      <c r="CP16" s="219">
        <f>'6. Finance Income'!CO8</f>
        <v>0</v>
      </c>
      <c r="CQ16" s="219">
        <f>'6. Finance Income'!CP8</f>
        <v>0</v>
      </c>
      <c r="CR16" s="219">
        <f>'6. Finance Income'!CQ8</f>
        <v>0</v>
      </c>
      <c r="CS16" s="219">
        <f>'6. Finance Income'!CR8</f>
        <v>0</v>
      </c>
      <c r="CT16" s="219">
        <f>'6. Finance Income'!CS8</f>
        <v>0</v>
      </c>
      <c r="CU16" s="218">
        <f>'6. Finance Income'!CT8</f>
        <v>0</v>
      </c>
      <c r="CV16" s="220">
        <f>'6. Finance Income'!CU8</f>
        <v>0</v>
      </c>
      <c r="CW16" s="219">
        <f>'6. Finance Income'!CV8</f>
        <v>0</v>
      </c>
      <c r="CX16" s="219">
        <f>'6. Finance Income'!CW8</f>
        <v>0</v>
      </c>
      <c r="CY16" s="219">
        <f>'6. Finance Income'!CX8</f>
        <v>0</v>
      </c>
      <c r="CZ16" s="219">
        <f>'6. Finance Income'!CY8</f>
        <v>0</v>
      </c>
      <c r="DA16" s="219">
        <f>'6. Finance Income'!CZ8</f>
        <v>0</v>
      </c>
      <c r="DB16" s="219">
        <f>'6. Finance Income'!DA8</f>
        <v>0</v>
      </c>
      <c r="DC16" s="219">
        <f>'6. Finance Income'!DB8</f>
        <v>0</v>
      </c>
      <c r="DD16" s="219">
        <f>'6. Finance Income'!DC8</f>
        <v>0</v>
      </c>
      <c r="DE16" s="219">
        <f>'6. Finance Income'!DD8</f>
        <v>0</v>
      </c>
      <c r="DF16" s="219">
        <f>'6. Finance Income'!DE8</f>
        <v>0</v>
      </c>
      <c r="DG16" s="218">
        <f>'6. Finance Income'!DF8</f>
        <v>0</v>
      </c>
      <c r="DH16" s="220">
        <f>'6. Finance Income'!DG8</f>
        <v>0</v>
      </c>
      <c r="DI16" s="219">
        <f>'6. Finance Income'!DH8</f>
        <v>0</v>
      </c>
      <c r="DJ16" s="219">
        <f>'6. Finance Income'!DI8</f>
        <v>0</v>
      </c>
      <c r="DK16" s="219">
        <f>'6. Finance Income'!DJ8</f>
        <v>0</v>
      </c>
      <c r="DL16" s="219">
        <f>'6. Finance Income'!DK8</f>
        <v>0</v>
      </c>
      <c r="DM16" s="219">
        <f>'6. Finance Income'!DL8</f>
        <v>0</v>
      </c>
      <c r="DN16" s="219">
        <f>'6. Finance Income'!DM8</f>
        <v>0</v>
      </c>
      <c r="DO16" s="219">
        <f>'6. Finance Income'!DN8</f>
        <v>0</v>
      </c>
      <c r="DP16" s="219">
        <f>'6. Finance Income'!DO8</f>
        <v>0</v>
      </c>
      <c r="DQ16" s="219">
        <f>'6. Finance Income'!DP8</f>
        <v>0</v>
      </c>
      <c r="DR16" s="219">
        <f>'6. Finance Income'!DQ8</f>
        <v>0</v>
      </c>
      <c r="DS16" s="218">
        <f>'6. Finance Income'!DR8</f>
        <v>0</v>
      </c>
      <c r="DT16" s="843"/>
    </row>
    <row r="17" spans="1:124" ht="19.5" customHeight="1" thickBot="1" x14ac:dyDescent="0.3">
      <c r="A17" s="95" t="s">
        <v>92</v>
      </c>
      <c r="B17" s="91"/>
      <c r="C17" s="51"/>
      <c r="D17" s="1133">
        <f>'7.Finance Costs'!C7</f>
        <v>0</v>
      </c>
      <c r="E17" s="1133">
        <f>'7.Finance Costs'!D7</f>
        <v>0</v>
      </c>
      <c r="F17" s="1133">
        <f>'7.Finance Costs'!E7</f>
        <v>0</v>
      </c>
      <c r="G17" s="1133">
        <f>'7.Finance Costs'!F7</f>
        <v>0</v>
      </c>
      <c r="H17" s="1133">
        <f>'7.Finance Costs'!G7</f>
        <v>0</v>
      </c>
      <c r="I17" s="1133">
        <f>'7.Finance Costs'!H7</f>
        <v>0</v>
      </c>
      <c r="J17" s="1133">
        <f>'7.Finance Costs'!I7</f>
        <v>0</v>
      </c>
      <c r="K17" s="1133">
        <f>'7.Finance Costs'!J7</f>
        <v>0</v>
      </c>
      <c r="L17" s="1133">
        <f>'7.Finance Costs'!K7</f>
        <v>0</v>
      </c>
      <c r="M17" s="1133">
        <f>'7.Finance Costs'!L7</f>
        <v>0</v>
      </c>
      <c r="N17" s="1133">
        <f>'7.Finance Costs'!M7</f>
        <v>0</v>
      </c>
      <c r="O17" s="1134">
        <f>'7.Finance Costs'!N7</f>
        <v>0</v>
      </c>
      <c r="P17" s="305">
        <f>'7.Finance Costs'!O7</f>
        <v>0</v>
      </c>
      <c r="Q17" s="306">
        <f>'7.Finance Costs'!P7</f>
        <v>0</v>
      </c>
      <c r="R17" s="306">
        <f>'7.Finance Costs'!Q7</f>
        <v>0</v>
      </c>
      <c r="S17" s="306">
        <f>'7.Finance Costs'!R7</f>
        <v>0</v>
      </c>
      <c r="T17" s="306">
        <f>'7.Finance Costs'!S7</f>
        <v>0</v>
      </c>
      <c r="U17" s="306">
        <f>'7.Finance Costs'!T7</f>
        <v>0</v>
      </c>
      <c r="V17" s="306">
        <f>'7.Finance Costs'!U7</f>
        <v>0</v>
      </c>
      <c r="W17" s="306">
        <f>'7.Finance Costs'!V7</f>
        <v>0</v>
      </c>
      <c r="X17" s="306">
        <f>'7.Finance Costs'!W7</f>
        <v>0</v>
      </c>
      <c r="Y17" s="306">
        <f>'7.Finance Costs'!X7</f>
        <v>0</v>
      </c>
      <c r="Z17" s="306">
        <f>'7.Finance Costs'!Y7</f>
        <v>0</v>
      </c>
      <c r="AA17" s="221">
        <f>'7.Finance Costs'!Z7</f>
        <v>0</v>
      </c>
      <c r="AB17" s="305">
        <f>'7.Finance Costs'!AA7</f>
        <v>0</v>
      </c>
      <c r="AC17" s="222">
        <f>'7.Finance Costs'!AB7</f>
        <v>0</v>
      </c>
      <c r="AD17" s="222">
        <f>'7.Finance Costs'!AC7</f>
        <v>0</v>
      </c>
      <c r="AE17" s="222">
        <f>'7.Finance Costs'!AD7</f>
        <v>0</v>
      </c>
      <c r="AF17" s="222">
        <f>'7.Finance Costs'!AE7</f>
        <v>0</v>
      </c>
      <c r="AG17" s="222">
        <f>'7.Finance Costs'!AF7</f>
        <v>0</v>
      </c>
      <c r="AH17" s="222">
        <f>'7.Finance Costs'!AG7</f>
        <v>0</v>
      </c>
      <c r="AI17" s="222">
        <f>'7.Finance Costs'!AH7</f>
        <v>0</v>
      </c>
      <c r="AJ17" s="222">
        <f>'7.Finance Costs'!AI7</f>
        <v>0</v>
      </c>
      <c r="AK17" s="222">
        <f>'7.Finance Costs'!AJ7</f>
        <v>0</v>
      </c>
      <c r="AL17" s="222">
        <f>'7.Finance Costs'!AK7</f>
        <v>0</v>
      </c>
      <c r="AM17" s="221">
        <f>'7.Finance Costs'!AL7</f>
        <v>0</v>
      </c>
      <c r="AN17" s="223">
        <f>'7.Finance Costs'!AM7</f>
        <v>0</v>
      </c>
      <c r="AO17" s="222">
        <f>'7.Finance Costs'!AN7</f>
        <v>0</v>
      </c>
      <c r="AP17" s="222">
        <f>'7.Finance Costs'!AO7</f>
        <v>0</v>
      </c>
      <c r="AQ17" s="222">
        <f>'7.Finance Costs'!AP7</f>
        <v>0</v>
      </c>
      <c r="AR17" s="222">
        <f>'7.Finance Costs'!AQ7</f>
        <v>0</v>
      </c>
      <c r="AS17" s="222">
        <f>'7.Finance Costs'!AR7</f>
        <v>0</v>
      </c>
      <c r="AT17" s="222">
        <f>'7.Finance Costs'!AS7</f>
        <v>0</v>
      </c>
      <c r="AU17" s="222">
        <f>'7.Finance Costs'!AT7</f>
        <v>0</v>
      </c>
      <c r="AV17" s="222">
        <f>'7.Finance Costs'!AU7</f>
        <v>0</v>
      </c>
      <c r="AW17" s="222">
        <f>'7.Finance Costs'!AV7</f>
        <v>0</v>
      </c>
      <c r="AX17" s="222">
        <f>'7.Finance Costs'!AW7</f>
        <v>0</v>
      </c>
      <c r="AY17" s="221">
        <f>'7.Finance Costs'!AX7</f>
        <v>0</v>
      </c>
      <c r="AZ17" s="223">
        <f>'7.Finance Costs'!AY7</f>
        <v>0</v>
      </c>
      <c r="BA17" s="222">
        <f>'7.Finance Costs'!AZ7</f>
        <v>0</v>
      </c>
      <c r="BB17" s="222">
        <f>'7.Finance Costs'!BA7</f>
        <v>0</v>
      </c>
      <c r="BC17" s="222">
        <f>'7.Finance Costs'!BB7</f>
        <v>0</v>
      </c>
      <c r="BD17" s="222">
        <f>'7.Finance Costs'!BC7</f>
        <v>0</v>
      </c>
      <c r="BE17" s="222">
        <f>'7.Finance Costs'!BD7</f>
        <v>0</v>
      </c>
      <c r="BF17" s="222">
        <f>'7.Finance Costs'!BE7</f>
        <v>0</v>
      </c>
      <c r="BG17" s="222">
        <f>'7.Finance Costs'!BF7</f>
        <v>0</v>
      </c>
      <c r="BH17" s="222">
        <f>'7.Finance Costs'!BG7</f>
        <v>0</v>
      </c>
      <c r="BI17" s="222">
        <f>'7.Finance Costs'!BH7</f>
        <v>0</v>
      </c>
      <c r="BJ17" s="222">
        <f>'7.Finance Costs'!BI7</f>
        <v>0</v>
      </c>
      <c r="BK17" s="221">
        <f>'7.Finance Costs'!BJ7</f>
        <v>0</v>
      </c>
      <c r="BL17" s="223">
        <f>'7.Finance Costs'!BK7</f>
        <v>0</v>
      </c>
      <c r="BM17" s="222">
        <f>'7.Finance Costs'!BL7</f>
        <v>0</v>
      </c>
      <c r="BN17" s="222">
        <f>'7.Finance Costs'!BM7</f>
        <v>0</v>
      </c>
      <c r="BO17" s="222">
        <f>'7.Finance Costs'!BN7</f>
        <v>0</v>
      </c>
      <c r="BP17" s="222">
        <f>'7.Finance Costs'!BO7</f>
        <v>0</v>
      </c>
      <c r="BQ17" s="222">
        <f>'7.Finance Costs'!BP7</f>
        <v>0</v>
      </c>
      <c r="BR17" s="222">
        <f>'7.Finance Costs'!BQ7</f>
        <v>0</v>
      </c>
      <c r="BS17" s="222">
        <f>'7.Finance Costs'!BR7</f>
        <v>0</v>
      </c>
      <c r="BT17" s="222">
        <f>'7.Finance Costs'!BS7</f>
        <v>0</v>
      </c>
      <c r="BU17" s="222">
        <f>'7.Finance Costs'!BT7</f>
        <v>0</v>
      </c>
      <c r="BV17" s="222">
        <f>'7.Finance Costs'!BU7</f>
        <v>0</v>
      </c>
      <c r="BW17" s="221">
        <f>'7.Finance Costs'!BV7</f>
        <v>0</v>
      </c>
      <c r="BX17" s="223">
        <f>'7.Finance Costs'!BW7</f>
        <v>0</v>
      </c>
      <c r="BY17" s="222">
        <f>'7.Finance Costs'!BX7</f>
        <v>0</v>
      </c>
      <c r="BZ17" s="222">
        <f>'7.Finance Costs'!BY7</f>
        <v>0</v>
      </c>
      <c r="CA17" s="222">
        <f>'7.Finance Costs'!BZ7</f>
        <v>0</v>
      </c>
      <c r="CB17" s="222">
        <f>'7.Finance Costs'!CA7</f>
        <v>0</v>
      </c>
      <c r="CC17" s="222">
        <f>'7.Finance Costs'!CB7</f>
        <v>0</v>
      </c>
      <c r="CD17" s="222">
        <f>'7.Finance Costs'!CC7</f>
        <v>0</v>
      </c>
      <c r="CE17" s="222">
        <f>'7.Finance Costs'!CD7</f>
        <v>0</v>
      </c>
      <c r="CF17" s="222">
        <f>'7.Finance Costs'!CE7</f>
        <v>0</v>
      </c>
      <c r="CG17" s="222">
        <f>'7.Finance Costs'!CF7</f>
        <v>0</v>
      </c>
      <c r="CH17" s="222">
        <f>'7.Finance Costs'!CG7</f>
        <v>0</v>
      </c>
      <c r="CI17" s="221">
        <f>'7.Finance Costs'!CH7</f>
        <v>0</v>
      </c>
      <c r="CJ17" s="223">
        <f>'7.Finance Costs'!CI7</f>
        <v>0</v>
      </c>
      <c r="CK17" s="222">
        <f>'7.Finance Costs'!CJ7</f>
        <v>0</v>
      </c>
      <c r="CL17" s="222">
        <f>'7.Finance Costs'!CK7</f>
        <v>0</v>
      </c>
      <c r="CM17" s="222">
        <f>'7.Finance Costs'!CL7</f>
        <v>0</v>
      </c>
      <c r="CN17" s="222">
        <f>'7.Finance Costs'!CM7</f>
        <v>0</v>
      </c>
      <c r="CO17" s="222">
        <f>'7.Finance Costs'!CN7</f>
        <v>0</v>
      </c>
      <c r="CP17" s="222">
        <f>'7.Finance Costs'!CO7</f>
        <v>0</v>
      </c>
      <c r="CQ17" s="222">
        <f>'7.Finance Costs'!CP7</f>
        <v>0</v>
      </c>
      <c r="CR17" s="222">
        <f>'7.Finance Costs'!CQ7</f>
        <v>0</v>
      </c>
      <c r="CS17" s="222">
        <f>'7.Finance Costs'!CR7</f>
        <v>0</v>
      </c>
      <c r="CT17" s="222">
        <f>'7.Finance Costs'!CS7</f>
        <v>0</v>
      </c>
      <c r="CU17" s="221">
        <f>'7.Finance Costs'!CT7</f>
        <v>0</v>
      </c>
      <c r="CV17" s="223">
        <f>'7.Finance Costs'!CU7</f>
        <v>0</v>
      </c>
      <c r="CW17" s="222">
        <f>'7.Finance Costs'!CV7</f>
        <v>0</v>
      </c>
      <c r="CX17" s="222">
        <f>'7.Finance Costs'!CW7</f>
        <v>0</v>
      </c>
      <c r="CY17" s="222">
        <f>'7.Finance Costs'!CX7</f>
        <v>0</v>
      </c>
      <c r="CZ17" s="222">
        <f>'7.Finance Costs'!CY7</f>
        <v>0</v>
      </c>
      <c r="DA17" s="222">
        <f>'7.Finance Costs'!CZ7</f>
        <v>0</v>
      </c>
      <c r="DB17" s="222">
        <f>'7.Finance Costs'!DA7</f>
        <v>0</v>
      </c>
      <c r="DC17" s="222">
        <f>'7.Finance Costs'!DB7</f>
        <v>0</v>
      </c>
      <c r="DD17" s="222">
        <f>'7.Finance Costs'!DC7</f>
        <v>0</v>
      </c>
      <c r="DE17" s="222">
        <f>'7.Finance Costs'!DD7</f>
        <v>0</v>
      </c>
      <c r="DF17" s="222">
        <f>'7.Finance Costs'!DE7</f>
        <v>0</v>
      </c>
      <c r="DG17" s="221">
        <f>'7.Finance Costs'!DF7</f>
        <v>0</v>
      </c>
      <c r="DH17" s="223">
        <f>'7.Finance Costs'!DG7</f>
        <v>0</v>
      </c>
      <c r="DI17" s="222">
        <f>'7.Finance Costs'!DH7</f>
        <v>0</v>
      </c>
      <c r="DJ17" s="222">
        <f>'7.Finance Costs'!DI7</f>
        <v>0</v>
      </c>
      <c r="DK17" s="222">
        <f>'7.Finance Costs'!DJ7</f>
        <v>0</v>
      </c>
      <c r="DL17" s="222">
        <f>'7.Finance Costs'!DK7</f>
        <v>0</v>
      </c>
      <c r="DM17" s="222">
        <f>'7.Finance Costs'!DL7</f>
        <v>0</v>
      </c>
      <c r="DN17" s="222">
        <f>'7.Finance Costs'!DM7</f>
        <v>0</v>
      </c>
      <c r="DO17" s="222">
        <f>'7.Finance Costs'!DN7</f>
        <v>0</v>
      </c>
      <c r="DP17" s="222">
        <f>'7.Finance Costs'!DO7</f>
        <v>0</v>
      </c>
      <c r="DQ17" s="222">
        <f>'7.Finance Costs'!DP7</f>
        <v>0</v>
      </c>
      <c r="DR17" s="222">
        <f>'7.Finance Costs'!DQ7</f>
        <v>0</v>
      </c>
      <c r="DS17" s="221">
        <f>'7.Finance Costs'!DR7</f>
        <v>0</v>
      </c>
      <c r="DT17" s="843"/>
    </row>
    <row r="18" spans="1:124" ht="23.25" customHeight="1" x14ac:dyDescent="0.3">
      <c r="A18" s="1336" t="s">
        <v>107</v>
      </c>
      <c r="B18" s="1336"/>
      <c r="C18" s="52"/>
      <c r="D18" s="711">
        <f t="shared" ref="D18:M18" si="8">SUM(D15:D17)</f>
        <v>-216944.4898596603</v>
      </c>
      <c r="E18" s="711">
        <f t="shared" si="8"/>
        <v>-216944.4898596603</v>
      </c>
      <c r="F18" s="711">
        <f t="shared" si="8"/>
        <v>-216944.4898596603</v>
      </c>
      <c r="G18" s="711">
        <f t="shared" si="8"/>
        <v>-216944.4898596603</v>
      </c>
      <c r="H18" s="711">
        <f t="shared" si="8"/>
        <v>-216944.4898596603</v>
      </c>
      <c r="I18" s="711">
        <f t="shared" si="8"/>
        <v>-216944.4898596603</v>
      </c>
      <c r="J18" s="711">
        <f t="shared" si="8"/>
        <v>-216944.4898596603</v>
      </c>
      <c r="K18" s="711">
        <f t="shared" si="8"/>
        <v>-216944.4898596603</v>
      </c>
      <c r="L18" s="711">
        <f t="shared" si="8"/>
        <v>-216944.4898596603</v>
      </c>
      <c r="M18" s="711">
        <f t="shared" si="8"/>
        <v>-216944.4898596603</v>
      </c>
      <c r="N18" s="711">
        <f t="shared" ref="N18:R18" si="9">SUM(N15:N17)</f>
        <v>-790558.4878492069</v>
      </c>
      <c r="O18" s="770">
        <f t="shared" si="9"/>
        <v>-585067.15295204136</v>
      </c>
      <c r="P18" s="307">
        <f t="shared" si="9"/>
        <v>-673756.81028442993</v>
      </c>
      <c r="Q18" s="308">
        <f t="shared" si="9"/>
        <v>-1212894.5236861249</v>
      </c>
      <c r="R18" s="308">
        <f t="shared" si="9"/>
        <v>-1051568.7628400817</v>
      </c>
      <c r="S18" s="308">
        <f t="shared" ref="S18:CB18" si="10">SUM(S15:S17)</f>
        <v>-1067027.1682008901</v>
      </c>
      <c r="T18" s="308">
        <f t="shared" si="10"/>
        <v>-1323784.7420449748</v>
      </c>
      <c r="U18" s="308">
        <f t="shared" si="10"/>
        <v>-1157239.8413411125</v>
      </c>
      <c r="V18" s="308">
        <f t="shared" si="10"/>
        <v>-1195376.9774404883</v>
      </c>
      <c r="W18" s="308">
        <f t="shared" si="10"/>
        <v>-1462781.9319379397</v>
      </c>
      <c r="X18" s="308">
        <f t="shared" si="10"/>
        <v>-1295295.1329067431</v>
      </c>
      <c r="Y18" s="308">
        <f t="shared" si="10"/>
        <v>-1363483.3151446399</v>
      </c>
      <c r="Z18" s="308">
        <f t="shared" si="10"/>
        <v>-1448472.129472285</v>
      </c>
      <c r="AA18" s="224">
        <f t="shared" si="10"/>
        <v>-1481877.1501625043</v>
      </c>
      <c r="AB18" s="307">
        <f t="shared" si="10"/>
        <v>-1713382.3657489596</v>
      </c>
      <c r="AC18" s="225">
        <f t="shared" si="10"/>
        <v>-1777514.413010193</v>
      </c>
      <c r="AD18" s="225">
        <f t="shared" si="10"/>
        <v>-1951175.4070986183</v>
      </c>
      <c r="AE18" s="225">
        <f t="shared" si="10"/>
        <v>-2001885.1027621091</v>
      </c>
      <c r="AF18" s="225">
        <f t="shared" si="10"/>
        <v>-2127070.4887668192</v>
      </c>
      <c r="AG18" s="225">
        <f t="shared" si="10"/>
        <v>-2293513.2512972858</v>
      </c>
      <c r="AH18" s="225">
        <f t="shared" si="10"/>
        <v>-2405442.3547042864</v>
      </c>
      <c r="AI18" s="225">
        <f t="shared" si="10"/>
        <v>-2571878.0919264928</v>
      </c>
      <c r="AJ18" s="225">
        <f t="shared" si="10"/>
        <v>-2759928.9705296909</v>
      </c>
      <c r="AK18" s="225">
        <f t="shared" si="10"/>
        <v>-3421897.147546452</v>
      </c>
      <c r="AL18" s="225">
        <f t="shared" si="10"/>
        <v>-169473.04298651259</v>
      </c>
      <c r="AM18" s="224">
        <f t="shared" si="10"/>
        <v>366047.648827144</v>
      </c>
      <c r="AN18" s="226">
        <f t="shared" si="10"/>
        <v>-487738.05386616394</v>
      </c>
      <c r="AO18" s="225">
        <f t="shared" si="10"/>
        <v>-115482.43338836724</v>
      </c>
      <c r="AP18" s="225">
        <f t="shared" si="10"/>
        <v>241527.72799605364</v>
      </c>
      <c r="AQ18" s="225">
        <f t="shared" si="10"/>
        <v>-161615.2671714715</v>
      </c>
      <c r="AR18" s="225">
        <f t="shared" si="10"/>
        <v>-1060540.5890034069</v>
      </c>
      <c r="AS18" s="225">
        <f t="shared" si="10"/>
        <v>308461.6420673817</v>
      </c>
      <c r="AT18" s="225">
        <f t="shared" si="10"/>
        <v>-94004.194950464764</v>
      </c>
      <c r="AU18" s="225">
        <f t="shared" si="10"/>
        <v>-161955.94652709778</v>
      </c>
      <c r="AV18" s="225">
        <f t="shared" si="10"/>
        <v>315902.80563019594</v>
      </c>
      <c r="AW18" s="225">
        <f t="shared" si="10"/>
        <v>-200017.87312014506</v>
      </c>
      <c r="AX18" s="225">
        <f t="shared" si="10"/>
        <v>-210779.99500873307</v>
      </c>
      <c r="AY18" s="224">
        <f t="shared" si="10"/>
        <v>360399.5647687242</v>
      </c>
      <c r="AZ18" s="226">
        <f t="shared" si="10"/>
        <v>-551683.39605477871</v>
      </c>
      <c r="BA18" s="225">
        <f t="shared" si="10"/>
        <v>-157633.56474376767</v>
      </c>
      <c r="BB18" s="225">
        <f t="shared" si="10"/>
        <v>223834.82694685232</v>
      </c>
      <c r="BC18" s="225">
        <f t="shared" si="10"/>
        <v>-205254.71223519376</v>
      </c>
      <c r="BD18" s="225">
        <f t="shared" si="10"/>
        <v>-1186441.2142466002</v>
      </c>
      <c r="BE18" s="225">
        <f t="shared" si="10"/>
        <v>322838.613808011</v>
      </c>
      <c r="BF18" s="225">
        <f t="shared" si="10"/>
        <v>-133103.14044361986</v>
      </c>
      <c r="BG18" s="225">
        <f t="shared" si="10"/>
        <v>3471.4105611516279</v>
      </c>
      <c r="BH18" s="225">
        <f t="shared" si="10"/>
        <v>302933.15675139317</v>
      </c>
      <c r="BI18" s="225">
        <f t="shared" si="10"/>
        <v>-245520.39851907786</v>
      </c>
      <c r="BJ18" s="225">
        <f t="shared" si="10"/>
        <v>-258580.77309197577</v>
      </c>
      <c r="BK18" s="224">
        <f t="shared" si="10"/>
        <v>350454.01626240398</v>
      </c>
      <c r="BL18" s="226">
        <f t="shared" si="10"/>
        <v>-2730784.4229795435</v>
      </c>
      <c r="BM18" s="225">
        <f t="shared" si="10"/>
        <v>-14567.067286223551</v>
      </c>
      <c r="BN18" s="225">
        <f t="shared" si="10"/>
        <v>363296.06195055437</v>
      </c>
      <c r="BO18" s="225">
        <f t="shared" si="10"/>
        <v>-93445.958201936999</v>
      </c>
      <c r="BP18" s="225">
        <f t="shared" si="10"/>
        <v>-1138286.9281376197</v>
      </c>
      <c r="BQ18" s="225">
        <f t="shared" si="10"/>
        <v>468268.9968081197</v>
      </c>
      <c r="BR18" s="225">
        <f t="shared" si="10"/>
        <v>-16431.350542134227</v>
      </c>
      <c r="BS18" s="225">
        <f t="shared" si="10"/>
        <v>126943.58382104765</v>
      </c>
      <c r="BT18" s="225">
        <f t="shared" si="10"/>
        <v>447420.02486480412</v>
      </c>
      <c r="BU18" s="225">
        <f t="shared" si="10"/>
        <v>-135619.87334861988</v>
      </c>
      <c r="BV18" s="225">
        <f t="shared" si="10"/>
        <v>-181193.82898248165</v>
      </c>
      <c r="BW18" s="224">
        <f t="shared" si="10"/>
        <v>528044.10797192634</v>
      </c>
      <c r="BX18" s="226">
        <f t="shared" si="10"/>
        <v>-536337.24536210881</v>
      </c>
      <c r="BY18" s="225">
        <f t="shared" si="10"/>
        <v>-31699.186238187802</v>
      </c>
      <c r="BZ18" s="225">
        <f t="shared" si="10"/>
        <v>340739.17245539639</v>
      </c>
      <c r="CA18" s="225">
        <f t="shared" si="10"/>
        <v>-81995.765703386365</v>
      </c>
      <c r="CB18" s="225">
        <f t="shared" si="10"/>
        <v>-1226481.676825443</v>
      </c>
      <c r="CC18" s="225">
        <f t="shared" ref="CC18:DS18" si="11">SUM(CC15:CC17)</f>
        <v>483763.54799931729</v>
      </c>
      <c r="CD18" s="225">
        <f t="shared" si="11"/>
        <v>-63252.772491387295</v>
      </c>
      <c r="CE18" s="225">
        <f t="shared" si="11"/>
        <v>150598.75847876028</v>
      </c>
      <c r="CF18" s="225">
        <f t="shared" si="11"/>
        <v>461951.93640163401</v>
      </c>
      <c r="CG18" s="225">
        <f t="shared" si="11"/>
        <v>-157857.64760272272</v>
      </c>
      <c r="CH18" s="225">
        <f t="shared" si="11"/>
        <v>-208371.56078022203</v>
      </c>
      <c r="CI18" s="224">
        <f t="shared" si="11"/>
        <v>516196.0590700428</v>
      </c>
      <c r="CJ18" s="226">
        <f t="shared" si="11"/>
        <v>-553494.20824819978</v>
      </c>
      <c r="CK18" s="225">
        <f t="shared" si="11"/>
        <v>-86937.59440075708</v>
      </c>
      <c r="CL18" s="225">
        <f t="shared" si="11"/>
        <v>379283.31219112244</v>
      </c>
      <c r="CM18" s="225">
        <f t="shared" si="11"/>
        <v>-104616.20093470238</v>
      </c>
      <c r="CN18" s="225">
        <f t="shared" si="11"/>
        <v>-1323553.7634506263</v>
      </c>
      <c r="CO18" s="225">
        <f t="shared" si="11"/>
        <v>497235.01036434562</v>
      </c>
      <c r="CP18" s="225">
        <f t="shared" si="11"/>
        <v>-84287.11777547872</v>
      </c>
      <c r="CQ18" s="225">
        <f t="shared" si="11"/>
        <v>140733.86458476345</v>
      </c>
      <c r="CR18" s="225">
        <f t="shared" si="11"/>
        <v>474445.66335716506</v>
      </c>
      <c r="CS18" s="225">
        <f t="shared" si="11"/>
        <v>-218195.88640058445</v>
      </c>
      <c r="CT18" s="225">
        <f t="shared" si="11"/>
        <v>-206748.24617844782</v>
      </c>
      <c r="CU18" s="224">
        <f t="shared" si="11"/>
        <v>532425.59119134804</v>
      </c>
      <c r="CV18" s="226">
        <f t="shared" si="11"/>
        <v>-608870.57809002767</v>
      </c>
      <c r="CW18" s="225">
        <f t="shared" si="11"/>
        <v>-115623.82227454157</v>
      </c>
      <c r="CX18" s="225">
        <f t="shared" si="11"/>
        <v>383175.05237011076</v>
      </c>
      <c r="CY18" s="225">
        <f t="shared" si="11"/>
        <v>-132104.47526885636</v>
      </c>
      <c r="CZ18" s="225">
        <f t="shared" si="11"/>
        <v>-1430489.4636059129</v>
      </c>
      <c r="DA18" s="225">
        <f t="shared" si="11"/>
        <v>472304.26741331059</v>
      </c>
      <c r="DB18" s="225">
        <f t="shared" si="11"/>
        <v>-74170.275871540158</v>
      </c>
      <c r="DC18" s="225">
        <f t="shared" si="11"/>
        <v>90691.504169569263</v>
      </c>
      <c r="DD18" s="225">
        <f t="shared" si="11"/>
        <v>484393.53482159914</v>
      </c>
      <c r="DE18" s="225">
        <f t="shared" si="11"/>
        <v>-216066.72580755662</v>
      </c>
      <c r="DF18" s="225">
        <f t="shared" si="11"/>
        <v>-242405.90867809913</v>
      </c>
      <c r="DG18" s="224">
        <f t="shared" si="11"/>
        <v>546385.95256572159</v>
      </c>
      <c r="DH18" s="226">
        <f t="shared" si="11"/>
        <v>-3531025.2574078827</v>
      </c>
      <c r="DI18" s="225">
        <f t="shared" si="11"/>
        <v>-150302.81166153841</v>
      </c>
      <c r="DJ18" s="225">
        <f t="shared" si="11"/>
        <v>383543.10978180624</v>
      </c>
      <c r="DK18" s="225">
        <f t="shared" si="11"/>
        <v>-203335.70284361867</v>
      </c>
      <c r="DL18" s="225">
        <f t="shared" si="11"/>
        <v>-1548392.2381754315</v>
      </c>
      <c r="DM18" s="225">
        <f t="shared" si="11"/>
        <v>515976.22587537509</v>
      </c>
      <c r="DN18" s="225">
        <f t="shared" si="11"/>
        <v>-103108.22608873071</v>
      </c>
      <c r="DO18" s="225">
        <f t="shared" si="11"/>
        <v>69437.409001487104</v>
      </c>
      <c r="DP18" s="225">
        <f t="shared" si="11"/>
        <v>491623.71443831804</v>
      </c>
      <c r="DQ18" s="225">
        <f t="shared" si="11"/>
        <v>-250455.41580073544</v>
      </c>
      <c r="DR18" s="225">
        <f t="shared" si="11"/>
        <v>-269290.37217138172</v>
      </c>
      <c r="DS18" s="224">
        <f t="shared" si="11"/>
        <v>582154.40672568069</v>
      </c>
      <c r="DT18" s="843"/>
    </row>
    <row r="19" spans="1:124" ht="19.5" customHeight="1" thickBot="1" x14ac:dyDescent="0.3">
      <c r="A19" s="95" t="s">
        <v>108</v>
      </c>
      <c r="B19" s="91"/>
      <c r="C19" s="51"/>
      <c r="D19" s="1133">
        <v>0</v>
      </c>
      <c r="E19" s="1133">
        <v>0</v>
      </c>
      <c r="F19" s="1133">
        <v>0</v>
      </c>
      <c r="G19" s="1133">
        <v>0</v>
      </c>
      <c r="H19" s="1133">
        <v>0</v>
      </c>
      <c r="I19" s="1133">
        <v>0</v>
      </c>
      <c r="J19" s="1133">
        <v>0</v>
      </c>
      <c r="K19" s="1133">
        <v>0</v>
      </c>
      <c r="L19" s="1133">
        <v>0</v>
      </c>
      <c r="M19" s="1133">
        <v>0</v>
      </c>
      <c r="N19" s="1133">
        <v>0</v>
      </c>
      <c r="O19" s="1134">
        <f>('8.Income Tax'!$C19*0.5)*1000</f>
        <v>0</v>
      </c>
      <c r="P19" s="227">
        <v>0</v>
      </c>
      <c r="Q19" s="309">
        <v>0</v>
      </c>
      <c r="R19" s="309">
        <v>0</v>
      </c>
      <c r="S19" s="309">
        <v>0</v>
      </c>
      <c r="T19" s="309">
        <v>0</v>
      </c>
      <c r="U19" s="309">
        <f>('8.Income Tax'!$D19*0.5)*1000</f>
        <v>0</v>
      </c>
      <c r="V19" s="227">
        <v>0</v>
      </c>
      <c r="W19" s="309">
        <v>0</v>
      </c>
      <c r="X19" s="309">
        <v>0</v>
      </c>
      <c r="Y19" s="309">
        <v>0</v>
      </c>
      <c r="Z19" s="309">
        <v>0</v>
      </c>
      <c r="AA19" s="228">
        <f>('8.Income Tax'!$D19*0.5)*1000</f>
        <v>0</v>
      </c>
      <c r="AB19" s="227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f>('8.Income Tax'!$E19*0.5)*1000</f>
        <v>0</v>
      </c>
      <c r="AH19" s="229">
        <v>0</v>
      </c>
      <c r="AI19" s="229">
        <v>0</v>
      </c>
      <c r="AJ19" s="229">
        <v>0</v>
      </c>
      <c r="AK19" s="229">
        <v>0</v>
      </c>
      <c r="AL19" s="229">
        <v>0</v>
      </c>
      <c r="AM19" s="228">
        <f>('8.Income Tax'!$E19*0.5)*1000</f>
        <v>0</v>
      </c>
      <c r="AN19" s="227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f>('8.Income Tax'!$F19*0.5)*1000</f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v>0</v>
      </c>
      <c r="AY19" s="228">
        <f>('8.Income Tax'!$F19*0.5)*1000</f>
        <v>0</v>
      </c>
      <c r="AZ19" s="227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f>('8.Income Tax'!$G19*0.5)*1000</f>
        <v>0</v>
      </c>
      <c r="BF19" s="229">
        <v>0</v>
      </c>
      <c r="BG19" s="229">
        <v>0</v>
      </c>
      <c r="BH19" s="229">
        <v>0</v>
      </c>
      <c r="BI19" s="229">
        <v>0</v>
      </c>
      <c r="BJ19" s="229">
        <v>0</v>
      </c>
      <c r="BK19" s="228">
        <f>('8.Income Tax'!$G19*0.5)*1000</f>
        <v>0</v>
      </c>
      <c r="BL19" s="227">
        <v>0</v>
      </c>
      <c r="BM19" s="229">
        <v>0</v>
      </c>
      <c r="BN19" s="229">
        <v>0</v>
      </c>
      <c r="BO19" s="229">
        <v>0</v>
      </c>
      <c r="BP19" s="229">
        <v>0</v>
      </c>
      <c r="BQ19" s="229">
        <f>('8.Income Tax'!$H19*0.5)*1000</f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8">
        <f>('8.Income Tax'!$H19*0.5)*1000</f>
        <v>0</v>
      </c>
      <c r="BX19" s="227">
        <v>0</v>
      </c>
      <c r="BY19" s="229">
        <v>0</v>
      </c>
      <c r="BZ19" s="229">
        <v>0</v>
      </c>
      <c r="CA19" s="229">
        <v>0</v>
      </c>
      <c r="CB19" s="229">
        <v>0</v>
      </c>
      <c r="CC19" s="229">
        <f>('8.Income Tax'!$I19*0.5)*1000</f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8">
        <f>('8.Income Tax'!$I19*0.5)*1000</f>
        <v>0</v>
      </c>
      <c r="CJ19" s="227"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f>('8.Income Tax'!$J19*0.5)*1000</f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8">
        <f>('8.Income Tax'!$J19*0.5)*1000</f>
        <v>0</v>
      </c>
      <c r="CV19" s="227">
        <v>0</v>
      </c>
      <c r="CW19" s="229">
        <v>0</v>
      </c>
      <c r="CX19" s="229">
        <v>0</v>
      </c>
      <c r="CY19" s="229">
        <v>0</v>
      </c>
      <c r="CZ19" s="229">
        <v>0</v>
      </c>
      <c r="DA19" s="229">
        <f>('8.Income Tax'!$K19*0.5)*1000</f>
        <v>0</v>
      </c>
      <c r="DB19" s="229">
        <v>0</v>
      </c>
      <c r="DC19" s="229">
        <v>0</v>
      </c>
      <c r="DD19" s="229">
        <v>0</v>
      </c>
      <c r="DE19" s="229">
        <v>0</v>
      </c>
      <c r="DF19" s="229">
        <v>0</v>
      </c>
      <c r="DG19" s="228">
        <f>('8.Income Tax'!$K19*0.5)*1000</f>
        <v>0</v>
      </c>
      <c r="DH19" s="227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f>('8.Income Tax'!$L19*0.5)*1000</f>
        <v>0</v>
      </c>
      <c r="DN19" s="229">
        <v>0</v>
      </c>
      <c r="DO19" s="229">
        <v>0</v>
      </c>
      <c r="DP19" s="229">
        <v>0</v>
      </c>
      <c r="DQ19" s="229">
        <v>0</v>
      </c>
      <c r="DR19" s="229">
        <v>0</v>
      </c>
      <c r="DS19" s="228">
        <f>('8.Income Tax'!$L19*0.5)*1000</f>
        <v>0</v>
      </c>
      <c r="DT19" s="843"/>
    </row>
    <row r="20" spans="1:124" ht="23.25" customHeight="1" thickBot="1" x14ac:dyDescent="0.35">
      <c r="A20" s="1336" t="s">
        <v>147</v>
      </c>
      <c r="B20" s="1336"/>
      <c r="C20" s="103"/>
      <c r="D20" s="1135">
        <f t="shared" ref="D20:M20" si="12">SUM(D18:D19)</f>
        <v>-216944.4898596603</v>
      </c>
      <c r="E20" s="1135">
        <f t="shared" si="12"/>
        <v>-216944.4898596603</v>
      </c>
      <c r="F20" s="1135">
        <f t="shared" si="12"/>
        <v>-216944.4898596603</v>
      </c>
      <c r="G20" s="1135">
        <f t="shared" si="12"/>
        <v>-216944.4898596603</v>
      </c>
      <c r="H20" s="1135">
        <f t="shared" si="12"/>
        <v>-216944.4898596603</v>
      </c>
      <c r="I20" s="1135">
        <f t="shared" si="12"/>
        <v>-216944.4898596603</v>
      </c>
      <c r="J20" s="1135">
        <f t="shared" si="12"/>
        <v>-216944.4898596603</v>
      </c>
      <c r="K20" s="1135">
        <f t="shared" si="12"/>
        <v>-216944.4898596603</v>
      </c>
      <c r="L20" s="1135">
        <f t="shared" si="12"/>
        <v>-216944.4898596603</v>
      </c>
      <c r="M20" s="1135">
        <f t="shared" si="12"/>
        <v>-216944.4898596603</v>
      </c>
      <c r="N20" s="1135">
        <f t="shared" ref="N20:R20" si="13">SUM(N18:N19)</f>
        <v>-790558.4878492069</v>
      </c>
      <c r="O20" s="1136">
        <f t="shared" si="13"/>
        <v>-585067.15295204136</v>
      </c>
      <c r="P20" s="230">
        <f t="shared" si="13"/>
        <v>-673756.81028442993</v>
      </c>
      <c r="Q20" s="310">
        <f t="shared" si="13"/>
        <v>-1212894.5236861249</v>
      </c>
      <c r="R20" s="310">
        <f t="shared" si="13"/>
        <v>-1051568.7628400817</v>
      </c>
      <c r="S20" s="310">
        <f t="shared" ref="S20:CB20" si="14">SUM(S18:S19)</f>
        <v>-1067027.1682008901</v>
      </c>
      <c r="T20" s="310">
        <f t="shared" si="14"/>
        <v>-1323784.7420449748</v>
      </c>
      <c r="U20" s="310">
        <f t="shared" si="14"/>
        <v>-1157239.8413411125</v>
      </c>
      <c r="V20" s="310">
        <f t="shared" si="14"/>
        <v>-1195376.9774404883</v>
      </c>
      <c r="W20" s="310">
        <f t="shared" si="14"/>
        <v>-1462781.9319379397</v>
      </c>
      <c r="X20" s="310">
        <f t="shared" si="14"/>
        <v>-1295295.1329067431</v>
      </c>
      <c r="Y20" s="310">
        <f t="shared" si="14"/>
        <v>-1363483.3151446399</v>
      </c>
      <c r="Z20" s="310">
        <f t="shared" si="14"/>
        <v>-1448472.129472285</v>
      </c>
      <c r="AA20" s="231">
        <f t="shared" si="14"/>
        <v>-1481877.1501625043</v>
      </c>
      <c r="AB20" s="230">
        <f t="shared" si="14"/>
        <v>-1713382.3657489596</v>
      </c>
      <c r="AC20" s="232">
        <f t="shared" si="14"/>
        <v>-1777514.413010193</v>
      </c>
      <c r="AD20" s="232">
        <f t="shared" si="14"/>
        <v>-1951175.4070986183</v>
      </c>
      <c r="AE20" s="232">
        <f t="shared" si="14"/>
        <v>-2001885.1027621091</v>
      </c>
      <c r="AF20" s="232">
        <f t="shared" si="14"/>
        <v>-2127070.4887668192</v>
      </c>
      <c r="AG20" s="232">
        <f t="shared" si="14"/>
        <v>-2293513.2512972858</v>
      </c>
      <c r="AH20" s="232">
        <f t="shared" si="14"/>
        <v>-2405442.3547042864</v>
      </c>
      <c r="AI20" s="232">
        <f t="shared" si="14"/>
        <v>-2571878.0919264928</v>
      </c>
      <c r="AJ20" s="232">
        <f t="shared" si="14"/>
        <v>-2759928.9705296909</v>
      </c>
      <c r="AK20" s="232">
        <f t="shared" si="14"/>
        <v>-3421897.147546452</v>
      </c>
      <c r="AL20" s="232">
        <f t="shared" si="14"/>
        <v>-169473.04298651259</v>
      </c>
      <c r="AM20" s="231">
        <f t="shared" si="14"/>
        <v>366047.648827144</v>
      </c>
      <c r="AN20" s="233">
        <f t="shared" si="14"/>
        <v>-487738.05386616394</v>
      </c>
      <c r="AO20" s="232">
        <f t="shared" si="14"/>
        <v>-115482.43338836724</v>
      </c>
      <c r="AP20" s="232">
        <f t="shared" si="14"/>
        <v>241527.72799605364</v>
      </c>
      <c r="AQ20" s="232">
        <f t="shared" si="14"/>
        <v>-161615.2671714715</v>
      </c>
      <c r="AR20" s="232">
        <f t="shared" si="14"/>
        <v>-1060540.5890034069</v>
      </c>
      <c r="AS20" s="232">
        <f t="shared" si="14"/>
        <v>308461.6420673817</v>
      </c>
      <c r="AT20" s="232">
        <f t="shared" si="14"/>
        <v>-94004.194950464764</v>
      </c>
      <c r="AU20" s="232">
        <f t="shared" si="14"/>
        <v>-161955.94652709778</v>
      </c>
      <c r="AV20" s="232">
        <f t="shared" si="14"/>
        <v>315902.80563019594</v>
      </c>
      <c r="AW20" s="232">
        <f t="shared" si="14"/>
        <v>-200017.87312014506</v>
      </c>
      <c r="AX20" s="232">
        <f t="shared" si="14"/>
        <v>-210779.99500873307</v>
      </c>
      <c r="AY20" s="231">
        <f t="shared" si="14"/>
        <v>360399.5647687242</v>
      </c>
      <c r="AZ20" s="233">
        <f t="shared" si="14"/>
        <v>-551683.39605477871</v>
      </c>
      <c r="BA20" s="232">
        <f t="shared" si="14"/>
        <v>-157633.56474376767</v>
      </c>
      <c r="BB20" s="232">
        <f t="shared" si="14"/>
        <v>223834.82694685232</v>
      </c>
      <c r="BC20" s="232">
        <f t="shared" si="14"/>
        <v>-205254.71223519376</v>
      </c>
      <c r="BD20" s="232">
        <f t="shared" si="14"/>
        <v>-1186441.2142466002</v>
      </c>
      <c r="BE20" s="232">
        <f t="shared" si="14"/>
        <v>322838.613808011</v>
      </c>
      <c r="BF20" s="232">
        <f t="shared" si="14"/>
        <v>-133103.14044361986</v>
      </c>
      <c r="BG20" s="232">
        <f t="shared" si="14"/>
        <v>3471.4105611516279</v>
      </c>
      <c r="BH20" s="232">
        <f t="shared" si="14"/>
        <v>302933.15675139317</v>
      </c>
      <c r="BI20" s="232">
        <f t="shared" si="14"/>
        <v>-245520.39851907786</v>
      </c>
      <c r="BJ20" s="232">
        <f t="shared" si="14"/>
        <v>-258580.77309197577</v>
      </c>
      <c r="BK20" s="231">
        <f t="shared" si="14"/>
        <v>350454.01626240398</v>
      </c>
      <c r="BL20" s="233">
        <f t="shared" si="14"/>
        <v>-2730784.4229795435</v>
      </c>
      <c r="BM20" s="232">
        <f t="shared" si="14"/>
        <v>-14567.067286223551</v>
      </c>
      <c r="BN20" s="232">
        <f t="shared" si="14"/>
        <v>363296.06195055437</v>
      </c>
      <c r="BO20" s="232">
        <f t="shared" si="14"/>
        <v>-93445.958201936999</v>
      </c>
      <c r="BP20" s="232">
        <f t="shared" si="14"/>
        <v>-1138286.9281376197</v>
      </c>
      <c r="BQ20" s="232">
        <f t="shared" si="14"/>
        <v>468268.9968081197</v>
      </c>
      <c r="BR20" s="232">
        <f t="shared" si="14"/>
        <v>-16431.350542134227</v>
      </c>
      <c r="BS20" s="232">
        <f t="shared" si="14"/>
        <v>126943.58382104765</v>
      </c>
      <c r="BT20" s="232">
        <f t="shared" si="14"/>
        <v>447420.02486480412</v>
      </c>
      <c r="BU20" s="232">
        <f t="shared" si="14"/>
        <v>-135619.87334861988</v>
      </c>
      <c r="BV20" s="232">
        <f t="shared" si="14"/>
        <v>-181193.82898248165</v>
      </c>
      <c r="BW20" s="231">
        <f t="shared" si="14"/>
        <v>528044.10797192634</v>
      </c>
      <c r="BX20" s="233">
        <f t="shared" si="14"/>
        <v>-536337.24536210881</v>
      </c>
      <c r="BY20" s="232">
        <f t="shared" si="14"/>
        <v>-31699.186238187802</v>
      </c>
      <c r="BZ20" s="232">
        <f t="shared" si="14"/>
        <v>340739.17245539639</v>
      </c>
      <c r="CA20" s="232">
        <f t="shared" si="14"/>
        <v>-81995.765703386365</v>
      </c>
      <c r="CB20" s="232">
        <f t="shared" si="14"/>
        <v>-1226481.676825443</v>
      </c>
      <c r="CC20" s="232">
        <f t="shared" ref="CC20:DS20" si="15">SUM(CC18:CC19)</f>
        <v>483763.54799931729</v>
      </c>
      <c r="CD20" s="232">
        <f t="shared" si="15"/>
        <v>-63252.772491387295</v>
      </c>
      <c r="CE20" s="232">
        <f t="shared" si="15"/>
        <v>150598.75847876028</v>
      </c>
      <c r="CF20" s="232">
        <f t="shared" si="15"/>
        <v>461951.93640163401</v>
      </c>
      <c r="CG20" s="232">
        <f t="shared" si="15"/>
        <v>-157857.64760272272</v>
      </c>
      <c r="CH20" s="232">
        <f t="shared" si="15"/>
        <v>-208371.56078022203</v>
      </c>
      <c r="CI20" s="231">
        <f t="shared" si="15"/>
        <v>516196.0590700428</v>
      </c>
      <c r="CJ20" s="233">
        <f t="shared" si="15"/>
        <v>-553494.20824819978</v>
      </c>
      <c r="CK20" s="232">
        <f t="shared" si="15"/>
        <v>-86937.59440075708</v>
      </c>
      <c r="CL20" s="232">
        <f t="shared" si="15"/>
        <v>379283.31219112244</v>
      </c>
      <c r="CM20" s="232">
        <f t="shared" si="15"/>
        <v>-104616.20093470238</v>
      </c>
      <c r="CN20" s="232">
        <f t="shared" si="15"/>
        <v>-1323553.7634506263</v>
      </c>
      <c r="CO20" s="232">
        <f t="shared" si="15"/>
        <v>497235.01036434562</v>
      </c>
      <c r="CP20" s="232">
        <f t="shared" si="15"/>
        <v>-84287.11777547872</v>
      </c>
      <c r="CQ20" s="232">
        <f t="shared" si="15"/>
        <v>140733.86458476345</v>
      </c>
      <c r="CR20" s="232">
        <f t="shared" si="15"/>
        <v>474445.66335716506</v>
      </c>
      <c r="CS20" s="232">
        <f t="shared" si="15"/>
        <v>-218195.88640058445</v>
      </c>
      <c r="CT20" s="232">
        <f t="shared" si="15"/>
        <v>-206748.24617844782</v>
      </c>
      <c r="CU20" s="231">
        <f t="shared" si="15"/>
        <v>532425.59119134804</v>
      </c>
      <c r="CV20" s="233">
        <f t="shared" si="15"/>
        <v>-608870.57809002767</v>
      </c>
      <c r="CW20" s="232">
        <f t="shared" si="15"/>
        <v>-115623.82227454157</v>
      </c>
      <c r="CX20" s="232">
        <f t="shared" si="15"/>
        <v>383175.05237011076</v>
      </c>
      <c r="CY20" s="232">
        <f t="shared" si="15"/>
        <v>-132104.47526885636</v>
      </c>
      <c r="CZ20" s="232">
        <f t="shared" si="15"/>
        <v>-1430489.4636059129</v>
      </c>
      <c r="DA20" s="232">
        <f t="shared" si="15"/>
        <v>472304.26741331059</v>
      </c>
      <c r="DB20" s="232">
        <f t="shared" si="15"/>
        <v>-74170.275871540158</v>
      </c>
      <c r="DC20" s="232">
        <f t="shared" si="15"/>
        <v>90691.504169569263</v>
      </c>
      <c r="DD20" s="232">
        <f t="shared" si="15"/>
        <v>484393.53482159914</v>
      </c>
      <c r="DE20" s="232">
        <f t="shared" si="15"/>
        <v>-216066.72580755662</v>
      </c>
      <c r="DF20" s="232">
        <f t="shared" si="15"/>
        <v>-242405.90867809913</v>
      </c>
      <c r="DG20" s="231">
        <f t="shared" si="15"/>
        <v>546385.95256572159</v>
      </c>
      <c r="DH20" s="233">
        <f t="shared" si="15"/>
        <v>-3531025.2574078827</v>
      </c>
      <c r="DI20" s="232">
        <f t="shared" si="15"/>
        <v>-150302.81166153841</v>
      </c>
      <c r="DJ20" s="232">
        <f t="shared" si="15"/>
        <v>383543.10978180624</v>
      </c>
      <c r="DK20" s="232">
        <f t="shared" si="15"/>
        <v>-203335.70284361867</v>
      </c>
      <c r="DL20" s="232">
        <f t="shared" si="15"/>
        <v>-1548392.2381754315</v>
      </c>
      <c r="DM20" s="232">
        <f t="shared" si="15"/>
        <v>515976.22587537509</v>
      </c>
      <c r="DN20" s="232">
        <f t="shared" si="15"/>
        <v>-103108.22608873071</v>
      </c>
      <c r="DO20" s="232">
        <f t="shared" si="15"/>
        <v>69437.409001487104</v>
      </c>
      <c r="DP20" s="232">
        <f t="shared" si="15"/>
        <v>491623.71443831804</v>
      </c>
      <c r="DQ20" s="232">
        <f t="shared" si="15"/>
        <v>-250455.41580073544</v>
      </c>
      <c r="DR20" s="232">
        <f t="shared" si="15"/>
        <v>-269290.37217138172</v>
      </c>
      <c r="DS20" s="231">
        <f t="shared" si="15"/>
        <v>582154.40672568069</v>
      </c>
      <c r="DT20" s="843"/>
    </row>
    <row r="21" spans="1:124" ht="27.75" customHeight="1" x14ac:dyDescent="0.2">
      <c r="C21" s="3"/>
      <c r="D21" s="1334"/>
      <c r="E21" s="1334"/>
      <c r="F21" s="1334"/>
      <c r="G21" s="1334"/>
      <c r="H21" s="1334"/>
      <c r="I21" s="1334"/>
      <c r="J21" s="1334"/>
      <c r="K21" s="1334"/>
      <c r="L21" s="1334"/>
      <c r="M21" s="1334"/>
      <c r="N21" s="1334"/>
      <c r="O21" s="1335"/>
      <c r="P21" s="887"/>
      <c r="Q21" s="887"/>
      <c r="R21" s="887"/>
      <c r="S21" s="887"/>
      <c r="T21" s="887"/>
      <c r="U21" s="887"/>
      <c r="V21" s="887"/>
      <c r="W21" s="887"/>
      <c r="X21" s="887"/>
      <c r="Y21" s="887"/>
      <c r="Z21" s="887"/>
      <c r="AA21" s="842"/>
      <c r="AB21" s="887"/>
      <c r="AC21" s="887"/>
      <c r="AD21" s="887"/>
      <c r="AE21" s="887"/>
      <c r="AF21" s="887"/>
      <c r="AG21" s="887"/>
      <c r="AH21" s="887"/>
      <c r="AI21" s="887"/>
      <c r="AJ21" s="887"/>
      <c r="AK21" s="887"/>
      <c r="AL21" s="887"/>
      <c r="AM21" s="842"/>
      <c r="AN21" s="887"/>
      <c r="AO21" s="887"/>
      <c r="AP21" s="887"/>
      <c r="AQ21" s="887"/>
      <c r="AR21" s="887"/>
      <c r="AS21" s="887"/>
      <c r="AT21" s="887"/>
      <c r="AU21" s="887"/>
      <c r="AV21" s="887"/>
      <c r="AW21" s="887"/>
      <c r="AX21" s="887"/>
      <c r="AY21" s="842"/>
      <c r="AZ21" s="887"/>
      <c r="BA21" s="887"/>
      <c r="BB21" s="887"/>
      <c r="BC21" s="887"/>
      <c r="BD21" s="887"/>
      <c r="BE21" s="887"/>
      <c r="BF21" s="887"/>
      <c r="BG21" s="887"/>
      <c r="BH21" s="887"/>
      <c r="BI21" s="887"/>
      <c r="BJ21" s="887"/>
      <c r="BK21" s="842"/>
      <c r="BL21" s="887"/>
      <c r="BM21" s="887"/>
      <c r="BN21" s="887"/>
      <c r="BO21" s="887"/>
      <c r="BP21" s="887"/>
      <c r="BQ21" s="887"/>
      <c r="BR21" s="887"/>
      <c r="BS21" s="887"/>
      <c r="BT21" s="887"/>
      <c r="BU21" s="887"/>
      <c r="BV21" s="887"/>
      <c r="BW21" s="842"/>
      <c r="BX21" s="887"/>
      <c r="BY21" s="887"/>
      <c r="BZ21" s="887"/>
      <c r="CA21" s="887"/>
      <c r="CB21" s="887"/>
      <c r="CC21" s="887"/>
      <c r="CD21" s="887"/>
      <c r="CE21" s="887"/>
      <c r="CF21" s="887"/>
      <c r="CG21" s="887"/>
      <c r="CH21" s="887"/>
      <c r="CI21" s="842"/>
      <c r="CJ21" s="887"/>
      <c r="CK21" s="887"/>
      <c r="CL21" s="887"/>
      <c r="CM21" s="887"/>
      <c r="CN21" s="887"/>
      <c r="CO21" s="887"/>
      <c r="CP21" s="887"/>
      <c r="CQ21" s="887"/>
      <c r="CR21" s="887"/>
      <c r="CS21" s="887"/>
      <c r="CT21" s="887"/>
      <c r="CU21" s="842"/>
      <c r="CV21" s="887"/>
      <c r="CW21" s="887"/>
      <c r="CX21" s="887"/>
      <c r="CY21" s="887"/>
      <c r="CZ21" s="887"/>
      <c r="DA21" s="887"/>
      <c r="DB21" s="887"/>
      <c r="DC21" s="887"/>
      <c r="DD21" s="887"/>
      <c r="DE21" s="887"/>
      <c r="DF21" s="887"/>
      <c r="DG21" s="842"/>
      <c r="DH21" s="887"/>
      <c r="DI21" s="887"/>
      <c r="DJ21" s="887"/>
      <c r="DK21" s="887"/>
      <c r="DL21" s="887"/>
      <c r="DM21" s="887"/>
      <c r="DN21" s="887"/>
      <c r="DO21" s="887"/>
      <c r="DP21" s="887"/>
      <c r="DQ21" s="887"/>
      <c r="DR21" s="887"/>
      <c r="DS21" s="842"/>
      <c r="DT21" s="843"/>
    </row>
    <row r="22" spans="1:124" s="6" customFormat="1" ht="15" customHeight="1" x14ac:dyDescent="0.3">
      <c r="A22" s="1337" t="s">
        <v>148</v>
      </c>
      <c r="B22" s="1337"/>
      <c r="C22" s="235"/>
      <c r="D22" s="1334"/>
      <c r="E22" s="1334"/>
      <c r="F22" s="1334"/>
      <c r="G22" s="1334"/>
      <c r="H22" s="1334"/>
      <c r="I22" s="1334"/>
      <c r="J22" s="1334"/>
      <c r="K22" s="1334"/>
      <c r="L22" s="1334"/>
      <c r="M22" s="1334"/>
      <c r="N22" s="1334"/>
      <c r="O22" s="1335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906"/>
      <c r="AB22" s="56"/>
      <c r="AC22" s="56"/>
      <c r="AD22" s="56"/>
      <c r="AE22" s="89"/>
      <c r="AF22" s="31"/>
      <c r="AG22" s="31"/>
      <c r="AH22" s="31"/>
      <c r="AI22" s="31"/>
      <c r="AJ22" s="31"/>
      <c r="AK22" s="31"/>
      <c r="AL22" s="31"/>
      <c r="AM22" s="912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912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912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912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912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912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912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912"/>
      <c r="DT22" s="916"/>
    </row>
    <row r="23" spans="1:124" s="6" customFormat="1" ht="15" customHeight="1" x14ac:dyDescent="0.3">
      <c r="A23" s="1337"/>
      <c r="B23" s="1337"/>
      <c r="C23" s="235"/>
      <c r="D23" s="1334"/>
      <c r="E23" s="1334"/>
      <c r="F23" s="1334"/>
      <c r="G23" s="1334"/>
      <c r="H23" s="1334"/>
      <c r="I23" s="1334"/>
      <c r="J23" s="1334"/>
      <c r="K23" s="1334"/>
      <c r="L23" s="1334"/>
      <c r="M23" s="1334"/>
      <c r="N23" s="1334"/>
      <c r="O23" s="1335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906"/>
      <c r="AB23" s="56"/>
      <c r="AC23" s="56"/>
      <c r="AD23" s="56"/>
      <c r="AE23" s="89"/>
      <c r="AF23" s="31"/>
      <c r="AG23" s="31"/>
      <c r="AH23" s="31"/>
      <c r="AI23" s="31"/>
      <c r="AJ23" s="31"/>
      <c r="AK23" s="31"/>
      <c r="AL23" s="31"/>
      <c r="AM23" s="912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912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912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912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912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912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912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912"/>
      <c r="DT23" s="916"/>
    </row>
    <row r="24" spans="1:124" s="55" customFormat="1" ht="26.25" customHeight="1" x14ac:dyDescent="0.3">
      <c r="A24" s="142" t="s">
        <v>111</v>
      </c>
      <c r="B24" s="150"/>
      <c r="D24" s="1334"/>
      <c r="E24" s="1334"/>
      <c r="F24" s="1334"/>
      <c r="G24" s="1334"/>
      <c r="H24" s="1334"/>
      <c r="I24" s="1334"/>
      <c r="J24" s="1334"/>
      <c r="K24" s="1334"/>
      <c r="L24" s="1334"/>
      <c r="M24" s="1334"/>
      <c r="N24" s="1334"/>
      <c r="O24" s="1335"/>
      <c r="P24" s="119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907"/>
      <c r="AB24" s="119"/>
      <c r="AC24" s="120"/>
      <c r="AD24" s="120"/>
      <c r="AE24" s="913"/>
      <c r="AF24" s="914"/>
      <c r="AG24" s="193"/>
      <c r="AH24" s="193"/>
      <c r="AI24" s="193"/>
      <c r="AJ24" s="193"/>
      <c r="AK24" s="193"/>
      <c r="AL24" s="193"/>
      <c r="AM24" s="915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915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915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915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915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915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915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915"/>
      <c r="DT24" s="917"/>
    </row>
    <row r="25" spans="1:124" s="6" customFormat="1" ht="18.75" customHeight="1" x14ac:dyDescent="0.25">
      <c r="A25" s="140" t="s">
        <v>156</v>
      </c>
      <c r="B25" s="144"/>
      <c r="D25" s="404">
        <f>SUM('1.Revenue'!E29:E31)</f>
        <v>0</v>
      </c>
      <c r="E25" s="404">
        <f>SUM('1.Revenue'!F29:F31)</f>
        <v>0</v>
      </c>
      <c r="F25" s="404">
        <f>SUM('1.Revenue'!G29:G31)</f>
        <v>0</v>
      </c>
      <c r="G25" s="404">
        <f>SUM('1.Revenue'!H29:H31)</f>
        <v>0</v>
      </c>
      <c r="H25" s="404">
        <f>SUM('1.Revenue'!I29:I31)</f>
        <v>0</v>
      </c>
      <c r="I25" s="404">
        <f>SUM('1.Revenue'!J29:J31)</f>
        <v>0</v>
      </c>
      <c r="J25" s="404">
        <f>SUM('1.Revenue'!K29:K31)</f>
        <v>0</v>
      </c>
      <c r="K25" s="404">
        <f>SUM('1.Revenue'!L29:L31)</f>
        <v>0</v>
      </c>
      <c r="L25" s="404">
        <f>SUM('1.Revenue'!M29:M31)</f>
        <v>0</v>
      </c>
      <c r="M25" s="404">
        <f>SUM('1.Revenue'!N29:N31)</f>
        <v>0</v>
      </c>
      <c r="N25" s="404">
        <f>SUM('1.Revenue'!O29:O31)</f>
        <v>0</v>
      </c>
      <c r="O25" s="497">
        <f>SUM('1.Revenue'!P29:P31)</f>
        <v>0</v>
      </c>
      <c r="P25" s="217">
        <f>SUM('1.Revenue'!Q29:Q31)</f>
        <v>0</v>
      </c>
      <c r="Q25" s="217">
        <f>SUM('1.Revenue'!R29:R31)</f>
        <v>0</v>
      </c>
      <c r="R25" s="217">
        <f>SUM('1.Revenue'!S29:S31)</f>
        <v>0</v>
      </c>
      <c r="S25" s="217">
        <f>SUM('1.Revenue'!T29:T31)</f>
        <v>0</v>
      </c>
      <c r="T25" s="217">
        <f>SUM('1.Revenue'!U29:U31)</f>
        <v>0</v>
      </c>
      <c r="U25" s="217">
        <f>SUM('1.Revenue'!V29:V31)</f>
        <v>0</v>
      </c>
      <c r="V25" s="217">
        <f>SUM('1.Revenue'!W29:W31)</f>
        <v>0</v>
      </c>
      <c r="W25" s="217">
        <f>SUM('1.Revenue'!X29:X31)</f>
        <v>0</v>
      </c>
      <c r="X25" s="217">
        <f>SUM('1.Revenue'!Y29:Y31)</f>
        <v>0</v>
      </c>
      <c r="Y25" s="217">
        <f>SUM('1.Revenue'!Z29:Z31)</f>
        <v>0</v>
      </c>
      <c r="Z25" s="217">
        <f>SUM('1.Revenue'!AA29:AA31)</f>
        <v>0</v>
      </c>
      <c r="AA25" s="908">
        <f>SUM('1.Revenue'!AB29:AB31)</f>
        <v>0</v>
      </c>
      <c r="AB25" s="217">
        <f>SUM('1.Revenue'!AC29:AC31)</f>
        <v>0</v>
      </c>
      <c r="AC25" s="217">
        <f>SUM('1.Revenue'!AD29:AD31)</f>
        <v>0</v>
      </c>
      <c r="AD25" s="217">
        <f>SUM('1.Revenue'!AE29:AE31)</f>
        <v>0</v>
      </c>
      <c r="AE25" s="217">
        <f>SUM('1.Revenue'!AF29:AF31)</f>
        <v>0</v>
      </c>
      <c r="AF25" s="217">
        <f>SUM('1.Revenue'!AG29:AG31)</f>
        <v>0</v>
      </c>
      <c r="AG25" s="217">
        <f>SUM('1.Revenue'!AH29:AH31)</f>
        <v>0</v>
      </c>
      <c r="AH25" s="217">
        <f>SUM('1.Revenue'!AI29:AI31)</f>
        <v>0</v>
      </c>
      <c r="AI25" s="217">
        <f>SUM('1.Revenue'!AJ29:AJ31)</f>
        <v>0</v>
      </c>
      <c r="AJ25" s="217">
        <f>SUM('1.Revenue'!AK29:AK31)</f>
        <v>0</v>
      </c>
      <c r="AK25" s="217">
        <f>SUM('1.Revenue'!AL29:AL31)</f>
        <v>0</v>
      </c>
      <c r="AL25" s="217">
        <f>SUM('1.Revenue'!AM29:AM31)</f>
        <v>3267700.3772194642</v>
      </c>
      <c r="AM25" s="908">
        <f>SUM('1.Revenue'!AN29:AN31)</f>
        <v>3646429.7786309803</v>
      </c>
      <c r="AN25" s="217">
        <f>SUM('1.Revenue'!AO29:AO31)</f>
        <v>3208589.6299624974</v>
      </c>
      <c r="AO25" s="217">
        <f>SUM('1.Revenue'!AP29:AP31)</f>
        <v>3554456.6224380853</v>
      </c>
      <c r="AP25" s="217">
        <f>SUM('1.Revenue'!AQ29:AQ31)</f>
        <v>3966421.3295893148</v>
      </c>
      <c r="AQ25" s="217">
        <f>SUM('1.Revenue'!AR29:AR31)</f>
        <v>3477223.3551709107</v>
      </c>
      <c r="AR25" s="217">
        <f>SUM('1.Revenue'!AS29:AS31)</f>
        <v>3613363.6858760333</v>
      </c>
      <c r="AS25" s="217">
        <f>SUM('1.Revenue'!AT29:AT31)</f>
        <v>4017917.2800960834</v>
      </c>
      <c r="AT25" s="217">
        <f>SUM('1.Revenue'!AU29:AU31)</f>
        <v>3535471.2695999169</v>
      </c>
      <c r="AU25" s="217">
        <f>SUM('1.Revenue'!AV29:AV31)</f>
        <v>3542760.1789279147</v>
      </c>
      <c r="AV25" s="217">
        <f>SUM('1.Revenue'!AW29:AW31)</f>
        <v>3939408.9772338294</v>
      </c>
      <c r="AW25" s="217">
        <f>SUM('1.Revenue'!AX29:AX31)</f>
        <v>3466389.7455552244</v>
      </c>
      <c r="AX25" s="217">
        <f>SUM('1.Revenue'!AY29:AY31)</f>
        <v>3473565.5009842901</v>
      </c>
      <c r="AY25" s="908">
        <f>SUM('1.Revenue'!AZ29:AZ31)</f>
        <v>3876154.8546847315</v>
      </c>
      <c r="AZ25" s="217">
        <f>SUM('1.Revenue'!BA29:BA31)</f>
        <v>3410730.7766501345</v>
      </c>
      <c r="BA25" s="217">
        <f>SUM('1.Revenue'!BB29:BB31)</f>
        <v>3778387.3896516841</v>
      </c>
      <c r="BB25" s="217">
        <f>SUM('1.Revenue'!BC29:BC31)</f>
        <v>4216305.8733534412</v>
      </c>
      <c r="BC25" s="217">
        <f>SUM('1.Revenue'!BD29:BD31)</f>
        <v>3696288.4265466775</v>
      </c>
      <c r="BD25" s="217">
        <f>SUM('1.Revenue'!BE29:BE31)</f>
        <v>3841005.5980862225</v>
      </c>
      <c r="BE25" s="217">
        <f>SUM('1.Revenue'!BF29:BF31)</f>
        <v>4271046.0687421355</v>
      </c>
      <c r="BF25" s="217">
        <f>SUM('1.Revenue'!BG29:BG31)</f>
        <v>3758205.9595847111</v>
      </c>
      <c r="BG25" s="217">
        <f>SUM('1.Revenue'!BH29:BH31)</f>
        <v>3765954.0702003725</v>
      </c>
      <c r="BH25" s="217">
        <f>SUM('1.Revenue'!BI29:BI31)</f>
        <v>4187591.7427995601</v>
      </c>
      <c r="BI25" s="217">
        <f>SUM('1.Revenue'!BJ29:BJ31)</f>
        <v>3684772.2995252027</v>
      </c>
      <c r="BJ25" s="217">
        <f>SUM('1.Revenue'!BK29:BK31)</f>
        <v>3692400.1275462997</v>
      </c>
      <c r="BK25" s="908">
        <f>SUM('1.Revenue'!BL29:BL31)</f>
        <v>4120352.6105298689</v>
      </c>
      <c r="BL25" s="217">
        <f>SUM('1.Revenue'!BM29:BM31)</f>
        <v>3625606.8155790921</v>
      </c>
      <c r="BM25" s="217">
        <f>SUM('1.Revenue'!BN29:BN31)</f>
        <v>4016425.7951997407</v>
      </c>
      <c r="BN25" s="217">
        <f>SUM('1.Revenue'!BO29:BO31)</f>
        <v>4481933.1433747075</v>
      </c>
      <c r="BO25" s="217">
        <f>SUM('1.Revenue'!BP29:BP31)</f>
        <v>3929154.5974191185</v>
      </c>
      <c r="BP25" s="217">
        <f>SUM('1.Revenue'!BQ29:BQ31)</f>
        <v>4082988.9507656549</v>
      </c>
      <c r="BQ25" s="217">
        <f>SUM('1.Revenue'!BR29:BR31)</f>
        <v>4540121.9710728908</v>
      </c>
      <c r="BR25" s="217">
        <f>SUM('1.Revenue'!BS29:BS31)</f>
        <v>3994972.9350385484</v>
      </c>
      <c r="BS25" s="217">
        <f>SUM('1.Revenue'!BT29:BT31)</f>
        <v>4003209.1766229961</v>
      </c>
      <c r="BT25" s="217">
        <f>SUM('1.Revenue'!BU29:BU31)</f>
        <v>4451410.0225959327</v>
      </c>
      <c r="BU25" s="217">
        <f>SUM('1.Revenue'!BV29:BV31)</f>
        <v>3916912.9543952909</v>
      </c>
      <c r="BV25" s="217">
        <f>SUM('1.Revenue'!BW29:BW31)</f>
        <v>3925021.3355817166</v>
      </c>
      <c r="BW25" s="908">
        <f>SUM('1.Revenue'!BX29:BX31)</f>
        <v>4379934.8249932509</v>
      </c>
      <c r="BX25" s="217">
        <f>SUM('1.Revenue'!BY29:BY31)</f>
        <v>3854020.0449605752</v>
      </c>
      <c r="BY25" s="217">
        <f>SUM('1.Revenue'!BZ29:BZ31)</f>
        <v>4269460.6202973239</v>
      </c>
      <c r="BZ25" s="217">
        <f>SUM('1.Revenue'!CA29:CA31)</f>
        <v>4764294.9314073147</v>
      </c>
      <c r="CA25" s="217">
        <f>SUM('1.Revenue'!CB29:CB31)</f>
        <v>4176691.3370565232</v>
      </c>
      <c r="CB25" s="217">
        <f>SUM('1.Revenue'!CC29:CC31)</f>
        <v>4340217.2546638912</v>
      </c>
      <c r="CC25" s="217">
        <f>SUM('1.Revenue'!CD29:CD31)</f>
        <v>4826149.6552504832</v>
      </c>
      <c r="CD25" s="217">
        <f>SUM('1.Revenue'!CE29:CE31)</f>
        <v>4246656.2299459772</v>
      </c>
      <c r="CE25" s="217">
        <f>SUM('1.Revenue'!CF29:CF31)</f>
        <v>4255411.3547502449</v>
      </c>
      <c r="CF25" s="217">
        <f>SUM('1.Revenue'!CG29:CG31)</f>
        <v>4731848.854019477</v>
      </c>
      <c r="CG25" s="217">
        <f>SUM('1.Revenue'!CH29:CH31)</f>
        <v>4163678.4705221942</v>
      </c>
      <c r="CH25" s="217">
        <f>SUM('1.Revenue'!CI29:CI31)</f>
        <v>4172297.6797233648</v>
      </c>
      <c r="CI25" s="908">
        <f>SUM('1.Revenue'!CJ29:CJ31)</f>
        <v>4655870.7189678261</v>
      </c>
      <c r="CJ25" s="217">
        <f>SUM('1.Revenue'!CK29:CK31)</f>
        <v>4096823.3077930915</v>
      </c>
      <c r="CK25" s="217">
        <f>SUM('1.Revenue'!CL29:CL31)</f>
        <v>4538436.6393760554</v>
      </c>
      <c r="CL25" s="217">
        <f>SUM('1.Revenue'!CM29:CM31)</f>
        <v>5064445.5120859742</v>
      </c>
      <c r="CM25" s="217">
        <f>SUM('1.Revenue'!CN29:CN31)</f>
        <v>4439822.8912910838</v>
      </c>
      <c r="CN25" s="217">
        <f>SUM('1.Revenue'!CO29:CO31)</f>
        <v>4613650.9417077154</v>
      </c>
      <c r="CO25" s="217">
        <f>SUM('1.Revenue'!CP29:CP31)</f>
        <v>5130197.0835312624</v>
      </c>
      <c r="CP25" s="217">
        <f>SUM('1.Revenue'!CQ29:CQ31)</f>
        <v>4514195.572432573</v>
      </c>
      <c r="CQ25" s="217">
        <f>SUM('1.Revenue'!CR29:CR31)</f>
        <v>4523502.2700995095</v>
      </c>
      <c r="CR25" s="217">
        <f>SUM('1.Revenue'!CS29:CS31)</f>
        <v>5029955.3318227027</v>
      </c>
      <c r="CS25" s="217">
        <f>SUM('1.Revenue'!CT29:CT31)</f>
        <v>4425990.2141650915</v>
      </c>
      <c r="CT25" s="217">
        <f>SUM('1.Revenue'!CU29:CU31)</f>
        <v>4435152.4335459359</v>
      </c>
      <c r="CU25" s="908">
        <f>SUM('1.Revenue'!CV29:CV31)</f>
        <v>4949190.5742627978</v>
      </c>
      <c r="CV25" s="217">
        <f>SUM('1.Revenue'!CW29:CW31)</f>
        <v>4354923.1761840554</v>
      </c>
      <c r="CW25" s="217">
        <f>SUM('1.Revenue'!CX29:CX31)</f>
        <v>4824358.1476567471</v>
      </c>
      <c r="CX25" s="217">
        <f>SUM('1.Revenue'!CY29:CY31)</f>
        <v>5383505.5793473916</v>
      </c>
      <c r="CY25" s="217">
        <f>SUM('1.Revenue'!CZ29:CZ31)</f>
        <v>4719531.733442422</v>
      </c>
      <c r="CZ25" s="217">
        <f>SUM('1.Revenue'!DA29:DA31)</f>
        <v>4904310.9510353021</v>
      </c>
      <c r="DA25" s="217">
        <f>SUM('1.Revenue'!DB29:DB31)</f>
        <v>5453399.4997937325</v>
      </c>
      <c r="DB25" s="217">
        <f>SUM('1.Revenue'!DC29:DC31)</f>
        <v>4798589.8934958251</v>
      </c>
      <c r="DC25" s="217">
        <f>SUM('1.Revenue'!DD29:DD31)</f>
        <v>4808482.9131157789</v>
      </c>
      <c r="DD25" s="217">
        <f>SUM('1.Revenue'!DE29:DE31)</f>
        <v>5346842.5177275334</v>
      </c>
      <c r="DE25" s="217">
        <f>SUM('1.Revenue'!DF29:DF31)</f>
        <v>4704827.5976574933</v>
      </c>
      <c r="DF25" s="217">
        <f>SUM('1.Revenue'!DG29:DG31)</f>
        <v>4714567.0368593307</v>
      </c>
      <c r="DG25" s="908">
        <f>SUM('1.Revenue'!DH29:DH31)</f>
        <v>5260989.5804413548</v>
      </c>
      <c r="DH25" s="217">
        <f>SUM('1.Revenue'!DI29:DI31)</f>
        <v>4629283.3362836512</v>
      </c>
      <c r="DI25" s="217">
        <f>SUM('1.Revenue'!DJ29:DJ31)</f>
        <v>5128292.7109591207</v>
      </c>
      <c r="DJ25" s="217">
        <f>SUM('1.Revenue'!DK29:DK31)</f>
        <v>5722666.4308462758</v>
      </c>
      <c r="DK25" s="217">
        <f>SUM('1.Revenue'!DL29:DL31)</f>
        <v>5016862.2326492937</v>
      </c>
      <c r="DL25" s="217">
        <f>SUM('1.Revenue'!DM29:DM31)</f>
        <v>5213282.5409505256</v>
      </c>
      <c r="DM25" s="217">
        <f>SUM('1.Revenue'!DN29:DN31)</f>
        <v>5796963.6682807365</v>
      </c>
      <c r="DN25" s="217">
        <f>SUM('1.Revenue'!DO29:DO31)</f>
        <v>5100901.0567860613</v>
      </c>
      <c r="DO25" s="217">
        <f>SUM('1.Revenue'!DP29:DP31)</f>
        <v>5111417.3366420725</v>
      </c>
      <c r="DP25" s="217">
        <f>SUM('1.Revenue'!DQ29:DQ31)</f>
        <v>5683693.5963443676</v>
      </c>
      <c r="DQ25" s="217">
        <f>SUM('1.Revenue'!DR29:DR31)</f>
        <v>5001231.7363099139</v>
      </c>
      <c r="DR25" s="217">
        <f>SUM('1.Revenue'!DS29:DS31)</f>
        <v>5011584.760181468</v>
      </c>
      <c r="DS25" s="908">
        <f>SUM('1.Revenue'!DT29:DT31)</f>
        <v>5592431.9240091592</v>
      </c>
      <c r="DT25" s="916"/>
    </row>
    <row r="26" spans="1:124" s="6" customFormat="1" ht="18.75" customHeight="1" x14ac:dyDescent="0.25">
      <c r="A26" s="140" t="s">
        <v>112</v>
      </c>
      <c r="B26" s="144"/>
      <c r="D26" s="404">
        <f t="shared" ref="D26:M26" si="16">SUM(D10:D12)</f>
        <v>0</v>
      </c>
      <c r="E26" s="404">
        <f t="shared" si="16"/>
        <v>0</v>
      </c>
      <c r="F26" s="404">
        <f t="shared" si="16"/>
        <v>0</v>
      </c>
      <c r="G26" s="404">
        <f t="shared" si="16"/>
        <v>0</v>
      </c>
      <c r="H26" s="404">
        <f t="shared" si="16"/>
        <v>0</v>
      </c>
      <c r="I26" s="404">
        <f t="shared" si="16"/>
        <v>0</v>
      </c>
      <c r="J26" s="404">
        <f t="shared" si="16"/>
        <v>0</v>
      </c>
      <c r="K26" s="404">
        <f t="shared" si="16"/>
        <v>0</v>
      </c>
      <c r="L26" s="404">
        <f t="shared" si="16"/>
        <v>0</v>
      </c>
      <c r="M26" s="404">
        <f t="shared" si="16"/>
        <v>0</v>
      </c>
      <c r="N26" s="404">
        <f t="shared" ref="N26:R26" si="17">SUM(N10:N12)</f>
        <v>-573613.99798954662</v>
      </c>
      <c r="O26" s="497">
        <f t="shared" si="17"/>
        <v>-368122.66309238103</v>
      </c>
      <c r="P26" s="217">
        <f t="shared" si="17"/>
        <v>-395638.07042476954</v>
      </c>
      <c r="Q26" s="217">
        <f t="shared" si="17"/>
        <v>-934775.78382646455</v>
      </c>
      <c r="R26" s="217">
        <f t="shared" si="17"/>
        <v>-773450.02298042132</v>
      </c>
      <c r="S26" s="217">
        <f t="shared" ref="S26:CB26" si="18">SUM(S10:S12)</f>
        <v>-788908.42834122968</v>
      </c>
      <c r="T26" s="217">
        <f t="shared" si="18"/>
        <v>-1045666.0021853144</v>
      </c>
      <c r="U26" s="217">
        <f t="shared" si="18"/>
        <v>-879121.10148145224</v>
      </c>
      <c r="V26" s="217">
        <f t="shared" si="18"/>
        <v>-917258.23758082802</v>
      </c>
      <c r="W26" s="217">
        <f t="shared" si="18"/>
        <v>-1184663.1920782793</v>
      </c>
      <c r="X26" s="217">
        <f t="shared" si="18"/>
        <v>-1017176.3930470827</v>
      </c>
      <c r="Y26" s="217">
        <f t="shared" si="18"/>
        <v>-1085364.5752849795</v>
      </c>
      <c r="Z26" s="217">
        <f t="shared" si="18"/>
        <v>-1170353.3896126247</v>
      </c>
      <c r="AA26" s="218">
        <f t="shared" si="18"/>
        <v>-1203758.4103028439</v>
      </c>
      <c r="AB26" s="217">
        <f t="shared" si="18"/>
        <v>-1435263.6258892992</v>
      </c>
      <c r="AC26" s="217">
        <f t="shared" si="18"/>
        <v>-1499395.6731505326</v>
      </c>
      <c r="AD26" s="217">
        <f t="shared" si="18"/>
        <v>-1673056.6672389579</v>
      </c>
      <c r="AE26" s="217">
        <f t="shared" si="18"/>
        <v>-1723766.3629024487</v>
      </c>
      <c r="AF26" s="217">
        <f t="shared" si="18"/>
        <v>-1848951.7489071591</v>
      </c>
      <c r="AG26" s="217">
        <f t="shared" si="18"/>
        <v>-2015394.5114376254</v>
      </c>
      <c r="AH26" s="217">
        <f t="shared" si="18"/>
        <v>-2127323.6148446263</v>
      </c>
      <c r="AI26" s="217">
        <f t="shared" si="18"/>
        <v>-2293759.3520668326</v>
      </c>
      <c r="AJ26" s="217">
        <f t="shared" si="18"/>
        <v>-2481810.2306700307</v>
      </c>
      <c r="AK26" s="217">
        <f t="shared" si="18"/>
        <v>-3143778.4076867918</v>
      </c>
      <c r="AL26" s="217">
        <f t="shared" si="18"/>
        <v>-3159054.6803463167</v>
      </c>
      <c r="AM26" s="218">
        <f t="shared" si="18"/>
        <v>-3002263.3899441762</v>
      </c>
      <c r="AN26" s="217">
        <f t="shared" si="18"/>
        <v>-3418208.9439690011</v>
      </c>
      <c r="AO26" s="217">
        <f t="shared" si="18"/>
        <v>-3391820.3159667924</v>
      </c>
      <c r="AP26" s="217">
        <f t="shared" si="18"/>
        <v>-3446774.861733601</v>
      </c>
      <c r="AQ26" s="217">
        <f t="shared" si="18"/>
        <v>-3360719.8824827215</v>
      </c>
      <c r="AR26" s="217">
        <f t="shared" si="18"/>
        <v>-4395785.5350197796</v>
      </c>
      <c r="AS26" s="217">
        <f t="shared" si="18"/>
        <v>-3431336.8981690416</v>
      </c>
      <c r="AT26" s="217">
        <f t="shared" si="18"/>
        <v>-3351356.7246907214</v>
      </c>
      <c r="AU26" s="217">
        <f t="shared" si="18"/>
        <v>-3426597.3855953524</v>
      </c>
      <c r="AV26" s="217">
        <f t="shared" si="18"/>
        <v>-3345387.4317439729</v>
      </c>
      <c r="AW26" s="217">
        <f t="shared" si="18"/>
        <v>-3388288.8788157091</v>
      </c>
      <c r="AX26" s="217">
        <f t="shared" si="18"/>
        <v>-3406226.7561333627</v>
      </c>
      <c r="AY26" s="218">
        <f t="shared" si="18"/>
        <v>-3237636.5500563467</v>
      </c>
      <c r="AZ26" s="217">
        <f t="shared" si="18"/>
        <v>-3684295.432845253</v>
      </c>
      <c r="BA26" s="217">
        <f t="shared" si="18"/>
        <v>-3657902.2145357914</v>
      </c>
      <c r="BB26" s="217">
        <f t="shared" si="18"/>
        <v>-3714352.3065469284</v>
      </c>
      <c r="BC26" s="217">
        <f t="shared" si="18"/>
        <v>-3623424.398922211</v>
      </c>
      <c r="BD26" s="217">
        <f t="shared" si="18"/>
        <v>-4749328.0724731619</v>
      </c>
      <c r="BE26" s="217">
        <f t="shared" si="18"/>
        <v>-3670088.7150744642</v>
      </c>
      <c r="BF26" s="217">
        <f t="shared" si="18"/>
        <v>-3613190.3601686708</v>
      </c>
      <c r="BG26" s="217">
        <f t="shared" si="18"/>
        <v>-3484363.9197795605</v>
      </c>
      <c r="BH26" s="217">
        <f t="shared" si="18"/>
        <v>-3606539.846188507</v>
      </c>
      <c r="BI26" s="217">
        <f t="shared" si="18"/>
        <v>-3652173.9581846208</v>
      </c>
      <c r="BJ26" s="217">
        <f t="shared" si="18"/>
        <v>-3672862.1607786152</v>
      </c>
      <c r="BK26" s="218">
        <f t="shared" si="18"/>
        <v>-3491779.8544078046</v>
      </c>
      <c r="BL26" s="217">
        <f t="shared" si="18"/>
        <v>-6206626.1552253012</v>
      </c>
      <c r="BM26" s="217">
        <f t="shared" si="18"/>
        <v>-3881227.7791526308</v>
      </c>
      <c r="BN26" s="217">
        <f t="shared" si="18"/>
        <v>-3968871.9980908199</v>
      </c>
      <c r="BO26" s="217">
        <f t="shared" si="18"/>
        <v>-3872835.4722877219</v>
      </c>
      <c r="BP26" s="217">
        <f t="shared" si="18"/>
        <v>-5071510.7955699414</v>
      </c>
      <c r="BQ26" s="217">
        <f t="shared" si="18"/>
        <v>-3922087.8909314377</v>
      </c>
      <c r="BR26" s="217">
        <f t="shared" si="18"/>
        <v>-3861639.2022473495</v>
      </c>
      <c r="BS26" s="217">
        <f t="shared" si="18"/>
        <v>-3726500.5094686151</v>
      </c>
      <c r="BT26" s="217">
        <f t="shared" si="18"/>
        <v>-3854224.9143977952</v>
      </c>
      <c r="BU26" s="217">
        <f t="shared" si="18"/>
        <v>-3902767.7444105772</v>
      </c>
      <c r="BV26" s="217">
        <f t="shared" si="18"/>
        <v>-3956450.0812308649</v>
      </c>
      <c r="BW26" s="218">
        <f t="shared" si="18"/>
        <v>-3702125.6336879912</v>
      </c>
      <c r="BX26" s="217">
        <f t="shared" si="18"/>
        <v>-4240592.2069893507</v>
      </c>
      <c r="BY26" s="217">
        <f t="shared" si="18"/>
        <v>-4151394.7232021783</v>
      </c>
      <c r="BZ26" s="217">
        <f t="shared" si="18"/>
        <v>-4273790.6756185852</v>
      </c>
      <c r="CA26" s="217">
        <f t="shared" si="18"/>
        <v>-4108922.0194265763</v>
      </c>
      <c r="CB26" s="217">
        <f t="shared" si="18"/>
        <v>-5416933.8481560014</v>
      </c>
      <c r="CC26" s="217">
        <f t="shared" ref="CC26:DS26" si="19">SUM(CC10:CC12)</f>
        <v>-4192621.0239178329</v>
      </c>
      <c r="CD26" s="217">
        <f t="shared" si="19"/>
        <v>-4160143.9191040313</v>
      </c>
      <c r="CE26" s="217">
        <f t="shared" si="19"/>
        <v>-3955047.5129381511</v>
      </c>
      <c r="CF26" s="217">
        <f t="shared" si="19"/>
        <v>-4120131.8342845095</v>
      </c>
      <c r="CG26" s="217">
        <f t="shared" si="19"/>
        <v>-4171771.0347915832</v>
      </c>
      <c r="CH26" s="217">
        <f t="shared" si="19"/>
        <v>-4230904.1571702538</v>
      </c>
      <c r="CI26" s="218">
        <f t="shared" si="19"/>
        <v>-3989909.5765644498</v>
      </c>
      <c r="CJ26" s="217">
        <f t="shared" si="19"/>
        <v>-4500552.4327079579</v>
      </c>
      <c r="CK26" s="217">
        <f t="shared" si="19"/>
        <v>-4475609.1504434794</v>
      </c>
      <c r="CL26" s="217">
        <f t="shared" si="19"/>
        <v>-4535397.1165615181</v>
      </c>
      <c r="CM26" s="217">
        <f t="shared" si="19"/>
        <v>-4394674.0088924523</v>
      </c>
      <c r="CN26" s="217">
        <f t="shared" si="19"/>
        <v>-5787439.6218250087</v>
      </c>
      <c r="CO26" s="217">
        <f t="shared" si="19"/>
        <v>-4483196.9898335831</v>
      </c>
      <c r="CP26" s="217">
        <f t="shared" si="19"/>
        <v>-4448717.6068747183</v>
      </c>
      <c r="CQ26" s="217">
        <f t="shared" si="19"/>
        <v>-4233003.322181413</v>
      </c>
      <c r="CR26" s="217">
        <f t="shared" si="19"/>
        <v>-4405744.585132204</v>
      </c>
      <c r="CS26" s="217">
        <f t="shared" si="19"/>
        <v>-4494421.0172323426</v>
      </c>
      <c r="CT26" s="217">
        <f t="shared" si="19"/>
        <v>-4492135.5963910501</v>
      </c>
      <c r="CU26" s="218">
        <f t="shared" si="19"/>
        <v>-4266999.8997381162</v>
      </c>
      <c r="CV26" s="217">
        <f t="shared" si="19"/>
        <v>-4814028.6709407493</v>
      </c>
      <c r="CW26" s="217">
        <f t="shared" si="19"/>
        <v>-4790216.8865979547</v>
      </c>
      <c r="CX26" s="217">
        <f t="shared" si="19"/>
        <v>-4850565.4436439471</v>
      </c>
      <c r="CY26" s="217">
        <f t="shared" si="19"/>
        <v>-4701871.1253779447</v>
      </c>
      <c r="CZ26" s="217">
        <f t="shared" si="19"/>
        <v>-6185035.3313078815</v>
      </c>
      <c r="DA26" s="217">
        <f t="shared" si="19"/>
        <v>-4831330.1490470888</v>
      </c>
      <c r="DB26" s="217">
        <f t="shared" si="19"/>
        <v>-4722995.0860340316</v>
      </c>
      <c r="DC26" s="217">
        <f t="shared" si="19"/>
        <v>-4568026.3256128766</v>
      </c>
      <c r="DD26" s="217">
        <f t="shared" si="19"/>
        <v>-4712683.8995726015</v>
      </c>
      <c r="DE26" s="217">
        <f t="shared" si="19"/>
        <v>-4771129.2401317162</v>
      </c>
      <c r="DF26" s="217">
        <f t="shared" si="19"/>
        <v>-4807207.8622040963</v>
      </c>
      <c r="DG26" s="218">
        <f t="shared" si="19"/>
        <v>-4564838.5445422996</v>
      </c>
      <c r="DH26" s="217">
        <f t="shared" si="19"/>
        <v>-8010543.5103582004</v>
      </c>
      <c r="DI26" s="217">
        <f t="shared" si="19"/>
        <v>-5128830.4392873263</v>
      </c>
      <c r="DJ26" s="217">
        <f t="shared" si="19"/>
        <v>-5189358.2377311364</v>
      </c>
      <c r="DK26" s="217">
        <f t="shared" si="19"/>
        <v>-5070432.8521595784</v>
      </c>
      <c r="DL26" s="217">
        <f t="shared" si="19"/>
        <v>-6611909.6957926238</v>
      </c>
      <c r="DM26" s="217">
        <f t="shared" si="19"/>
        <v>-5131222.3590720277</v>
      </c>
      <c r="DN26" s="217">
        <f t="shared" si="19"/>
        <v>-5054244.1995414579</v>
      </c>
      <c r="DO26" s="217">
        <f t="shared" si="19"/>
        <v>-4892214.8443072522</v>
      </c>
      <c r="DP26" s="217">
        <f t="shared" si="19"/>
        <v>-5042304.7985727163</v>
      </c>
      <c r="DQ26" s="217">
        <f t="shared" si="19"/>
        <v>-5101922.0687773153</v>
      </c>
      <c r="DR26" s="217">
        <f t="shared" si="19"/>
        <v>-5131110.0490195164</v>
      </c>
      <c r="DS26" s="218">
        <f t="shared" si="19"/>
        <v>-4860512.4339501448</v>
      </c>
      <c r="DT26" s="916"/>
    </row>
    <row r="27" spans="1:124" s="6" customFormat="1" ht="18.75" customHeight="1" thickBot="1" x14ac:dyDescent="0.3">
      <c r="A27" s="140" t="s">
        <v>113</v>
      </c>
      <c r="B27" s="144"/>
      <c r="D27" s="1133">
        <f t="shared" ref="D27:M27" si="20">D19</f>
        <v>0</v>
      </c>
      <c r="E27" s="1133">
        <f t="shared" si="20"/>
        <v>0</v>
      </c>
      <c r="F27" s="1133">
        <f t="shared" si="20"/>
        <v>0</v>
      </c>
      <c r="G27" s="1133">
        <f t="shared" si="20"/>
        <v>0</v>
      </c>
      <c r="H27" s="1133">
        <f t="shared" si="20"/>
        <v>0</v>
      </c>
      <c r="I27" s="1133">
        <f t="shared" si="20"/>
        <v>0</v>
      </c>
      <c r="J27" s="1133">
        <f t="shared" si="20"/>
        <v>0</v>
      </c>
      <c r="K27" s="1133">
        <f t="shared" si="20"/>
        <v>0</v>
      </c>
      <c r="L27" s="1133">
        <f t="shared" si="20"/>
        <v>0</v>
      </c>
      <c r="M27" s="1133">
        <f t="shared" si="20"/>
        <v>0</v>
      </c>
      <c r="N27" s="1133">
        <f t="shared" ref="N27:R27" si="21">N19</f>
        <v>0</v>
      </c>
      <c r="O27" s="1134">
        <f t="shared" si="21"/>
        <v>0</v>
      </c>
      <c r="P27" s="217">
        <f t="shared" si="21"/>
        <v>0</v>
      </c>
      <c r="Q27" s="217">
        <f t="shared" si="21"/>
        <v>0</v>
      </c>
      <c r="R27" s="217">
        <f t="shared" si="21"/>
        <v>0</v>
      </c>
      <c r="S27" s="217">
        <f t="shared" ref="S27:CB27" si="22">S19</f>
        <v>0</v>
      </c>
      <c r="T27" s="217">
        <f t="shared" si="22"/>
        <v>0</v>
      </c>
      <c r="U27" s="217">
        <f t="shared" si="22"/>
        <v>0</v>
      </c>
      <c r="V27" s="217">
        <f t="shared" si="22"/>
        <v>0</v>
      </c>
      <c r="W27" s="217">
        <f t="shared" si="22"/>
        <v>0</v>
      </c>
      <c r="X27" s="217">
        <f t="shared" si="22"/>
        <v>0</v>
      </c>
      <c r="Y27" s="217">
        <f t="shared" si="22"/>
        <v>0</v>
      </c>
      <c r="Z27" s="217">
        <f t="shared" si="22"/>
        <v>0</v>
      </c>
      <c r="AA27" s="218">
        <f t="shared" si="22"/>
        <v>0</v>
      </c>
      <c r="AB27" s="217">
        <f t="shared" si="22"/>
        <v>0</v>
      </c>
      <c r="AC27" s="217">
        <f t="shared" si="22"/>
        <v>0</v>
      </c>
      <c r="AD27" s="217">
        <f t="shared" si="22"/>
        <v>0</v>
      </c>
      <c r="AE27" s="217">
        <f t="shared" si="22"/>
        <v>0</v>
      </c>
      <c r="AF27" s="217">
        <f t="shared" si="22"/>
        <v>0</v>
      </c>
      <c r="AG27" s="217">
        <f t="shared" si="22"/>
        <v>0</v>
      </c>
      <c r="AH27" s="217">
        <f t="shared" si="22"/>
        <v>0</v>
      </c>
      <c r="AI27" s="217">
        <f t="shared" si="22"/>
        <v>0</v>
      </c>
      <c r="AJ27" s="217">
        <f t="shared" si="22"/>
        <v>0</v>
      </c>
      <c r="AK27" s="217">
        <f t="shared" si="22"/>
        <v>0</v>
      </c>
      <c r="AL27" s="217">
        <f t="shared" si="22"/>
        <v>0</v>
      </c>
      <c r="AM27" s="218">
        <f t="shared" si="22"/>
        <v>0</v>
      </c>
      <c r="AN27" s="217">
        <f t="shared" si="22"/>
        <v>0</v>
      </c>
      <c r="AO27" s="217">
        <f t="shared" si="22"/>
        <v>0</v>
      </c>
      <c r="AP27" s="217">
        <f t="shared" si="22"/>
        <v>0</v>
      </c>
      <c r="AQ27" s="217">
        <f t="shared" si="22"/>
        <v>0</v>
      </c>
      <c r="AR27" s="217">
        <f t="shared" si="22"/>
        <v>0</v>
      </c>
      <c r="AS27" s="217">
        <f t="shared" si="22"/>
        <v>0</v>
      </c>
      <c r="AT27" s="217">
        <f t="shared" si="22"/>
        <v>0</v>
      </c>
      <c r="AU27" s="217">
        <f t="shared" si="22"/>
        <v>0</v>
      </c>
      <c r="AV27" s="217">
        <f t="shared" si="22"/>
        <v>0</v>
      </c>
      <c r="AW27" s="217">
        <f t="shared" si="22"/>
        <v>0</v>
      </c>
      <c r="AX27" s="217">
        <f t="shared" si="22"/>
        <v>0</v>
      </c>
      <c r="AY27" s="218">
        <f t="shared" si="22"/>
        <v>0</v>
      </c>
      <c r="AZ27" s="217">
        <f t="shared" si="22"/>
        <v>0</v>
      </c>
      <c r="BA27" s="217">
        <f t="shared" si="22"/>
        <v>0</v>
      </c>
      <c r="BB27" s="217">
        <f t="shared" si="22"/>
        <v>0</v>
      </c>
      <c r="BC27" s="217">
        <f t="shared" si="22"/>
        <v>0</v>
      </c>
      <c r="BD27" s="217">
        <f t="shared" si="22"/>
        <v>0</v>
      </c>
      <c r="BE27" s="217">
        <f t="shared" si="22"/>
        <v>0</v>
      </c>
      <c r="BF27" s="217">
        <f t="shared" si="22"/>
        <v>0</v>
      </c>
      <c r="BG27" s="217">
        <f t="shared" si="22"/>
        <v>0</v>
      </c>
      <c r="BH27" s="217">
        <f t="shared" si="22"/>
        <v>0</v>
      </c>
      <c r="BI27" s="217">
        <f t="shared" si="22"/>
        <v>0</v>
      </c>
      <c r="BJ27" s="217">
        <f t="shared" si="22"/>
        <v>0</v>
      </c>
      <c r="BK27" s="218">
        <f t="shared" si="22"/>
        <v>0</v>
      </c>
      <c r="BL27" s="217">
        <f t="shared" si="22"/>
        <v>0</v>
      </c>
      <c r="BM27" s="217">
        <f t="shared" si="22"/>
        <v>0</v>
      </c>
      <c r="BN27" s="217">
        <f t="shared" si="22"/>
        <v>0</v>
      </c>
      <c r="BO27" s="217">
        <f t="shared" si="22"/>
        <v>0</v>
      </c>
      <c r="BP27" s="217">
        <f t="shared" si="22"/>
        <v>0</v>
      </c>
      <c r="BQ27" s="217">
        <f t="shared" si="22"/>
        <v>0</v>
      </c>
      <c r="BR27" s="217">
        <f t="shared" si="22"/>
        <v>0</v>
      </c>
      <c r="BS27" s="217">
        <f t="shared" si="22"/>
        <v>0</v>
      </c>
      <c r="BT27" s="217">
        <f t="shared" si="22"/>
        <v>0</v>
      </c>
      <c r="BU27" s="217">
        <f t="shared" si="22"/>
        <v>0</v>
      </c>
      <c r="BV27" s="217">
        <f t="shared" si="22"/>
        <v>0</v>
      </c>
      <c r="BW27" s="218">
        <f t="shared" si="22"/>
        <v>0</v>
      </c>
      <c r="BX27" s="217">
        <f t="shared" si="22"/>
        <v>0</v>
      </c>
      <c r="BY27" s="217">
        <f t="shared" si="22"/>
        <v>0</v>
      </c>
      <c r="BZ27" s="217">
        <f t="shared" si="22"/>
        <v>0</v>
      </c>
      <c r="CA27" s="217">
        <f t="shared" si="22"/>
        <v>0</v>
      </c>
      <c r="CB27" s="217">
        <f t="shared" si="22"/>
        <v>0</v>
      </c>
      <c r="CC27" s="217">
        <f t="shared" ref="CC27:DS27" si="23">CC19</f>
        <v>0</v>
      </c>
      <c r="CD27" s="217">
        <f t="shared" si="23"/>
        <v>0</v>
      </c>
      <c r="CE27" s="217">
        <f t="shared" si="23"/>
        <v>0</v>
      </c>
      <c r="CF27" s="217">
        <f t="shared" si="23"/>
        <v>0</v>
      </c>
      <c r="CG27" s="217">
        <f t="shared" si="23"/>
        <v>0</v>
      </c>
      <c r="CH27" s="217">
        <f t="shared" si="23"/>
        <v>0</v>
      </c>
      <c r="CI27" s="218">
        <f t="shared" si="23"/>
        <v>0</v>
      </c>
      <c r="CJ27" s="217">
        <f t="shared" si="23"/>
        <v>0</v>
      </c>
      <c r="CK27" s="217">
        <f t="shared" si="23"/>
        <v>0</v>
      </c>
      <c r="CL27" s="217">
        <f t="shared" si="23"/>
        <v>0</v>
      </c>
      <c r="CM27" s="217">
        <f t="shared" si="23"/>
        <v>0</v>
      </c>
      <c r="CN27" s="217">
        <f t="shared" si="23"/>
        <v>0</v>
      </c>
      <c r="CO27" s="217">
        <f t="shared" si="23"/>
        <v>0</v>
      </c>
      <c r="CP27" s="217">
        <f t="shared" si="23"/>
        <v>0</v>
      </c>
      <c r="CQ27" s="217">
        <f t="shared" si="23"/>
        <v>0</v>
      </c>
      <c r="CR27" s="217">
        <f t="shared" si="23"/>
        <v>0</v>
      </c>
      <c r="CS27" s="217">
        <f t="shared" si="23"/>
        <v>0</v>
      </c>
      <c r="CT27" s="217">
        <f t="shared" si="23"/>
        <v>0</v>
      </c>
      <c r="CU27" s="218">
        <f t="shared" si="23"/>
        <v>0</v>
      </c>
      <c r="CV27" s="217">
        <f t="shared" si="23"/>
        <v>0</v>
      </c>
      <c r="CW27" s="217">
        <f t="shared" si="23"/>
        <v>0</v>
      </c>
      <c r="CX27" s="217">
        <f t="shared" si="23"/>
        <v>0</v>
      </c>
      <c r="CY27" s="217">
        <f t="shared" si="23"/>
        <v>0</v>
      </c>
      <c r="CZ27" s="217">
        <f t="shared" si="23"/>
        <v>0</v>
      </c>
      <c r="DA27" s="217">
        <f t="shared" si="23"/>
        <v>0</v>
      </c>
      <c r="DB27" s="217">
        <f t="shared" si="23"/>
        <v>0</v>
      </c>
      <c r="DC27" s="217">
        <f t="shared" si="23"/>
        <v>0</v>
      </c>
      <c r="DD27" s="217">
        <f t="shared" si="23"/>
        <v>0</v>
      </c>
      <c r="DE27" s="217">
        <f t="shared" si="23"/>
        <v>0</v>
      </c>
      <c r="DF27" s="217">
        <f t="shared" si="23"/>
        <v>0</v>
      </c>
      <c r="DG27" s="218">
        <f t="shared" si="23"/>
        <v>0</v>
      </c>
      <c r="DH27" s="217">
        <f t="shared" si="23"/>
        <v>0</v>
      </c>
      <c r="DI27" s="217">
        <f t="shared" si="23"/>
        <v>0</v>
      </c>
      <c r="DJ27" s="217">
        <f t="shared" si="23"/>
        <v>0</v>
      </c>
      <c r="DK27" s="217">
        <f t="shared" si="23"/>
        <v>0</v>
      </c>
      <c r="DL27" s="217">
        <f t="shared" si="23"/>
        <v>0</v>
      </c>
      <c r="DM27" s="217">
        <f t="shared" si="23"/>
        <v>0</v>
      </c>
      <c r="DN27" s="217">
        <f t="shared" si="23"/>
        <v>0</v>
      </c>
      <c r="DO27" s="217">
        <f t="shared" si="23"/>
        <v>0</v>
      </c>
      <c r="DP27" s="217">
        <f t="shared" si="23"/>
        <v>0</v>
      </c>
      <c r="DQ27" s="217">
        <f t="shared" si="23"/>
        <v>0</v>
      </c>
      <c r="DR27" s="217">
        <f t="shared" si="23"/>
        <v>0</v>
      </c>
      <c r="DS27" s="218">
        <f t="shared" si="23"/>
        <v>0</v>
      </c>
      <c r="DT27" s="916"/>
    </row>
    <row r="28" spans="1:124" s="6" customFormat="1" ht="26.25" customHeight="1" thickBot="1" x14ac:dyDescent="0.35">
      <c r="A28" s="1332" t="s">
        <v>114</v>
      </c>
      <c r="B28" s="1333"/>
      <c r="D28" s="1137">
        <f t="shared" ref="D28:M28" si="24">SUM(D25:D27)</f>
        <v>0</v>
      </c>
      <c r="E28" s="1135">
        <f t="shared" si="24"/>
        <v>0</v>
      </c>
      <c r="F28" s="1135">
        <f t="shared" si="24"/>
        <v>0</v>
      </c>
      <c r="G28" s="1135">
        <f t="shared" si="24"/>
        <v>0</v>
      </c>
      <c r="H28" s="1135">
        <f t="shared" si="24"/>
        <v>0</v>
      </c>
      <c r="I28" s="1135">
        <f t="shared" si="24"/>
        <v>0</v>
      </c>
      <c r="J28" s="1135">
        <f t="shared" si="24"/>
        <v>0</v>
      </c>
      <c r="K28" s="1135">
        <f t="shared" si="24"/>
        <v>0</v>
      </c>
      <c r="L28" s="1135">
        <f t="shared" si="24"/>
        <v>0</v>
      </c>
      <c r="M28" s="1135">
        <f t="shared" si="24"/>
        <v>0</v>
      </c>
      <c r="N28" s="1135">
        <f t="shared" ref="N28:R28" si="25">SUM(N25:N27)</f>
        <v>-573613.99798954662</v>
      </c>
      <c r="O28" s="1136">
        <f t="shared" si="25"/>
        <v>-368122.66309238103</v>
      </c>
      <c r="P28" s="230">
        <f t="shared" si="25"/>
        <v>-395638.07042476954</v>
      </c>
      <c r="Q28" s="230">
        <f t="shared" si="25"/>
        <v>-934775.78382646455</v>
      </c>
      <c r="R28" s="230">
        <f t="shared" si="25"/>
        <v>-773450.02298042132</v>
      </c>
      <c r="S28" s="230">
        <f t="shared" ref="S28:CB28" si="26">SUM(S25:S27)</f>
        <v>-788908.42834122968</v>
      </c>
      <c r="T28" s="230">
        <f t="shared" si="26"/>
        <v>-1045666.0021853144</v>
      </c>
      <c r="U28" s="230">
        <f t="shared" si="26"/>
        <v>-879121.10148145224</v>
      </c>
      <c r="V28" s="230">
        <f t="shared" si="26"/>
        <v>-917258.23758082802</v>
      </c>
      <c r="W28" s="230">
        <f t="shared" si="26"/>
        <v>-1184663.1920782793</v>
      </c>
      <c r="X28" s="230">
        <f t="shared" si="26"/>
        <v>-1017176.3930470827</v>
      </c>
      <c r="Y28" s="230">
        <f t="shared" si="26"/>
        <v>-1085364.5752849795</v>
      </c>
      <c r="Z28" s="230">
        <f t="shared" si="26"/>
        <v>-1170353.3896126247</v>
      </c>
      <c r="AA28" s="231">
        <f t="shared" si="26"/>
        <v>-1203758.4103028439</v>
      </c>
      <c r="AB28" s="230">
        <f t="shared" si="26"/>
        <v>-1435263.6258892992</v>
      </c>
      <c r="AC28" s="230">
        <f t="shared" si="26"/>
        <v>-1499395.6731505326</v>
      </c>
      <c r="AD28" s="230">
        <f t="shared" si="26"/>
        <v>-1673056.6672389579</v>
      </c>
      <c r="AE28" s="230">
        <f t="shared" si="26"/>
        <v>-1723766.3629024487</v>
      </c>
      <c r="AF28" s="230">
        <f t="shared" si="26"/>
        <v>-1848951.7489071591</v>
      </c>
      <c r="AG28" s="230">
        <f t="shared" si="26"/>
        <v>-2015394.5114376254</v>
      </c>
      <c r="AH28" s="230">
        <f t="shared" si="26"/>
        <v>-2127323.6148446263</v>
      </c>
      <c r="AI28" s="230">
        <f t="shared" si="26"/>
        <v>-2293759.3520668326</v>
      </c>
      <c r="AJ28" s="230">
        <f t="shared" si="26"/>
        <v>-2481810.2306700307</v>
      </c>
      <c r="AK28" s="230">
        <f t="shared" si="26"/>
        <v>-3143778.4076867918</v>
      </c>
      <c r="AL28" s="230">
        <f t="shared" si="26"/>
        <v>108645.69687314751</v>
      </c>
      <c r="AM28" s="231">
        <f t="shared" si="26"/>
        <v>644166.3886868041</v>
      </c>
      <c r="AN28" s="230">
        <f t="shared" si="26"/>
        <v>-209619.31400650367</v>
      </c>
      <c r="AO28" s="230">
        <f t="shared" si="26"/>
        <v>162636.30647129286</v>
      </c>
      <c r="AP28" s="230">
        <f t="shared" si="26"/>
        <v>519646.4678557138</v>
      </c>
      <c r="AQ28" s="230">
        <f t="shared" si="26"/>
        <v>116503.47268818924</v>
      </c>
      <c r="AR28" s="230">
        <f t="shared" si="26"/>
        <v>-782421.84914374631</v>
      </c>
      <c r="AS28" s="230">
        <f t="shared" si="26"/>
        <v>586580.3819270418</v>
      </c>
      <c r="AT28" s="230">
        <f t="shared" si="26"/>
        <v>184114.54490919551</v>
      </c>
      <c r="AU28" s="230">
        <f t="shared" si="26"/>
        <v>116162.79333256232</v>
      </c>
      <c r="AV28" s="230">
        <f t="shared" si="26"/>
        <v>594021.54548985651</v>
      </c>
      <c r="AW28" s="230">
        <f t="shared" si="26"/>
        <v>78100.866739515215</v>
      </c>
      <c r="AX28" s="230">
        <f t="shared" si="26"/>
        <v>67338.744850927498</v>
      </c>
      <c r="AY28" s="231">
        <f t="shared" si="26"/>
        <v>638518.30462838477</v>
      </c>
      <c r="AZ28" s="230">
        <f t="shared" si="26"/>
        <v>-273564.65619511856</v>
      </c>
      <c r="BA28" s="230">
        <f t="shared" si="26"/>
        <v>120485.17511589266</v>
      </c>
      <c r="BB28" s="230">
        <f t="shared" si="26"/>
        <v>501953.56680651288</v>
      </c>
      <c r="BC28" s="230">
        <f t="shared" si="26"/>
        <v>72864.027624466456</v>
      </c>
      <c r="BD28" s="230">
        <f t="shared" si="26"/>
        <v>-908322.47438693931</v>
      </c>
      <c r="BE28" s="230">
        <f t="shared" si="26"/>
        <v>600957.35366767133</v>
      </c>
      <c r="BF28" s="230">
        <f t="shared" si="26"/>
        <v>145015.59941604035</v>
      </c>
      <c r="BG28" s="230">
        <f t="shared" si="26"/>
        <v>281590.15042081196</v>
      </c>
      <c r="BH28" s="230">
        <f t="shared" si="26"/>
        <v>581051.89661105303</v>
      </c>
      <c r="BI28" s="230">
        <f t="shared" si="26"/>
        <v>32598.341340581886</v>
      </c>
      <c r="BJ28" s="230">
        <f t="shared" si="26"/>
        <v>19537.966767684557</v>
      </c>
      <c r="BK28" s="231">
        <f t="shared" si="26"/>
        <v>628572.75612206431</v>
      </c>
      <c r="BL28" s="230">
        <f t="shared" si="26"/>
        <v>-2581019.339646209</v>
      </c>
      <c r="BM28" s="230">
        <f t="shared" si="26"/>
        <v>135198.01604710985</v>
      </c>
      <c r="BN28" s="230">
        <f t="shared" si="26"/>
        <v>513061.14528388763</v>
      </c>
      <c r="BO28" s="230">
        <f t="shared" si="26"/>
        <v>56319.125131396577</v>
      </c>
      <c r="BP28" s="230">
        <f t="shared" si="26"/>
        <v>-988521.84480428649</v>
      </c>
      <c r="BQ28" s="230">
        <f t="shared" si="26"/>
        <v>618034.08014145307</v>
      </c>
      <c r="BR28" s="230">
        <f t="shared" si="26"/>
        <v>133333.73279119888</v>
      </c>
      <c r="BS28" s="230">
        <f t="shared" si="26"/>
        <v>276708.66715438105</v>
      </c>
      <c r="BT28" s="230">
        <f t="shared" si="26"/>
        <v>597185.10819813749</v>
      </c>
      <c r="BU28" s="230">
        <f t="shared" si="26"/>
        <v>14145.2099847137</v>
      </c>
      <c r="BV28" s="230">
        <f t="shared" si="26"/>
        <v>-31428.745649148244</v>
      </c>
      <c r="BW28" s="231">
        <f t="shared" si="26"/>
        <v>677809.19130525971</v>
      </c>
      <c r="BX28" s="230">
        <f t="shared" si="26"/>
        <v>-386572.16202877555</v>
      </c>
      <c r="BY28" s="230">
        <f t="shared" si="26"/>
        <v>118065.89709514566</v>
      </c>
      <c r="BZ28" s="230">
        <f t="shared" si="26"/>
        <v>490504.25578872953</v>
      </c>
      <c r="CA28" s="230">
        <f t="shared" si="26"/>
        <v>67769.317629946861</v>
      </c>
      <c r="CB28" s="230">
        <f t="shared" si="26"/>
        <v>-1076716.5934921103</v>
      </c>
      <c r="CC28" s="230">
        <f t="shared" ref="CC28:DS28" si="27">SUM(CC25:CC27)</f>
        <v>633528.63133265032</v>
      </c>
      <c r="CD28" s="230">
        <f t="shared" si="27"/>
        <v>86512.310841945931</v>
      </c>
      <c r="CE28" s="230">
        <f t="shared" si="27"/>
        <v>300363.84181209374</v>
      </c>
      <c r="CF28" s="230">
        <f t="shared" si="27"/>
        <v>611717.0197349675</v>
      </c>
      <c r="CG28" s="230">
        <f t="shared" si="27"/>
        <v>-8092.5642693890259</v>
      </c>
      <c r="CH28" s="230">
        <f t="shared" si="27"/>
        <v>-58606.477446889039</v>
      </c>
      <c r="CI28" s="231">
        <f t="shared" si="27"/>
        <v>665961.14240337629</v>
      </c>
      <c r="CJ28" s="230">
        <f t="shared" si="27"/>
        <v>-403729.12491486641</v>
      </c>
      <c r="CK28" s="230">
        <f t="shared" si="27"/>
        <v>62827.48893257603</v>
      </c>
      <c r="CL28" s="230">
        <f t="shared" si="27"/>
        <v>529048.39552445617</v>
      </c>
      <c r="CM28" s="230">
        <f t="shared" si="27"/>
        <v>45148.882398631424</v>
      </c>
      <c r="CN28" s="230">
        <f t="shared" si="27"/>
        <v>-1173788.6801172933</v>
      </c>
      <c r="CO28" s="230">
        <f t="shared" si="27"/>
        <v>647000.09369767923</v>
      </c>
      <c r="CP28" s="230">
        <f t="shared" si="27"/>
        <v>65477.965557854623</v>
      </c>
      <c r="CQ28" s="230">
        <f t="shared" si="27"/>
        <v>290498.94791809656</v>
      </c>
      <c r="CR28" s="230">
        <f t="shared" si="27"/>
        <v>624210.74669049866</v>
      </c>
      <c r="CS28" s="230">
        <f t="shared" si="27"/>
        <v>-68430.803067251109</v>
      </c>
      <c r="CT28" s="230">
        <f t="shared" si="27"/>
        <v>-56983.162845114246</v>
      </c>
      <c r="CU28" s="231">
        <f t="shared" si="27"/>
        <v>682190.67452468164</v>
      </c>
      <c r="CV28" s="230">
        <f t="shared" si="27"/>
        <v>-459105.49475669395</v>
      </c>
      <c r="CW28" s="230">
        <f t="shared" si="27"/>
        <v>34141.261058792472</v>
      </c>
      <c r="CX28" s="230">
        <f t="shared" si="27"/>
        <v>532940.13570344448</v>
      </c>
      <c r="CY28" s="230">
        <f t="shared" si="27"/>
        <v>17660.608064477332</v>
      </c>
      <c r="CZ28" s="230">
        <f t="shared" si="27"/>
        <v>-1280724.3802725794</v>
      </c>
      <c r="DA28" s="230">
        <f t="shared" si="27"/>
        <v>622069.35074664373</v>
      </c>
      <c r="DB28" s="230">
        <f t="shared" si="27"/>
        <v>75594.807461793534</v>
      </c>
      <c r="DC28" s="230">
        <f t="shared" si="27"/>
        <v>240456.58750290237</v>
      </c>
      <c r="DD28" s="230">
        <f t="shared" si="27"/>
        <v>634158.61815493181</v>
      </c>
      <c r="DE28" s="230">
        <f t="shared" si="27"/>
        <v>-66301.642474222928</v>
      </c>
      <c r="DF28" s="230">
        <f t="shared" si="27"/>
        <v>-92640.825344765559</v>
      </c>
      <c r="DG28" s="231">
        <f t="shared" si="27"/>
        <v>696151.03589905519</v>
      </c>
      <c r="DH28" s="230">
        <f t="shared" si="27"/>
        <v>-3381260.1740745492</v>
      </c>
      <c r="DI28" s="230">
        <f t="shared" si="27"/>
        <v>-537.72832820564508</v>
      </c>
      <c r="DJ28" s="230">
        <f t="shared" si="27"/>
        <v>533308.19311513938</v>
      </c>
      <c r="DK28" s="230">
        <f t="shared" si="27"/>
        <v>-53570.619510284625</v>
      </c>
      <c r="DL28" s="230">
        <f t="shared" si="27"/>
        <v>-1398627.1548420982</v>
      </c>
      <c r="DM28" s="230">
        <f t="shared" si="27"/>
        <v>665741.30920870882</v>
      </c>
      <c r="DN28" s="230">
        <f t="shared" si="27"/>
        <v>46656.857244603336</v>
      </c>
      <c r="DO28" s="230">
        <f t="shared" si="27"/>
        <v>219202.49233482033</v>
      </c>
      <c r="DP28" s="230">
        <f t="shared" si="27"/>
        <v>641388.7977716513</v>
      </c>
      <c r="DQ28" s="230">
        <f t="shared" si="27"/>
        <v>-100690.3324674014</v>
      </c>
      <c r="DR28" s="230">
        <f t="shared" si="27"/>
        <v>-119525.28883804847</v>
      </c>
      <c r="DS28" s="231">
        <f t="shared" si="27"/>
        <v>731919.49005901441</v>
      </c>
      <c r="DT28" s="916"/>
    </row>
    <row r="29" spans="1:124" s="31" customFormat="1" ht="26.25" customHeight="1" x14ac:dyDescent="0.25">
      <c r="A29" s="239"/>
      <c r="B29" s="240"/>
      <c r="D29" s="1334"/>
      <c r="E29" s="1334"/>
      <c r="F29" s="1334"/>
      <c r="G29" s="1334"/>
      <c r="H29" s="1334"/>
      <c r="I29" s="1334"/>
      <c r="J29" s="1334"/>
      <c r="K29" s="1334"/>
      <c r="L29" s="1334"/>
      <c r="M29" s="1334"/>
      <c r="N29" s="1334"/>
      <c r="O29" s="1335"/>
      <c r="P29" s="242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909"/>
      <c r="AB29" s="910"/>
      <c r="AC29" s="242"/>
      <c r="AD29" s="241"/>
      <c r="AE29" s="241"/>
      <c r="AF29" s="241"/>
      <c r="AG29" s="241"/>
      <c r="AH29" s="241"/>
      <c r="AI29" s="241"/>
      <c r="AJ29" s="241"/>
      <c r="AK29" s="241"/>
      <c r="AL29" s="241"/>
      <c r="AM29" s="909"/>
      <c r="AN29" s="910"/>
      <c r="AO29" s="242"/>
      <c r="AP29" s="241"/>
      <c r="AQ29" s="241"/>
      <c r="AR29" s="241"/>
      <c r="AS29" s="241"/>
      <c r="AT29" s="241"/>
      <c r="AU29" s="241"/>
      <c r="AV29" s="241"/>
      <c r="AW29" s="241"/>
      <c r="AX29" s="241"/>
      <c r="AY29" s="909"/>
      <c r="AZ29" s="910"/>
      <c r="BA29" s="242"/>
      <c r="BB29" s="241"/>
      <c r="BC29" s="241"/>
      <c r="BD29" s="241"/>
      <c r="BE29" s="241"/>
      <c r="BF29" s="241"/>
      <c r="BG29" s="241"/>
      <c r="BH29" s="241"/>
      <c r="BI29" s="241"/>
      <c r="BJ29" s="241"/>
      <c r="BK29" s="909"/>
      <c r="BL29" s="910"/>
      <c r="BM29" s="242"/>
      <c r="BN29" s="241"/>
      <c r="BO29" s="241"/>
      <c r="BP29" s="241"/>
      <c r="BQ29" s="241"/>
      <c r="BR29" s="241"/>
      <c r="BS29" s="241"/>
      <c r="BT29" s="241"/>
      <c r="BU29" s="241"/>
      <c r="BV29" s="241"/>
      <c r="BW29" s="909"/>
      <c r="BX29" s="910"/>
      <c r="BY29" s="242"/>
      <c r="BZ29" s="241"/>
      <c r="CA29" s="241"/>
      <c r="CB29" s="241"/>
      <c r="CC29" s="241"/>
      <c r="CD29" s="241"/>
      <c r="CE29" s="241"/>
      <c r="CF29" s="241"/>
      <c r="CG29" s="241"/>
      <c r="CH29" s="241"/>
      <c r="CI29" s="909"/>
      <c r="CJ29" s="910"/>
      <c r="CK29" s="242"/>
      <c r="CL29" s="241"/>
      <c r="CM29" s="241"/>
      <c r="CN29" s="241"/>
      <c r="CO29" s="241"/>
      <c r="CP29" s="241"/>
      <c r="CQ29" s="241"/>
      <c r="CR29" s="241"/>
      <c r="CS29" s="241"/>
      <c r="CT29" s="241"/>
      <c r="CU29" s="909"/>
      <c r="CV29" s="910"/>
      <c r="CW29" s="242"/>
      <c r="CX29" s="241"/>
      <c r="CY29" s="241"/>
      <c r="CZ29" s="241"/>
      <c r="DA29" s="241"/>
      <c r="DB29" s="241"/>
      <c r="DC29" s="241"/>
      <c r="DD29" s="241"/>
      <c r="DE29" s="241"/>
      <c r="DF29" s="241"/>
      <c r="DG29" s="909"/>
      <c r="DH29" s="910"/>
      <c r="DI29" s="242"/>
      <c r="DJ29" s="241"/>
      <c r="DK29" s="241"/>
      <c r="DL29" s="241"/>
      <c r="DM29" s="241"/>
      <c r="DN29" s="241"/>
      <c r="DO29" s="241"/>
      <c r="DP29" s="241"/>
      <c r="DQ29" s="241"/>
      <c r="DR29" s="241"/>
      <c r="DS29" s="909"/>
      <c r="DT29" s="916"/>
    </row>
    <row r="30" spans="1:124" s="6" customFormat="1" ht="26.25" customHeight="1" x14ac:dyDescent="0.3">
      <c r="A30" s="142" t="s">
        <v>115</v>
      </c>
      <c r="B30" s="238"/>
      <c r="D30" s="1334"/>
      <c r="E30" s="1334"/>
      <c r="F30" s="1334"/>
      <c r="G30" s="1334"/>
      <c r="H30" s="1334"/>
      <c r="I30" s="1334"/>
      <c r="J30" s="1334"/>
      <c r="K30" s="1334"/>
      <c r="L30" s="1334"/>
      <c r="M30" s="1334"/>
      <c r="N30" s="1334"/>
      <c r="O30" s="1335"/>
      <c r="P30" s="119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907"/>
      <c r="AB30" s="119"/>
      <c r="AC30" s="120"/>
      <c r="AD30" s="120"/>
      <c r="AE30" s="913"/>
      <c r="AF30" s="914"/>
      <c r="AG30" s="193"/>
      <c r="AH30" s="193"/>
      <c r="AI30" s="193"/>
      <c r="AJ30" s="193"/>
      <c r="AK30" s="193"/>
      <c r="AL30" s="193"/>
      <c r="AM30" s="915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915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915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915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915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915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915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915"/>
      <c r="DT30" s="916"/>
    </row>
    <row r="31" spans="1:124" s="6" customFormat="1" ht="18.75" customHeight="1" x14ac:dyDescent="0.25">
      <c r="A31" s="140" t="s">
        <v>116</v>
      </c>
      <c r="B31" s="152"/>
      <c r="D31" s="404">
        <f>'9.CAPEX'!E23</f>
        <v>-3335223.6699384619</v>
      </c>
      <c r="E31" s="404">
        <f>'9.CAPEX'!F23</f>
        <v>-2877577.0320210825</v>
      </c>
      <c r="F31" s="404">
        <f>'9.CAPEX'!G23</f>
        <v>-2130961.4070210825</v>
      </c>
      <c r="G31" s="404">
        <f>'9.CAPEX'!H23</f>
        <v>-4583551.407021082</v>
      </c>
      <c r="H31" s="404">
        <f>'9.CAPEX'!I23</f>
        <v>-4583551.407021082</v>
      </c>
      <c r="I31" s="404">
        <f>'9.CAPEX'!J23</f>
        <v>-3697351.4070210825</v>
      </c>
      <c r="J31" s="404">
        <f>'9.CAPEX'!K23</f>
        <v>-2705167.0320210825</v>
      </c>
      <c r="K31" s="404">
        <f>'9.CAPEX'!L23</f>
        <v>-4077681.319073949</v>
      </c>
      <c r="L31" s="404">
        <f>'9.CAPEX'!M23</f>
        <v>-4077681.319073949</v>
      </c>
      <c r="M31" s="404">
        <f>'9.CAPEX'!N23</f>
        <v>-2862778.819073949</v>
      </c>
      <c r="N31" s="404">
        <f>'9.CAPEX'!O23</f>
        <v>-1490264.5320210827</v>
      </c>
      <c r="O31" s="497">
        <f>'9.CAPEX'!P23</f>
        <v>-252577.03202108268</v>
      </c>
      <c r="P31" s="217">
        <f>'9.CAPEX'!Q23</f>
        <v>-734324.2507710827</v>
      </c>
      <c r="Q31" s="217">
        <f>'9.CAPEX'!R23</f>
        <v>-734324.2507710827</v>
      </c>
      <c r="R31" s="217">
        <f>'9.CAPEX'!S23</f>
        <v>-734324.2507710827</v>
      </c>
      <c r="S31" s="217">
        <f>'9.CAPEX'!T23</f>
        <v>-734324.2507710827</v>
      </c>
      <c r="T31" s="217">
        <f>'9.CAPEX'!U23</f>
        <v>-734324.2507710827</v>
      </c>
      <c r="U31" s="217">
        <f>'9.CAPEX'!V23</f>
        <v>-734324.2507710827</v>
      </c>
      <c r="V31" s="217">
        <f>'9.CAPEX'!W23</f>
        <v>-734324.2507710827</v>
      </c>
      <c r="W31" s="217">
        <f>'9.CAPEX'!X23</f>
        <v>-734324.2507710827</v>
      </c>
      <c r="X31" s="217">
        <f>'9.CAPEX'!Y23</f>
        <v>-481747.21875</v>
      </c>
      <c r="Y31" s="217">
        <f>'9.CAPEX'!Z23</f>
        <v>-481747.21875</v>
      </c>
      <c r="Z31" s="217">
        <f>'9.CAPEX'!AA23</f>
        <v>-481747.21875</v>
      </c>
      <c r="AA31" s="218">
        <f>'9.CAPEX'!AB23</f>
        <v>-481747.21875</v>
      </c>
      <c r="AB31" s="217">
        <f>'9.CAPEX'!AC23</f>
        <v>-481747.21875</v>
      </c>
      <c r="AC31" s="217">
        <f>'9.CAPEX'!AD23</f>
        <v>-481747.21875</v>
      </c>
      <c r="AD31" s="217">
        <f>'9.CAPEX'!AE23</f>
        <v>-481747.21875</v>
      </c>
      <c r="AE31" s="217">
        <f>'9.CAPEX'!AF23</f>
        <v>-481747.21875</v>
      </c>
      <c r="AF31" s="217">
        <f>'9.CAPEX'!AG23</f>
        <v>0</v>
      </c>
      <c r="AG31" s="217">
        <f>'9.CAPEX'!AH23</f>
        <v>0</v>
      </c>
      <c r="AH31" s="217">
        <f>'9.CAPEX'!AI23</f>
        <v>0</v>
      </c>
      <c r="AI31" s="217">
        <f>'9.CAPEX'!AJ23</f>
        <v>0</v>
      </c>
      <c r="AJ31" s="217">
        <f>'9.CAPEX'!AK23</f>
        <v>0</v>
      </c>
      <c r="AK31" s="217">
        <f>'9.CAPEX'!AL23</f>
        <v>0</v>
      </c>
      <c r="AL31" s="217">
        <f>'9.CAPEX'!AM23</f>
        <v>0</v>
      </c>
      <c r="AM31" s="218">
        <f>'9.CAPEX'!AN23</f>
        <v>0</v>
      </c>
      <c r="AN31" s="217">
        <f>'9.CAPEX'!AO23</f>
        <v>0</v>
      </c>
      <c r="AO31" s="217">
        <f>'9.CAPEX'!AP23</f>
        <v>0</v>
      </c>
      <c r="AP31" s="217">
        <f>'9.CAPEX'!AQ23</f>
        <v>0</v>
      </c>
      <c r="AQ31" s="217">
        <f>'9.CAPEX'!AR23</f>
        <v>0</v>
      </c>
      <c r="AR31" s="217">
        <f>'9.CAPEX'!AS23</f>
        <v>0</v>
      </c>
      <c r="AS31" s="217">
        <f>'9.CAPEX'!AT23</f>
        <v>0</v>
      </c>
      <c r="AT31" s="217">
        <f>'9.CAPEX'!AU23</f>
        <v>0</v>
      </c>
      <c r="AU31" s="217">
        <f>'9.CAPEX'!AV23</f>
        <v>0</v>
      </c>
      <c r="AV31" s="217">
        <f>'9.CAPEX'!AW23</f>
        <v>0</v>
      </c>
      <c r="AW31" s="217">
        <f>'9.CAPEX'!AX23</f>
        <v>0</v>
      </c>
      <c r="AX31" s="217">
        <f>'9.CAPEX'!AY23</f>
        <v>0</v>
      </c>
      <c r="AY31" s="218">
        <f>'9.CAPEX'!AZ23</f>
        <v>0</v>
      </c>
      <c r="AZ31" s="217">
        <f>'9.CAPEX'!BA23</f>
        <v>0</v>
      </c>
      <c r="BA31" s="217">
        <f>'9.CAPEX'!BB23</f>
        <v>0</v>
      </c>
      <c r="BB31" s="217">
        <f>'9.CAPEX'!BC23</f>
        <v>0</v>
      </c>
      <c r="BC31" s="217">
        <f>'9.CAPEX'!BD23</f>
        <v>0</v>
      </c>
      <c r="BD31" s="217">
        <f>'9.CAPEX'!BE23</f>
        <v>0</v>
      </c>
      <c r="BE31" s="217">
        <f>'9.CAPEX'!BF23</f>
        <v>0</v>
      </c>
      <c r="BF31" s="217">
        <f>'9.CAPEX'!BG23</f>
        <v>0</v>
      </c>
      <c r="BG31" s="217">
        <f>'9.CAPEX'!BH23</f>
        <v>0</v>
      </c>
      <c r="BH31" s="217">
        <f>'9.CAPEX'!BI23</f>
        <v>0</v>
      </c>
      <c r="BI31" s="217">
        <f>'9.CAPEX'!BJ23</f>
        <v>0</v>
      </c>
      <c r="BJ31" s="217">
        <f>'9.CAPEX'!BK23</f>
        <v>0</v>
      </c>
      <c r="BK31" s="218">
        <f>'9.CAPEX'!BL23</f>
        <v>0</v>
      </c>
      <c r="BL31" s="217">
        <f>'9.CAPEX'!BM23</f>
        <v>0</v>
      </c>
      <c r="BM31" s="217">
        <f>'9.CAPEX'!BN23</f>
        <v>0</v>
      </c>
      <c r="BN31" s="217">
        <f>'9.CAPEX'!BO23</f>
        <v>0</v>
      </c>
      <c r="BO31" s="217">
        <f>'9.CAPEX'!BP23</f>
        <v>0</v>
      </c>
      <c r="BP31" s="217">
        <f>'9.CAPEX'!BQ23</f>
        <v>0</v>
      </c>
      <c r="BQ31" s="217">
        <f>'9.CAPEX'!BR23</f>
        <v>0</v>
      </c>
      <c r="BR31" s="217">
        <f>'9.CAPEX'!BS23</f>
        <v>0</v>
      </c>
      <c r="BS31" s="217">
        <f>'9.CAPEX'!BT23</f>
        <v>0</v>
      </c>
      <c r="BT31" s="217">
        <f>'9.CAPEX'!BU23</f>
        <v>0</v>
      </c>
      <c r="BU31" s="217">
        <f>'9.CAPEX'!BV23</f>
        <v>0</v>
      </c>
      <c r="BV31" s="217">
        <f>'9.CAPEX'!BW23</f>
        <v>0</v>
      </c>
      <c r="BW31" s="218">
        <f>'9.CAPEX'!BX23</f>
        <v>0</v>
      </c>
      <c r="BX31" s="217">
        <f>'9.CAPEX'!BY23</f>
        <v>0</v>
      </c>
      <c r="BY31" s="217">
        <f>'9.CAPEX'!BZ23</f>
        <v>0</v>
      </c>
      <c r="BZ31" s="217">
        <f>'9.CAPEX'!CA23</f>
        <v>0</v>
      </c>
      <c r="CA31" s="217">
        <f>'9.CAPEX'!CB23</f>
        <v>0</v>
      </c>
      <c r="CB31" s="217">
        <f>'9.CAPEX'!CC23</f>
        <v>0</v>
      </c>
      <c r="CC31" s="217">
        <f>'9.CAPEX'!CD23</f>
        <v>0</v>
      </c>
      <c r="CD31" s="217">
        <f>'9.CAPEX'!CE23</f>
        <v>0</v>
      </c>
      <c r="CE31" s="217">
        <f>'9.CAPEX'!CF23</f>
        <v>0</v>
      </c>
      <c r="CF31" s="217">
        <f>'9.CAPEX'!CG23</f>
        <v>0</v>
      </c>
      <c r="CG31" s="217">
        <f>'9.CAPEX'!CH23</f>
        <v>0</v>
      </c>
      <c r="CH31" s="217">
        <f>'9.CAPEX'!CI23</f>
        <v>0</v>
      </c>
      <c r="CI31" s="218">
        <f>'9.CAPEX'!CJ23</f>
        <v>0</v>
      </c>
      <c r="CJ31" s="217">
        <f>'9.CAPEX'!CK23</f>
        <v>0</v>
      </c>
      <c r="CK31" s="217">
        <f>'9.CAPEX'!CL23</f>
        <v>0</v>
      </c>
      <c r="CL31" s="217">
        <f>'9.CAPEX'!CM23</f>
        <v>0</v>
      </c>
      <c r="CM31" s="217">
        <f>'9.CAPEX'!CN23</f>
        <v>0</v>
      </c>
      <c r="CN31" s="217">
        <f>'9.CAPEX'!CO23</f>
        <v>0</v>
      </c>
      <c r="CO31" s="217">
        <f>'9.CAPEX'!CP23</f>
        <v>0</v>
      </c>
      <c r="CP31" s="217">
        <f>'9.CAPEX'!CQ23</f>
        <v>0</v>
      </c>
      <c r="CQ31" s="217">
        <f>'9.CAPEX'!CR23</f>
        <v>0</v>
      </c>
      <c r="CR31" s="217">
        <f>'9.CAPEX'!CS23</f>
        <v>0</v>
      </c>
      <c r="CS31" s="217">
        <f>'9.CAPEX'!CT23</f>
        <v>0</v>
      </c>
      <c r="CT31" s="217">
        <f>'9.CAPEX'!CU23</f>
        <v>0</v>
      </c>
      <c r="CU31" s="218">
        <f>'9.CAPEX'!CV23</f>
        <v>0</v>
      </c>
      <c r="CV31" s="217">
        <f>'9.CAPEX'!CW23</f>
        <v>0</v>
      </c>
      <c r="CW31" s="217">
        <f>'9.CAPEX'!CX23</f>
        <v>0</v>
      </c>
      <c r="CX31" s="217">
        <f>'9.CAPEX'!CY23</f>
        <v>0</v>
      </c>
      <c r="CY31" s="217">
        <f>'9.CAPEX'!CZ23</f>
        <v>0</v>
      </c>
      <c r="CZ31" s="217">
        <f>'9.CAPEX'!DA23</f>
        <v>0</v>
      </c>
      <c r="DA31" s="217">
        <f>'9.CAPEX'!DB23</f>
        <v>0</v>
      </c>
      <c r="DB31" s="217">
        <f>'9.CAPEX'!DC23</f>
        <v>0</v>
      </c>
      <c r="DC31" s="217">
        <f>'9.CAPEX'!DD23</f>
        <v>0</v>
      </c>
      <c r="DD31" s="217">
        <f>'9.CAPEX'!DE23</f>
        <v>0</v>
      </c>
      <c r="DE31" s="217">
        <f>'9.CAPEX'!DF23</f>
        <v>0</v>
      </c>
      <c r="DF31" s="217">
        <f>'9.CAPEX'!DG23</f>
        <v>0</v>
      </c>
      <c r="DG31" s="218">
        <f>'9.CAPEX'!DH23</f>
        <v>0</v>
      </c>
      <c r="DH31" s="217">
        <f>'9.CAPEX'!DI23</f>
        <v>0</v>
      </c>
      <c r="DI31" s="217">
        <f>'9.CAPEX'!DJ23</f>
        <v>0</v>
      </c>
      <c r="DJ31" s="217">
        <f>'9.CAPEX'!DK23</f>
        <v>0</v>
      </c>
      <c r="DK31" s="217">
        <f>'9.CAPEX'!DL23</f>
        <v>0</v>
      </c>
      <c r="DL31" s="217">
        <f>'9.CAPEX'!DM23</f>
        <v>0</v>
      </c>
      <c r="DM31" s="217">
        <f>'9.CAPEX'!DN23</f>
        <v>0</v>
      </c>
      <c r="DN31" s="217">
        <f>'9.CAPEX'!DO23</f>
        <v>0</v>
      </c>
      <c r="DO31" s="217">
        <f>'9.CAPEX'!DP23</f>
        <v>0</v>
      </c>
      <c r="DP31" s="217">
        <f>'9.CAPEX'!DQ23</f>
        <v>0</v>
      </c>
      <c r="DQ31" s="217">
        <f>'9.CAPEX'!DR23</f>
        <v>0</v>
      </c>
      <c r="DR31" s="217">
        <f>'9.CAPEX'!DS23</f>
        <v>0</v>
      </c>
      <c r="DS31" s="218">
        <f>'9.CAPEX'!DT23</f>
        <v>0</v>
      </c>
      <c r="DT31" s="916"/>
    </row>
    <row r="32" spans="1:124" s="6" customFormat="1" ht="18.75" customHeight="1" thickBot="1" x14ac:dyDescent="0.3">
      <c r="A32" s="140" t="s">
        <v>117</v>
      </c>
      <c r="B32" s="152"/>
      <c r="D32" s="1138">
        <f>'1.Revenue'!E24</f>
        <v>0</v>
      </c>
      <c r="E32" s="1138">
        <f>'1.Revenue'!F24</f>
        <v>0</v>
      </c>
      <c r="F32" s="1138">
        <f>'1.Revenue'!G24</f>
        <v>0</v>
      </c>
      <c r="G32" s="1138">
        <f>'1.Revenue'!H24</f>
        <v>0</v>
      </c>
      <c r="H32" s="1138">
        <f>'1.Revenue'!I24</f>
        <v>0</v>
      </c>
      <c r="I32" s="1138">
        <f>'1.Revenue'!J24</f>
        <v>0</v>
      </c>
      <c r="J32" s="1138">
        <f>'1.Revenue'!K24</f>
        <v>0</v>
      </c>
      <c r="K32" s="1138">
        <f>'1.Revenue'!L24</f>
        <v>0</v>
      </c>
      <c r="L32" s="1138">
        <f>'1.Revenue'!M24</f>
        <v>0</v>
      </c>
      <c r="M32" s="1138">
        <f>'1.Revenue'!N24</f>
        <v>0</v>
      </c>
      <c r="N32" s="1138">
        <f>'1.Revenue'!O24</f>
        <v>0</v>
      </c>
      <c r="O32" s="1139">
        <f>'1.Revenue'!P24</f>
        <v>0</v>
      </c>
      <c r="P32" s="217">
        <f>'1.Revenue'!Q24</f>
        <v>0</v>
      </c>
      <c r="Q32" s="217">
        <f>'1.Revenue'!R24</f>
        <v>0</v>
      </c>
      <c r="R32" s="217">
        <f>'1.Revenue'!S24</f>
        <v>0</v>
      </c>
      <c r="S32" s="217">
        <f>'1.Revenue'!T24</f>
        <v>0</v>
      </c>
      <c r="T32" s="217">
        <f>'1.Revenue'!U24</f>
        <v>0</v>
      </c>
      <c r="U32" s="217">
        <f>'1.Revenue'!V24</f>
        <v>0</v>
      </c>
      <c r="V32" s="217">
        <f>'1.Revenue'!W24</f>
        <v>0</v>
      </c>
      <c r="W32" s="217">
        <f>'1.Revenue'!X24</f>
        <v>0</v>
      </c>
      <c r="X32" s="217">
        <f>'1.Revenue'!Y24</f>
        <v>0</v>
      </c>
      <c r="Y32" s="217">
        <f>'1.Revenue'!Z24</f>
        <v>0</v>
      </c>
      <c r="Z32" s="217">
        <f>'1.Revenue'!AA24</f>
        <v>0</v>
      </c>
      <c r="AA32" s="218">
        <f>'1.Revenue'!AB24</f>
        <v>0</v>
      </c>
      <c r="AB32" s="217">
        <f>'1.Revenue'!AC24</f>
        <v>0</v>
      </c>
      <c r="AC32" s="217">
        <f>'1.Revenue'!AD24</f>
        <v>0</v>
      </c>
      <c r="AD32" s="217">
        <f>'1.Revenue'!AE24</f>
        <v>0</v>
      </c>
      <c r="AE32" s="217">
        <f>'1.Revenue'!AF24</f>
        <v>0</v>
      </c>
      <c r="AF32" s="217">
        <f>'1.Revenue'!AG24</f>
        <v>0</v>
      </c>
      <c r="AG32" s="217">
        <f>'1.Revenue'!AH24</f>
        <v>0</v>
      </c>
      <c r="AH32" s="217">
        <f>'1.Revenue'!AI24</f>
        <v>0</v>
      </c>
      <c r="AI32" s="217">
        <f>'1.Revenue'!AJ24</f>
        <v>0</v>
      </c>
      <c r="AJ32" s="217">
        <f>'1.Revenue'!AK24</f>
        <v>0</v>
      </c>
      <c r="AK32" s="217">
        <f>'1.Revenue'!AL24</f>
        <v>0</v>
      </c>
      <c r="AL32" s="217">
        <f>'1.Revenue'!AM24</f>
        <v>0</v>
      </c>
      <c r="AM32" s="218">
        <f>'1.Revenue'!AN24</f>
        <v>0</v>
      </c>
      <c r="AN32" s="217">
        <f>'1.Revenue'!AO24</f>
        <v>0</v>
      </c>
      <c r="AO32" s="217">
        <f>'1.Revenue'!AP24</f>
        <v>0</v>
      </c>
      <c r="AP32" s="217">
        <f>'1.Revenue'!AQ24</f>
        <v>0</v>
      </c>
      <c r="AQ32" s="217">
        <f>'1.Revenue'!AR24</f>
        <v>0</v>
      </c>
      <c r="AR32" s="217">
        <f>'1.Revenue'!AS24</f>
        <v>0</v>
      </c>
      <c r="AS32" s="217">
        <f>'1.Revenue'!AT24</f>
        <v>0</v>
      </c>
      <c r="AT32" s="217">
        <f>'1.Revenue'!AU24</f>
        <v>0</v>
      </c>
      <c r="AU32" s="217">
        <f>'1.Revenue'!AV24</f>
        <v>0</v>
      </c>
      <c r="AV32" s="217">
        <f>'1.Revenue'!AW24</f>
        <v>0</v>
      </c>
      <c r="AW32" s="217">
        <f>'1.Revenue'!AX24</f>
        <v>0</v>
      </c>
      <c r="AX32" s="217">
        <f>'1.Revenue'!AY24</f>
        <v>0</v>
      </c>
      <c r="AY32" s="218">
        <f>'1.Revenue'!AZ24</f>
        <v>0</v>
      </c>
      <c r="AZ32" s="217">
        <f>'1.Revenue'!BA24</f>
        <v>0</v>
      </c>
      <c r="BA32" s="217">
        <f>'1.Revenue'!BB24</f>
        <v>0</v>
      </c>
      <c r="BB32" s="217">
        <f>'1.Revenue'!BC24</f>
        <v>0</v>
      </c>
      <c r="BC32" s="217">
        <f>'1.Revenue'!BD24</f>
        <v>0</v>
      </c>
      <c r="BD32" s="217">
        <f>'1.Revenue'!BE24</f>
        <v>0</v>
      </c>
      <c r="BE32" s="217">
        <f>'1.Revenue'!BF24</f>
        <v>0</v>
      </c>
      <c r="BF32" s="217">
        <f>'1.Revenue'!BG24</f>
        <v>0</v>
      </c>
      <c r="BG32" s="217">
        <f>'1.Revenue'!BH24</f>
        <v>0</v>
      </c>
      <c r="BH32" s="217">
        <f>'1.Revenue'!BI24</f>
        <v>0</v>
      </c>
      <c r="BI32" s="217">
        <f>'1.Revenue'!BJ24</f>
        <v>0</v>
      </c>
      <c r="BJ32" s="217">
        <f>'1.Revenue'!BK24</f>
        <v>0</v>
      </c>
      <c r="BK32" s="218">
        <f>'1.Revenue'!BL24</f>
        <v>0</v>
      </c>
      <c r="BL32" s="217">
        <f>'1.Revenue'!BM24</f>
        <v>0</v>
      </c>
      <c r="BM32" s="217">
        <f>'1.Revenue'!BN24</f>
        <v>0</v>
      </c>
      <c r="BN32" s="217">
        <f>'1.Revenue'!BO24</f>
        <v>0</v>
      </c>
      <c r="BO32" s="217">
        <f>'1.Revenue'!BP24</f>
        <v>0</v>
      </c>
      <c r="BP32" s="217">
        <f>'1.Revenue'!BQ24</f>
        <v>0</v>
      </c>
      <c r="BQ32" s="217">
        <f>'1.Revenue'!BR24</f>
        <v>0</v>
      </c>
      <c r="BR32" s="217">
        <f>'1.Revenue'!BS24</f>
        <v>0</v>
      </c>
      <c r="BS32" s="217">
        <f>'1.Revenue'!BT24</f>
        <v>0</v>
      </c>
      <c r="BT32" s="217">
        <f>'1.Revenue'!BU24</f>
        <v>0</v>
      </c>
      <c r="BU32" s="217">
        <f>'1.Revenue'!BV24</f>
        <v>0</v>
      </c>
      <c r="BV32" s="217">
        <f>'1.Revenue'!BW24</f>
        <v>0</v>
      </c>
      <c r="BW32" s="218">
        <f>'1.Revenue'!BX24</f>
        <v>0</v>
      </c>
      <c r="BX32" s="217">
        <f>'1.Revenue'!BY24</f>
        <v>0</v>
      </c>
      <c r="BY32" s="217">
        <f>'1.Revenue'!BZ24</f>
        <v>0</v>
      </c>
      <c r="BZ32" s="217">
        <f>'1.Revenue'!CA24</f>
        <v>0</v>
      </c>
      <c r="CA32" s="217">
        <f>'1.Revenue'!CB24</f>
        <v>0</v>
      </c>
      <c r="CB32" s="217">
        <f>'1.Revenue'!CC24</f>
        <v>0</v>
      </c>
      <c r="CC32" s="217">
        <f>'1.Revenue'!CD24</f>
        <v>0</v>
      </c>
      <c r="CD32" s="217">
        <f>'1.Revenue'!CE24</f>
        <v>0</v>
      </c>
      <c r="CE32" s="217">
        <f>'1.Revenue'!CF24</f>
        <v>0</v>
      </c>
      <c r="CF32" s="217">
        <f>'1.Revenue'!CG24</f>
        <v>0</v>
      </c>
      <c r="CG32" s="217">
        <f>'1.Revenue'!CH24</f>
        <v>0</v>
      </c>
      <c r="CH32" s="217">
        <f>'1.Revenue'!CI24</f>
        <v>0</v>
      </c>
      <c r="CI32" s="218">
        <f>'1.Revenue'!CJ24</f>
        <v>0</v>
      </c>
      <c r="CJ32" s="217">
        <f>'1.Revenue'!CK24</f>
        <v>0</v>
      </c>
      <c r="CK32" s="217">
        <f>'1.Revenue'!CL24</f>
        <v>0</v>
      </c>
      <c r="CL32" s="217">
        <f>'1.Revenue'!CM24</f>
        <v>0</v>
      </c>
      <c r="CM32" s="217">
        <f>'1.Revenue'!CN24</f>
        <v>0</v>
      </c>
      <c r="CN32" s="217">
        <f>'1.Revenue'!CO24</f>
        <v>0</v>
      </c>
      <c r="CO32" s="217">
        <f>'1.Revenue'!CP24</f>
        <v>0</v>
      </c>
      <c r="CP32" s="217">
        <f>'1.Revenue'!CQ24</f>
        <v>0</v>
      </c>
      <c r="CQ32" s="217">
        <f>'1.Revenue'!CR24</f>
        <v>0</v>
      </c>
      <c r="CR32" s="217">
        <f>'1.Revenue'!CS24</f>
        <v>0</v>
      </c>
      <c r="CS32" s="217">
        <f>'1.Revenue'!CT24</f>
        <v>0</v>
      </c>
      <c r="CT32" s="217">
        <f>'1.Revenue'!CU24</f>
        <v>0</v>
      </c>
      <c r="CU32" s="218">
        <f>'1.Revenue'!CV24</f>
        <v>0</v>
      </c>
      <c r="CV32" s="217">
        <f>'1.Revenue'!CW24</f>
        <v>0</v>
      </c>
      <c r="CW32" s="217">
        <f>'1.Revenue'!CX24</f>
        <v>0</v>
      </c>
      <c r="CX32" s="217">
        <f>'1.Revenue'!CY24</f>
        <v>0</v>
      </c>
      <c r="CY32" s="217">
        <f>'1.Revenue'!CZ24</f>
        <v>0</v>
      </c>
      <c r="CZ32" s="217">
        <f>'1.Revenue'!DA24</f>
        <v>0</v>
      </c>
      <c r="DA32" s="217">
        <f>'1.Revenue'!DB24</f>
        <v>0</v>
      </c>
      <c r="DB32" s="217">
        <f>'1.Revenue'!DC24</f>
        <v>0</v>
      </c>
      <c r="DC32" s="217">
        <f>'1.Revenue'!DD24</f>
        <v>0</v>
      </c>
      <c r="DD32" s="217">
        <f>'1.Revenue'!DE24</f>
        <v>0</v>
      </c>
      <c r="DE32" s="217">
        <f>'1.Revenue'!DF24</f>
        <v>0</v>
      </c>
      <c r="DF32" s="217">
        <f>'1.Revenue'!DG24</f>
        <v>0</v>
      </c>
      <c r="DG32" s="218">
        <f>'1.Revenue'!DH24</f>
        <v>0</v>
      </c>
      <c r="DH32" s="217">
        <f>'1.Revenue'!DI24</f>
        <v>0</v>
      </c>
      <c r="DI32" s="217">
        <f>'1.Revenue'!DJ24</f>
        <v>0</v>
      </c>
      <c r="DJ32" s="217">
        <f>'1.Revenue'!DK24</f>
        <v>0</v>
      </c>
      <c r="DK32" s="217">
        <f>'1.Revenue'!DL24</f>
        <v>0</v>
      </c>
      <c r="DL32" s="217">
        <f>'1.Revenue'!DM24</f>
        <v>0</v>
      </c>
      <c r="DM32" s="217">
        <f>'1.Revenue'!DN24</f>
        <v>0</v>
      </c>
      <c r="DN32" s="217">
        <f>'1.Revenue'!DO24</f>
        <v>0</v>
      </c>
      <c r="DO32" s="217">
        <f>'1.Revenue'!DP24</f>
        <v>0</v>
      </c>
      <c r="DP32" s="217">
        <f>'1.Revenue'!DQ24</f>
        <v>0</v>
      </c>
      <c r="DQ32" s="217">
        <f>'1.Revenue'!DR24</f>
        <v>0</v>
      </c>
      <c r="DR32" s="217">
        <f>'1.Revenue'!DS24</f>
        <v>0</v>
      </c>
      <c r="DS32" s="218">
        <f>'1.Revenue'!DT24</f>
        <v>0</v>
      </c>
      <c r="DT32" s="916"/>
    </row>
    <row r="33" spans="1:134" s="6" customFormat="1" ht="26.25" customHeight="1" thickBot="1" x14ac:dyDescent="0.35">
      <c r="A33" s="1332" t="s">
        <v>118</v>
      </c>
      <c r="B33" s="1333"/>
      <c r="D33" s="1135">
        <f t="shared" ref="D33:M33" si="28">SUM(D31:D32)</f>
        <v>-3335223.6699384619</v>
      </c>
      <c r="E33" s="1135">
        <f t="shared" si="28"/>
        <v>-2877577.0320210825</v>
      </c>
      <c r="F33" s="1135">
        <f t="shared" si="28"/>
        <v>-2130961.4070210825</v>
      </c>
      <c r="G33" s="1135">
        <f t="shared" si="28"/>
        <v>-4583551.407021082</v>
      </c>
      <c r="H33" s="1135">
        <f t="shared" si="28"/>
        <v>-4583551.407021082</v>
      </c>
      <c r="I33" s="1135">
        <f t="shared" si="28"/>
        <v>-3697351.4070210825</v>
      </c>
      <c r="J33" s="1135">
        <f t="shared" si="28"/>
        <v>-2705167.0320210825</v>
      </c>
      <c r="K33" s="1135">
        <f t="shared" si="28"/>
        <v>-4077681.319073949</v>
      </c>
      <c r="L33" s="1135">
        <f t="shared" si="28"/>
        <v>-4077681.319073949</v>
      </c>
      <c r="M33" s="1135">
        <f t="shared" si="28"/>
        <v>-2862778.819073949</v>
      </c>
      <c r="N33" s="1135">
        <f t="shared" ref="N33:R33" si="29">SUM(N31:N32)</f>
        <v>-1490264.5320210827</v>
      </c>
      <c r="O33" s="1136">
        <f t="shared" si="29"/>
        <v>-252577.03202108268</v>
      </c>
      <c r="P33" s="230">
        <f t="shared" si="29"/>
        <v>-734324.2507710827</v>
      </c>
      <c r="Q33" s="230">
        <f t="shared" si="29"/>
        <v>-734324.2507710827</v>
      </c>
      <c r="R33" s="230">
        <f t="shared" si="29"/>
        <v>-734324.2507710827</v>
      </c>
      <c r="S33" s="230">
        <f t="shared" ref="S33:CB33" si="30">SUM(S31:S32)</f>
        <v>-734324.2507710827</v>
      </c>
      <c r="T33" s="230">
        <f t="shared" si="30"/>
        <v>-734324.2507710827</v>
      </c>
      <c r="U33" s="230">
        <f t="shared" si="30"/>
        <v>-734324.2507710827</v>
      </c>
      <c r="V33" s="230">
        <f t="shared" si="30"/>
        <v>-734324.2507710827</v>
      </c>
      <c r="W33" s="230">
        <f t="shared" si="30"/>
        <v>-734324.2507710827</v>
      </c>
      <c r="X33" s="230">
        <f t="shared" si="30"/>
        <v>-481747.21875</v>
      </c>
      <c r="Y33" s="230">
        <f t="shared" si="30"/>
        <v>-481747.21875</v>
      </c>
      <c r="Z33" s="230">
        <f t="shared" si="30"/>
        <v>-481747.21875</v>
      </c>
      <c r="AA33" s="231">
        <f t="shared" si="30"/>
        <v>-481747.21875</v>
      </c>
      <c r="AB33" s="230">
        <f t="shared" si="30"/>
        <v>-481747.21875</v>
      </c>
      <c r="AC33" s="230">
        <f t="shared" si="30"/>
        <v>-481747.21875</v>
      </c>
      <c r="AD33" s="230">
        <f t="shared" si="30"/>
        <v>-481747.21875</v>
      </c>
      <c r="AE33" s="230">
        <f t="shared" si="30"/>
        <v>-481747.21875</v>
      </c>
      <c r="AF33" s="230">
        <f t="shared" si="30"/>
        <v>0</v>
      </c>
      <c r="AG33" s="230">
        <f t="shared" si="30"/>
        <v>0</v>
      </c>
      <c r="AH33" s="230">
        <f t="shared" si="30"/>
        <v>0</v>
      </c>
      <c r="AI33" s="230">
        <f t="shared" si="30"/>
        <v>0</v>
      </c>
      <c r="AJ33" s="230">
        <f t="shared" si="30"/>
        <v>0</v>
      </c>
      <c r="AK33" s="230">
        <f t="shared" si="30"/>
        <v>0</v>
      </c>
      <c r="AL33" s="230">
        <f t="shared" si="30"/>
        <v>0</v>
      </c>
      <c r="AM33" s="231">
        <f t="shared" si="30"/>
        <v>0</v>
      </c>
      <c r="AN33" s="230">
        <f t="shared" si="30"/>
        <v>0</v>
      </c>
      <c r="AO33" s="230">
        <f t="shared" si="30"/>
        <v>0</v>
      </c>
      <c r="AP33" s="230">
        <f t="shared" si="30"/>
        <v>0</v>
      </c>
      <c r="AQ33" s="230">
        <f t="shared" si="30"/>
        <v>0</v>
      </c>
      <c r="AR33" s="230">
        <f t="shared" si="30"/>
        <v>0</v>
      </c>
      <c r="AS33" s="230">
        <f t="shared" si="30"/>
        <v>0</v>
      </c>
      <c r="AT33" s="230">
        <f t="shared" si="30"/>
        <v>0</v>
      </c>
      <c r="AU33" s="230">
        <f t="shared" si="30"/>
        <v>0</v>
      </c>
      <c r="AV33" s="230">
        <f t="shared" si="30"/>
        <v>0</v>
      </c>
      <c r="AW33" s="230">
        <f t="shared" si="30"/>
        <v>0</v>
      </c>
      <c r="AX33" s="230">
        <f t="shared" si="30"/>
        <v>0</v>
      </c>
      <c r="AY33" s="231">
        <f t="shared" si="30"/>
        <v>0</v>
      </c>
      <c r="AZ33" s="230">
        <f t="shared" si="30"/>
        <v>0</v>
      </c>
      <c r="BA33" s="230">
        <f t="shared" si="30"/>
        <v>0</v>
      </c>
      <c r="BB33" s="230">
        <f t="shared" si="30"/>
        <v>0</v>
      </c>
      <c r="BC33" s="230">
        <f t="shared" si="30"/>
        <v>0</v>
      </c>
      <c r="BD33" s="230">
        <f t="shared" si="30"/>
        <v>0</v>
      </c>
      <c r="BE33" s="230">
        <f t="shared" si="30"/>
        <v>0</v>
      </c>
      <c r="BF33" s="230">
        <f t="shared" si="30"/>
        <v>0</v>
      </c>
      <c r="BG33" s="230">
        <f t="shared" si="30"/>
        <v>0</v>
      </c>
      <c r="BH33" s="230">
        <f t="shared" si="30"/>
        <v>0</v>
      </c>
      <c r="BI33" s="230">
        <f t="shared" si="30"/>
        <v>0</v>
      </c>
      <c r="BJ33" s="230">
        <f t="shared" si="30"/>
        <v>0</v>
      </c>
      <c r="BK33" s="231">
        <f t="shared" si="30"/>
        <v>0</v>
      </c>
      <c r="BL33" s="230">
        <f t="shared" si="30"/>
        <v>0</v>
      </c>
      <c r="BM33" s="230">
        <f t="shared" si="30"/>
        <v>0</v>
      </c>
      <c r="BN33" s="230">
        <f t="shared" si="30"/>
        <v>0</v>
      </c>
      <c r="BO33" s="230">
        <f t="shared" si="30"/>
        <v>0</v>
      </c>
      <c r="BP33" s="230">
        <f t="shared" si="30"/>
        <v>0</v>
      </c>
      <c r="BQ33" s="230">
        <f t="shared" si="30"/>
        <v>0</v>
      </c>
      <c r="BR33" s="230">
        <f t="shared" si="30"/>
        <v>0</v>
      </c>
      <c r="BS33" s="230">
        <f t="shared" si="30"/>
        <v>0</v>
      </c>
      <c r="BT33" s="230">
        <f t="shared" si="30"/>
        <v>0</v>
      </c>
      <c r="BU33" s="230">
        <f t="shared" si="30"/>
        <v>0</v>
      </c>
      <c r="BV33" s="230">
        <f t="shared" si="30"/>
        <v>0</v>
      </c>
      <c r="BW33" s="231">
        <f t="shared" si="30"/>
        <v>0</v>
      </c>
      <c r="BX33" s="230">
        <f t="shared" si="30"/>
        <v>0</v>
      </c>
      <c r="BY33" s="230">
        <f t="shared" si="30"/>
        <v>0</v>
      </c>
      <c r="BZ33" s="230">
        <f t="shared" si="30"/>
        <v>0</v>
      </c>
      <c r="CA33" s="230">
        <f t="shared" si="30"/>
        <v>0</v>
      </c>
      <c r="CB33" s="230">
        <f t="shared" si="30"/>
        <v>0</v>
      </c>
      <c r="CC33" s="230">
        <f t="shared" ref="CC33:DS33" si="31">SUM(CC31:CC32)</f>
        <v>0</v>
      </c>
      <c r="CD33" s="230">
        <f t="shared" si="31"/>
        <v>0</v>
      </c>
      <c r="CE33" s="230">
        <f t="shared" si="31"/>
        <v>0</v>
      </c>
      <c r="CF33" s="230">
        <f t="shared" si="31"/>
        <v>0</v>
      </c>
      <c r="CG33" s="230">
        <f t="shared" si="31"/>
        <v>0</v>
      </c>
      <c r="CH33" s="230">
        <f t="shared" si="31"/>
        <v>0</v>
      </c>
      <c r="CI33" s="231">
        <f t="shared" si="31"/>
        <v>0</v>
      </c>
      <c r="CJ33" s="230">
        <f t="shared" si="31"/>
        <v>0</v>
      </c>
      <c r="CK33" s="230">
        <f t="shared" si="31"/>
        <v>0</v>
      </c>
      <c r="CL33" s="230">
        <f t="shared" si="31"/>
        <v>0</v>
      </c>
      <c r="CM33" s="230">
        <f t="shared" si="31"/>
        <v>0</v>
      </c>
      <c r="CN33" s="230">
        <f t="shared" si="31"/>
        <v>0</v>
      </c>
      <c r="CO33" s="230">
        <f t="shared" si="31"/>
        <v>0</v>
      </c>
      <c r="CP33" s="230">
        <f t="shared" si="31"/>
        <v>0</v>
      </c>
      <c r="CQ33" s="230">
        <f t="shared" si="31"/>
        <v>0</v>
      </c>
      <c r="CR33" s="230">
        <f t="shared" si="31"/>
        <v>0</v>
      </c>
      <c r="CS33" s="230">
        <f t="shared" si="31"/>
        <v>0</v>
      </c>
      <c r="CT33" s="230">
        <f t="shared" si="31"/>
        <v>0</v>
      </c>
      <c r="CU33" s="231">
        <f t="shared" si="31"/>
        <v>0</v>
      </c>
      <c r="CV33" s="230">
        <f t="shared" si="31"/>
        <v>0</v>
      </c>
      <c r="CW33" s="230">
        <f t="shared" si="31"/>
        <v>0</v>
      </c>
      <c r="CX33" s="230">
        <f t="shared" si="31"/>
        <v>0</v>
      </c>
      <c r="CY33" s="230">
        <f t="shared" si="31"/>
        <v>0</v>
      </c>
      <c r="CZ33" s="230">
        <f t="shared" si="31"/>
        <v>0</v>
      </c>
      <c r="DA33" s="230">
        <f t="shared" si="31"/>
        <v>0</v>
      </c>
      <c r="DB33" s="230">
        <f t="shared" si="31"/>
        <v>0</v>
      </c>
      <c r="DC33" s="230">
        <f t="shared" si="31"/>
        <v>0</v>
      </c>
      <c r="DD33" s="230">
        <f t="shared" si="31"/>
        <v>0</v>
      </c>
      <c r="DE33" s="230">
        <f t="shared" si="31"/>
        <v>0</v>
      </c>
      <c r="DF33" s="230">
        <f t="shared" si="31"/>
        <v>0</v>
      </c>
      <c r="DG33" s="231">
        <f t="shared" si="31"/>
        <v>0</v>
      </c>
      <c r="DH33" s="230">
        <f t="shared" si="31"/>
        <v>0</v>
      </c>
      <c r="DI33" s="230">
        <f t="shared" si="31"/>
        <v>0</v>
      </c>
      <c r="DJ33" s="230">
        <f t="shared" si="31"/>
        <v>0</v>
      </c>
      <c r="DK33" s="230">
        <f t="shared" si="31"/>
        <v>0</v>
      </c>
      <c r="DL33" s="230">
        <f t="shared" si="31"/>
        <v>0</v>
      </c>
      <c r="DM33" s="230">
        <f t="shared" si="31"/>
        <v>0</v>
      </c>
      <c r="DN33" s="230">
        <f t="shared" si="31"/>
        <v>0</v>
      </c>
      <c r="DO33" s="230">
        <f t="shared" si="31"/>
        <v>0</v>
      </c>
      <c r="DP33" s="230">
        <f t="shared" si="31"/>
        <v>0</v>
      </c>
      <c r="DQ33" s="230">
        <f t="shared" si="31"/>
        <v>0</v>
      </c>
      <c r="DR33" s="230">
        <f t="shared" si="31"/>
        <v>0</v>
      </c>
      <c r="DS33" s="231">
        <f t="shared" si="31"/>
        <v>0</v>
      </c>
      <c r="DT33" s="916"/>
    </row>
    <row r="34" spans="1:134" s="31" customFormat="1" ht="26.25" customHeight="1" x14ac:dyDescent="0.25">
      <c r="A34" s="239"/>
      <c r="B34" s="240"/>
      <c r="D34" s="1334"/>
      <c r="E34" s="1334"/>
      <c r="F34" s="1334"/>
      <c r="G34" s="1334"/>
      <c r="H34" s="1334"/>
      <c r="I34" s="1334"/>
      <c r="J34" s="1334"/>
      <c r="K34" s="1334"/>
      <c r="L34" s="1334"/>
      <c r="M34" s="1334"/>
      <c r="N34" s="1334"/>
      <c r="O34" s="1335"/>
      <c r="P34" s="242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909"/>
      <c r="AB34" s="910"/>
      <c r="AC34" s="242"/>
      <c r="AD34" s="241"/>
      <c r="AE34" s="241"/>
      <c r="AF34" s="241"/>
      <c r="AG34" s="241"/>
      <c r="AH34" s="241"/>
      <c r="AI34" s="241"/>
      <c r="AJ34" s="241"/>
      <c r="AK34" s="241"/>
      <c r="AL34" s="241"/>
      <c r="AM34" s="909"/>
      <c r="AN34" s="910"/>
      <c r="AO34" s="242"/>
      <c r="AP34" s="241"/>
      <c r="AQ34" s="241"/>
      <c r="AR34" s="241"/>
      <c r="AS34" s="241"/>
      <c r="AT34" s="241"/>
      <c r="AU34" s="241"/>
      <c r="AV34" s="241"/>
      <c r="AW34" s="241"/>
      <c r="AX34" s="241"/>
      <c r="AY34" s="909"/>
      <c r="AZ34" s="910"/>
      <c r="BA34" s="242"/>
      <c r="BB34" s="241"/>
      <c r="BC34" s="241"/>
      <c r="BD34" s="241"/>
      <c r="BE34" s="241"/>
      <c r="BF34" s="241"/>
      <c r="BG34" s="241"/>
      <c r="BH34" s="241"/>
      <c r="BI34" s="241"/>
      <c r="BJ34" s="241"/>
      <c r="BK34" s="909"/>
      <c r="BL34" s="910"/>
      <c r="BM34" s="242"/>
      <c r="BN34" s="241"/>
      <c r="BO34" s="241"/>
      <c r="BP34" s="241"/>
      <c r="BQ34" s="241"/>
      <c r="BR34" s="241"/>
      <c r="BS34" s="241"/>
      <c r="BT34" s="241"/>
      <c r="BU34" s="241"/>
      <c r="BV34" s="241"/>
      <c r="BW34" s="909"/>
      <c r="BX34" s="910"/>
      <c r="BY34" s="242"/>
      <c r="BZ34" s="241"/>
      <c r="CA34" s="241"/>
      <c r="CB34" s="241"/>
      <c r="CC34" s="241"/>
      <c r="CD34" s="241"/>
      <c r="CE34" s="241"/>
      <c r="CF34" s="241"/>
      <c r="CG34" s="241"/>
      <c r="CH34" s="241"/>
      <c r="CI34" s="909"/>
      <c r="CJ34" s="910"/>
      <c r="CK34" s="242"/>
      <c r="CL34" s="241"/>
      <c r="CM34" s="241"/>
      <c r="CN34" s="241"/>
      <c r="CO34" s="241"/>
      <c r="CP34" s="241"/>
      <c r="CQ34" s="241"/>
      <c r="CR34" s="241"/>
      <c r="CS34" s="241"/>
      <c r="CT34" s="241"/>
      <c r="CU34" s="909"/>
      <c r="CV34" s="910"/>
      <c r="CW34" s="242"/>
      <c r="CX34" s="241"/>
      <c r="CY34" s="241"/>
      <c r="CZ34" s="241"/>
      <c r="DA34" s="241"/>
      <c r="DB34" s="241"/>
      <c r="DC34" s="241"/>
      <c r="DD34" s="241"/>
      <c r="DE34" s="241"/>
      <c r="DF34" s="241"/>
      <c r="DG34" s="909"/>
      <c r="DH34" s="910"/>
      <c r="DI34" s="242"/>
      <c r="DJ34" s="241"/>
      <c r="DK34" s="241"/>
      <c r="DL34" s="241"/>
      <c r="DM34" s="241"/>
      <c r="DN34" s="241"/>
      <c r="DO34" s="241"/>
      <c r="DP34" s="241"/>
      <c r="DQ34" s="241"/>
      <c r="DR34" s="241"/>
      <c r="DS34" s="909"/>
      <c r="DT34" s="916"/>
    </row>
    <row r="35" spans="1:134" s="6" customFormat="1" ht="26.25" customHeight="1" x14ac:dyDescent="0.3">
      <c r="A35" s="142" t="s">
        <v>119</v>
      </c>
      <c r="B35" s="238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5"/>
      <c r="P35" s="119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907"/>
      <c r="AB35" s="119"/>
      <c r="AC35" s="120"/>
      <c r="AD35" s="120"/>
      <c r="AE35" s="913"/>
      <c r="AF35" s="914"/>
      <c r="AG35" s="193"/>
      <c r="AH35" s="193"/>
      <c r="AI35" s="193"/>
      <c r="AJ35" s="193"/>
      <c r="AK35" s="193"/>
      <c r="AL35" s="193"/>
      <c r="AM35" s="915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915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915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915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915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915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915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915"/>
      <c r="DT35" s="916"/>
    </row>
    <row r="36" spans="1:134" s="6" customFormat="1" ht="18.75" customHeight="1" x14ac:dyDescent="0.25">
      <c r="A36" s="140" t="s">
        <v>121</v>
      </c>
      <c r="B36" s="152"/>
      <c r="D36" s="404">
        <f>'7.Finance Costs'!C6</f>
        <v>0</v>
      </c>
      <c r="E36" s="404">
        <f>'7.Finance Costs'!D6</f>
        <v>0</v>
      </c>
      <c r="F36" s="404">
        <f>'7.Finance Costs'!E6</f>
        <v>0</v>
      </c>
      <c r="G36" s="404">
        <f>'7.Finance Costs'!F6</f>
        <v>0</v>
      </c>
      <c r="H36" s="404">
        <f>'7.Finance Costs'!G6</f>
        <v>0</v>
      </c>
      <c r="I36" s="404">
        <f>'7.Finance Costs'!H6</f>
        <v>0</v>
      </c>
      <c r="J36" s="404">
        <f>'7.Finance Costs'!I6</f>
        <v>0</v>
      </c>
      <c r="K36" s="404">
        <f>'7.Finance Costs'!J6</f>
        <v>0</v>
      </c>
      <c r="L36" s="404">
        <f>'7.Finance Costs'!K6</f>
        <v>0</v>
      </c>
      <c r="M36" s="404">
        <f>'7.Finance Costs'!L6</f>
        <v>0</v>
      </c>
      <c r="N36" s="404">
        <f>'7.Finance Costs'!M6</f>
        <v>0</v>
      </c>
      <c r="O36" s="497">
        <f>'7.Finance Costs'!N6</f>
        <v>0</v>
      </c>
      <c r="P36" s="217">
        <f>'7.Finance Costs'!O6</f>
        <v>0</v>
      </c>
      <c r="Q36" s="217">
        <f>'7.Finance Costs'!P6</f>
        <v>0</v>
      </c>
      <c r="R36" s="217">
        <f>'7.Finance Costs'!Q6</f>
        <v>0</v>
      </c>
      <c r="S36" s="217">
        <f>'7.Finance Costs'!R6</f>
        <v>0</v>
      </c>
      <c r="T36" s="217">
        <f>'7.Finance Costs'!S6</f>
        <v>0</v>
      </c>
      <c r="U36" s="217">
        <f>'7.Finance Costs'!T6</f>
        <v>0</v>
      </c>
      <c r="V36" s="217">
        <f>'7.Finance Costs'!U6</f>
        <v>0</v>
      </c>
      <c r="W36" s="217">
        <f>'7.Finance Costs'!V6</f>
        <v>0</v>
      </c>
      <c r="X36" s="217">
        <f>'7.Finance Costs'!W6</f>
        <v>0</v>
      </c>
      <c r="Y36" s="217">
        <f>'7.Finance Costs'!X6</f>
        <v>0</v>
      </c>
      <c r="Z36" s="217">
        <f>'7.Finance Costs'!Y6</f>
        <v>0</v>
      </c>
      <c r="AA36" s="218">
        <f>'7.Finance Costs'!Z6</f>
        <v>0</v>
      </c>
      <c r="AB36" s="217">
        <f>'7.Finance Costs'!AA6</f>
        <v>0</v>
      </c>
      <c r="AC36" s="217">
        <f>'7.Finance Costs'!AB6</f>
        <v>0</v>
      </c>
      <c r="AD36" s="217">
        <f>'7.Finance Costs'!AC6</f>
        <v>0</v>
      </c>
      <c r="AE36" s="217">
        <f>'7.Finance Costs'!AD6</f>
        <v>0</v>
      </c>
      <c r="AF36" s="217">
        <f>'7.Finance Costs'!AE6</f>
        <v>0</v>
      </c>
      <c r="AG36" s="217">
        <f>'7.Finance Costs'!AF6</f>
        <v>0</v>
      </c>
      <c r="AH36" s="217">
        <f>'7.Finance Costs'!AG6</f>
        <v>0</v>
      </c>
      <c r="AI36" s="217">
        <f>'7.Finance Costs'!AH6</f>
        <v>0</v>
      </c>
      <c r="AJ36" s="217">
        <f>'7.Finance Costs'!AI6</f>
        <v>0</v>
      </c>
      <c r="AK36" s="217">
        <f>'7.Finance Costs'!AJ6</f>
        <v>0</v>
      </c>
      <c r="AL36" s="217">
        <f>'7.Finance Costs'!AK6</f>
        <v>0</v>
      </c>
      <c r="AM36" s="218">
        <f>'7.Finance Costs'!AL6</f>
        <v>0</v>
      </c>
      <c r="AN36" s="217">
        <f>'7.Finance Costs'!AM6</f>
        <v>0</v>
      </c>
      <c r="AO36" s="217">
        <f>'7.Finance Costs'!AN6</f>
        <v>0</v>
      </c>
      <c r="AP36" s="217">
        <f>'7.Finance Costs'!AO6</f>
        <v>0</v>
      </c>
      <c r="AQ36" s="217">
        <f>'7.Finance Costs'!AP6</f>
        <v>0</v>
      </c>
      <c r="AR36" s="217">
        <f>'7.Finance Costs'!AQ6</f>
        <v>0</v>
      </c>
      <c r="AS36" s="217">
        <f>'7.Finance Costs'!AR6</f>
        <v>0</v>
      </c>
      <c r="AT36" s="217">
        <f>'7.Finance Costs'!AS6</f>
        <v>0</v>
      </c>
      <c r="AU36" s="217">
        <f>'7.Finance Costs'!AT6</f>
        <v>0</v>
      </c>
      <c r="AV36" s="217">
        <f>'7.Finance Costs'!AU6</f>
        <v>0</v>
      </c>
      <c r="AW36" s="217">
        <f>'7.Finance Costs'!AV6</f>
        <v>0</v>
      </c>
      <c r="AX36" s="217">
        <f>'7.Finance Costs'!AW6</f>
        <v>0</v>
      </c>
      <c r="AY36" s="218">
        <f>'7.Finance Costs'!AX6</f>
        <v>0</v>
      </c>
      <c r="AZ36" s="217">
        <f>'7.Finance Costs'!AY6</f>
        <v>0</v>
      </c>
      <c r="BA36" s="217">
        <f>'7.Finance Costs'!AZ6</f>
        <v>0</v>
      </c>
      <c r="BB36" s="217">
        <f>'7.Finance Costs'!BA6</f>
        <v>0</v>
      </c>
      <c r="BC36" s="217">
        <f>'7.Finance Costs'!BB6</f>
        <v>0</v>
      </c>
      <c r="BD36" s="217">
        <f>'7.Finance Costs'!BC6</f>
        <v>0</v>
      </c>
      <c r="BE36" s="217">
        <f>'7.Finance Costs'!BD6</f>
        <v>0</v>
      </c>
      <c r="BF36" s="217">
        <f>'7.Finance Costs'!BE6</f>
        <v>0</v>
      </c>
      <c r="BG36" s="217">
        <f>'7.Finance Costs'!BF6</f>
        <v>0</v>
      </c>
      <c r="BH36" s="217">
        <f>'7.Finance Costs'!BG6</f>
        <v>0</v>
      </c>
      <c r="BI36" s="217">
        <f>'7.Finance Costs'!BH6</f>
        <v>0</v>
      </c>
      <c r="BJ36" s="217">
        <f>'7.Finance Costs'!BI6</f>
        <v>0</v>
      </c>
      <c r="BK36" s="218">
        <f>'7.Finance Costs'!BJ6</f>
        <v>0</v>
      </c>
      <c r="BL36" s="217">
        <f>'7.Finance Costs'!BK6</f>
        <v>0</v>
      </c>
      <c r="BM36" s="217">
        <f>'7.Finance Costs'!BL6</f>
        <v>0</v>
      </c>
      <c r="BN36" s="217">
        <f>'7.Finance Costs'!BM6</f>
        <v>0</v>
      </c>
      <c r="BO36" s="217">
        <f>'7.Finance Costs'!BN6</f>
        <v>0</v>
      </c>
      <c r="BP36" s="217">
        <f>'7.Finance Costs'!BO6</f>
        <v>0</v>
      </c>
      <c r="BQ36" s="217">
        <f>'7.Finance Costs'!BP6</f>
        <v>0</v>
      </c>
      <c r="BR36" s="217">
        <f>'7.Finance Costs'!BQ6</f>
        <v>0</v>
      </c>
      <c r="BS36" s="217">
        <f>'7.Finance Costs'!BR6</f>
        <v>0</v>
      </c>
      <c r="BT36" s="217">
        <f>'7.Finance Costs'!BS6</f>
        <v>0</v>
      </c>
      <c r="BU36" s="217">
        <f>'7.Finance Costs'!BT6</f>
        <v>0</v>
      </c>
      <c r="BV36" s="217">
        <f>'7.Finance Costs'!BU6</f>
        <v>0</v>
      </c>
      <c r="BW36" s="218">
        <f>'7.Finance Costs'!BV6</f>
        <v>0</v>
      </c>
      <c r="BX36" s="217">
        <f>'7.Finance Costs'!BW6</f>
        <v>0</v>
      </c>
      <c r="BY36" s="217">
        <f>'7.Finance Costs'!BX6</f>
        <v>0</v>
      </c>
      <c r="BZ36" s="217">
        <f>'7.Finance Costs'!BY6</f>
        <v>0</v>
      </c>
      <c r="CA36" s="217">
        <f>'7.Finance Costs'!BZ6</f>
        <v>0</v>
      </c>
      <c r="CB36" s="217">
        <f>'7.Finance Costs'!CA6</f>
        <v>0</v>
      </c>
      <c r="CC36" s="217">
        <f>'7.Finance Costs'!CB6</f>
        <v>0</v>
      </c>
      <c r="CD36" s="217">
        <f>'7.Finance Costs'!CC6</f>
        <v>0</v>
      </c>
      <c r="CE36" s="217">
        <f>'7.Finance Costs'!CD6</f>
        <v>0</v>
      </c>
      <c r="CF36" s="217">
        <f>'7.Finance Costs'!CE6</f>
        <v>0</v>
      </c>
      <c r="CG36" s="217">
        <f>'7.Finance Costs'!CF6</f>
        <v>0</v>
      </c>
      <c r="CH36" s="217">
        <f>'7.Finance Costs'!CG6</f>
        <v>0</v>
      </c>
      <c r="CI36" s="218">
        <f>'7.Finance Costs'!CH6</f>
        <v>0</v>
      </c>
      <c r="CJ36" s="217">
        <f>'7.Finance Costs'!CI6</f>
        <v>0</v>
      </c>
      <c r="CK36" s="217">
        <f>'7.Finance Costs'!CJ6</f>
        <v>0</v>
      </c>
      <c r="CL36" s="217">
        <f>'7.Finance Costs'!CK6</f>
        <v>0</v>
      </c>
      <c r="CM36" s="217">
        <f>'7.Finance Costs'!CL6</f>
        <v>0</v>
      </c>
      <c r="CN36" s="217">
        <f>'7.Finance Costs'!CM6</f>
        <v>0</v>
      </c>
      <c r="CO36" s="217">
        <f>'7.Finance Costs'!CN6</f>
        <v>0</v>
      </c>
      <c r="CP36" s="217">
        <f>'7.Finance Costs'!CO6</f>
        <v>0</v>
      </c>
      <c r="CQ36" s="217">
        <f>'7.Finance Costs'!CP6</f>
        <v>0</v>
      </c>
      <c r="CR36" s="217">
        <f>'7.Finance Costs'!CQ6</f>
        <v>0</v>
      </c>
      <c r="CS36" s="217">
        <f>'7.Finance Costs'!CR6</f>
        <v>0</v>
      </c>
      <c r="CT36" s="217">
        <f>'7.Finance Costs'!CS6</f>
        <v>0</v>
      </c>
      <c r="CU36" s="218">
        <f>'7.Finance Costs'!CT6</f>
        <v>0</v>
      </c>
      <c r="CV36" s="217">
        <f>'7.Finance Costs'!CU6</f>
        <v>0</v>
      </c>
      <c r="CW36" s="217">
        <f>'7.Finance Costs'!CV6</f>
        <v>0</v>
      </c>
      <c r="CX36" s="217">
        <f>'7.Finance Costs'!CW6</f>
        <v>0</v>
      </c>
      <c r="CY36" s="217">
        <f>'7.Finance Costs'!CX6</f>
        <v>0</v>
      </c>
      <c r="CZ36" s="217">
        <f>'7.Finance Costs'!CY6</f>
        <v>0</v>
      </c>
      <c r="DA36" s="217">
        <f>'7.Finance Costs'!CZ6</f>
        <v>0</v>
      </c>
      <c r="DB36" s="217">
        <f>'7.Finance Costs'!DA6</f>
        <v>0</v>
      </c>
      <c r="DC36" s="217">
        <f>'7.Finance Costs'!DB6</f>
        <v>0</v>
      </c>
      <c r="DD36" s="217">
        <f>'7.Finance Costs'!DC6</f>
        <v>0</v>
      </c>
      <c r="DE36" s="217">
        <f>'7.Finance Costs'!DD6</f>
        <v>0</v>
      </c>
      <c r="DF36" s="217">
        <f>'7.Finance Costs'!DE6</f>
        <v>0</v>
      </c>
      <c r="DG36" s="218">
        <f>'7.Finance Costs'!DF6</f>
        <v>0</v>
      </c>
      <c r="DH36" s="217">
        <f>'7.Finance Costs'!DG6</f>
        <v>0</v>
      </c>
      <c r="DI36" s="217">
        <f>'7.Finance Costs'!DH6</f>
        <v>0</v>
      </c>
      <c r="DJ36" s="217">
        <f>'7.Finance Costs'!DI6</f>
        <v>0</v>
      </c>
      <c r="DK36" s="217">
        <f>'7.Finance Costs'!DJ6</f>
        <v>0</v>
      </c>
      <c r="DL36" s="217">
        <f>'7.Finance Costs'!DK6</f>
        <v>0</v>
      </c>
      <c r="DM36" s="217">
        <f>'7.Finance Costs'!DL6</f>
        <v>0</v>
      </c>
      <c r="DN36" s="217">
        <f>'7.Finance Costs'!DM6</f>
        <v>0</v>
      </c>
      <c r="DO36" s="217">
        <f>'7.Finance Costs'!DN6</f>
        <v>0</v>
      </c>
      <c r="DP36" s="217">
        <f>'7.Finance Costs'!DO6</f>
        <v>0</v>
      </c>
      <c r="DQ36" s="217">
        <f>'7.Finance Costs'!DP6</f>
        <v>0</v>
      </c>
      <c r="DR36" s="217">
        <f>'7.Finance Costs'!DQ6</f>
        <v>0</v>
      </c>
      <c r="DS36" s="218">
        <f>'7.Finance Costs'!DR6</f>
        <v>0</v>
      </c>
      <c r="DT36" s="916"/>
    </row>
    <row r="37" spans="1:134" s="6" customFormat="1" ht="18.75" customHeight="1" x14ac:dyDescent="0.25">
      <c r="A37" s="140" t="s">
        <v>122</v>
      </c>
      <c r="B37" s="152"/>
      <c r="D37" s="404">
        <f>'7.Finance Costs'!C8</f>
        <v>0</v>
      </c>
      <c r="E37" s="404">
        <f>'7.Finance Costs'!D8</f>
        <v>0</v>
      </c>
      <c r="F37" s="404">
        <f>'7.Finance Costs'!E8</f>
        <v>0</v>
      </c>
      <c r="G37" s="404">
        <f>'7.Finance Costs'!F8</f>
        <v>0</v>
      </c>
      <c r="H37" s="404">
        <f>'7.Finance Costs'!G8</f>
        <v>0</v>
      </c>
      <c r="I37" s="404">
        <f>'7.Finance Costs'!H8</f>
        <v>0</v>
      </c>
      <c r="J37" s="404">
        <f>'7.Finance Costs'!I8</f>
        <v>0</v>
      </c>
      <c r="K37" s="404">
        <f>'7.Finance Costs'!J8</f>
        <v>0</v>
      </c>
      <c r="L37" s="404">
        <f>'7.Finance Costs'!K8</f>
        <v>0</v>
      </c>
      <c r="M37" s="404">
        <f>'7.Finance Costs'!L8</f>
        <v>0</v>
      </c>
      <c r="N37" s="404">
        <f>'7.Finance Costs'!M8</f>
        <v>0</v>
      </c>
      <c r="O37" s="497">
        <f>'7.Finance Costs'!N8</f>
        <v>0</v>
      </c>
      <c r="P37" s="217">
        <f>'7.Finance Costs'!O8</f>
        <v>0</v>
      </c>
      <c r="Q37" s="217">
        <f>'7.Finance Costs'!P8</f>
        <v>0</v>
      </c>
      <c r="R37" s="217">
        <f>'7.Finance Costs'!Q8</f>
        <v>0</v>
      </c>
      <c r="S37" s="217">
        <f>'7.Finance Costs'!R8</f>
        <v>0</v>
      </c>
      <c r="T37" s="217">
        <f>'7.Finance Costs'!S8</f>
        <v>0</v>
      </c>
      <c r="U37" s="217">
        <f>'7.Finance Costs'!T8</f>
        <v>0</v>
      </c>
      <c r="V37" s="217">
        <f>'7.Finance Costs'!U8</f>
        <v>0</v>
      </c>
      <c r="W37" s="217">
        <f>'7.Finance Costs'!V8</f>
        <v>0</v>
      </c>
      <c r="X37" s="217">
        <f>'7.Finance Costs'!W8</f>
        <v>0</v>
      </c>
      <c r="Y37" s="217">
        <f>'7.Finance Costs'!X8</f>
        <v>0</v>
      </c>
      <c r="Z37" s="217">
        <f>'7.Finance Costs'!Y8</f>
        <v>0</v>
      </c>
      <c r="AA37" s="218">
        <f>'7.Finance Costs'!Z8</f>
        <v>0</v>
      </c>
      <c r="AB37" s="217">
        <f>'7.Finance Costs'!AA8</f>
        <v>0</v>
      </c>
      <c r="AC37" s="217">
        <f>'7.Finance Costs'!AB8</f>
        <v>0</v>
      </c>
      <c r="AD37" s="217">
        <f>'7.Finance Costs'!AC8</f>
        <v>0</v>
      </c>
      <c r="AE37" s="217">
        <f>'7.Finance Costs'!AD8</f>
        <v>0</v>
      </c>
      <c r="AF37" s="217">
        <f>'7.Finance Costs'!AE8</f>
        <v>0</v>
      </c>
      <c r="AG37" s="217">
        <f>'7.Finance Costs'!AF8</f>
        <v>0</v>
      </c>
      <c r="AH37" s="217">
        <f>'7.Finance Costs'!AG8</f>
        <v>0</v>
      </c>
      <c r="AI37" s="217">
        <f>'7.Finance Costs'!AH8</f>
        <v>0</v>
      </c>
      <c r="AJ37" s="217">
        <f>'7.Finance Costs'!AI8</f>
        <v>0</v>
      </c>
      <c r="AK37" s="217">
        <f>'7.Finance Costs'!AJ8</f>
        <v>0</v>
      </c>
      <c r="AL37" s="217">
        <f>'7.Finance Costs'!AK8</f>
        <v>0</v>
      </c>
      <c r="AM37" s="218">
        <f>'7.Finance Costs'!AL8</f>
        <v>0</v>
      </c>
      <c r="AN37" s="217">
        <f>'7.Finance Costs'!AM8</f>
        <v>0</v>
      </c>
      <c r="AO37" s="217">
        <f>'7.Finance Costs'!AN8</f>
        <v>0</v>
      </c>
      <c r="AP37" s="217">
        <f>'7.Finance Costs'!AO8</f>
        <v>0</v>
      </c>
      <c r="AQ37" s="217">
        <f>'7.Finance Costs'!AP8</f>
        <v>0</v>
      </c>
      <c r="AR37" s="217">
        <f>'7.Finance Costs'!AQ8</f>
        <v>0</v>
      </c>
      <c r="AS37" s="217">
        <f>'7.Finance Costs'!AR8</f>
        <v>0</v>
      </c>
      <c r="AT37" s="217">
        <f>'7.Finance Costs'!AS8</f>
        <v>0</v>
      </c>
      <c r="AU37" s="217">
        <f>'7.Finance Costs'!AT8</f>
        <v>0</v>
      </c>
      <c r="AV37" s="217">
        <f>'7.Finance Costs'!AU8</f>
        <v>0</v>
      </c>
      <c r="AW37" s="217">
        <f>'7.Finance Costs'!AV8</f>
        <v>0</v>
      </c>
      <c r="AX37" s="217">
        <f>'7.Finance Costs'!AW8</f>
        <v>0</v>
      </c>
      <c r="AY37" s="218">
        <f>'7.Finance Costs'!AX8</f>
        <v>0</v>
      </c>
      <c r="AZ37" s="217">
        <f>'7.Finance Costs'!AY8</f>
        <v>0</v>
      </c>
      <c r="BA37" s="217">
        <f>'7.Finance Costs'!AZ8</f>
        <v>0</v>
      </c>
      <c r="BB37" s="217">
        <f>'7.Finance Costs'!BA8</f>
        <v>0</v>
      </c>
      <c r="BC37" s="217">
        <f>'7.Finance Costs'!BB8</f>
        <v>0</v>
      </c>
      <c r="BD37" s="217">
        <f>'7.Finance Costs'!BC8</f>
        <v>0</v>
      </c>
      <c r="BE37" s="217">
        <f>'7.Finance Costs'!BD8</f>
        <v>0</v>
      </c>
      <c r="BF37" s="217">
        <f>'7.Finance Costs'!BE8</f>
        <v>0</v>
      </c>
      <c r="BG37" s="217">
        <f>'7.Finance Costs'!BF8</f>
        <v>0</v>
      </c>
      <c r="BH37" s="217">
        <f>'7.Finance Costs'!BG8</f>
        <v>0</v>
      </c>
      <c r="BI37" s="217">
        <f>'7.Finance Costs'!BH8</f>
        <v>0</v>
      </c>
      <c r="BJ37" s="217">
        <f>'7.Finance Costs'!BI8</f>
        <v>0</v>
      </c>
      <c r="BK37" s="218">
        <f>'7.Finance Costs'!BJ8</f>
        <v>0</v>
      </c>
      <c r="BL37" s="217">
        <f>'7.Finance Costs'!BK8</f>
        <v>0</v>
      </c>
      <c r="BM37" s="217">
        <f>'7.Finance Costs'!BL8</f>
        <v>0</v>
      </c>
      <c r="BN37" s="217">
        <f>'7.Finance Costs'!BM8</f>
        <v>0</v>
      </c>
      <c r="BO37" s="217">
        <f>'7.Finance Costs'!BN8</f>
        <v>0</v>
      </c>
      <c r="BP37" s="217">
        <f>'7.Finance Costs'!BO8</f>
        <v>0</v>
      </c>
      <c r="BQ37" s="217">
        <f>'7.Finance Costs'!BP8</f>
        <v>0</v>
      </c>
      <c r="BR37" s="217">
        <f>'7.Finance Costs'!BQ8</f>
        <v>0</v>
      </c>
      <c r="BS37" s="217">
        <f>'7.Finance Costs'!BR8</f>
        <v>0</v>
      </c>
      <c r="BT37" s="217">
        <f>'7.Finance Costs'!BS8</f>
        <v>0</v>
      </c>
      <c r="BU37" s="217">
        <f>'7.Finance Costs'!BT8</f>
        <v>0</v>
      </c>
      <c r="BV37" s="217">
        <f>'7.Finance Costs'!BU8</f>
        <v>0</v>
      </c>
      <c r="BW37" s="218">
        <f>'7.Finance Costs'!BV8</f>
        <v>0</v>
      </c>
      <c r="BX37" s="217">
        <f>'7.Finance Costs'!BW8</f>
        <v>0</v>
      </c>
      <c r="BY37" s="217">
        <f>'7.Finance Costs'!BX8</f>
        <v>0</v>
      </c>
      <c r="BZ37" s="217">
        <f>'7.Finance Costs'!BY8</f>
        <v>0</v>
      </c>
      <c r="CA37" s="217">
        <f>'7.Finance Costs'!BZ8</f>
        <v>0</v>
      </c>
      <c r="CB37" s="217">
        <f>'7.Finance Costs'!CA8</f>
        <v>0</v>
      </c>
      <c r="CC37" s="217">
        <f>'7.Finance Costs'!CB8</f>
        <v>0</v>
      </c>
      <c r="CD37" s="217">
        <f>'7.Finance Costs'!CC8</f>
        <v>0</v>
      </c>
      <c r="CE37" s="217">
        <f>'7.Finance Costs'!CD8</f>
        <v>0</v>
      </c>
      <c r="CF37" s="217">
        <f>'7.Finance Costs'!CE8</f>
        <v>0</v>
      </c>
      <c r="CG37" s="217">
        <f>'7.Finance Costs'!CF8</f>
        <v>0</v>
      </c>
      <c r="CH37" s="217">
        <f>'7.Finance Costs'!CG8</f>
        <v>0</v>
      </c>
      <c r="CI37" s="218">
        <f>'7.Finance Costs'!CH8</f>
        <v>0</v>
      </c>
      <c r="CJ37" s="217">
        <f>'7.Finance Costs'!CI8</f>
        <v>0</v>
      </c>
      <c r="CK37" s="217">
        <f>'7.Finance Costs'!CJ8</f>
        <v>0</v>
      </c>
      <c r="CL37" s="217">
        <f>'7.Finance Costs'!CK8</f>
        <v>0</v>
      </c>
      <c r="CM37" s="217">
        <f>'7.Finance Costs'!CL8</f>
        <v>0</v>
      </c>
      <c r="CN37" s="217">
        <f>'7.Finance Costs'!CM8</f>
        <v>0</v>
      </c>
      <c r="CO37" s="217">
        <f>'7.Finance Costs'!CN8</f>
        <v>0</v>
      </c>
      <c r="CP37" s="217">
        <f>'7.Finance Costs'!CO8</f>
        <v>0</v>
      </c>
      <c r="CQ37" s="217">
        <f>'7.Finance Costs'!CP8</f>
        <v>0</v>
      </c>
      <c r="CR37" s="217">
        <f>'7.Finance Costs'!CQ8</f>
        <v>0</v>
      </c>
      <c r="CS37" s="217">
        <f>'7.Finance Costs'!CR8</f>
        <v>0</v>
      </c>
      <c r="CT37" s="217">
        <f>'7.Finance Costs'!CS8</f>
        <v>0</v>
      </c>
      <c r="CU37" s="218">
        <f>'7.Finance Costs'!CT8</f>
        <v>0</v>
      </c>
      <c r="CV37" s="217">
        <f>'7.Finance Costs'!CU8</f>
        <v>0</v>
      </c>
      <c r="CW37" s="217">
        <f>'7.Finance Costs'!CV8</f>
        <v>0</v>
      </c>
      <c r="CX37" s="217">
        <f>'7.Finance Costs'!CW8</f>
        <v>0</v>
      </c>
      <c r="CY37" s="217">
        <f>'7.Finance Costs'!CX8</f>
        <v>0</v>
      </c>
      <c r="CZ37" s="217">
        <f>'7.Finance Costs'!CY8</f>
        <v>0</v>
      </c>
      <c r="DA37" s="217">
        <f>'7.Finance Costs'!CZ8</f>
        <v>0</v>
      </c>
      <c r="DB37" s="217">
        <f>'7.Finance Costs'!DA8</f>
        <v>0</v>
      </c>
      <c r="DC37" s="217">
        <f>'7.Finance Costs'!DB8</f>
        <v>0</v>
      </c>
      <c r="DD37" s="217">
        <f>'7.Finance Costs'!DC8</f>
        <v>0</v>
      </c>
      <c r="DE37" s="217">
        <f>'7.Finance Costs'!DD8</f>
        <v>0</v>
      </c>
      <c r="DF37" s="217">
        <f>'7.Finance Costs'!DE8</f>
        <v>0</v>
      </c>
      <c r="DG37" s="218">
        <f>'7.Finance Costs'!DF8</f>
        <v>0</v>
      </c>
      <c r="DH37" s="217">
        <f>'7.Finance Costs'!DG8</f>
        <v>0</v>
      </c>
      <c r="DI37" s="217">
        <f>'7.Finance Costs'!DH8</f>
        <v>0</v>
      </c>
      <c r="DJ37" s="217">
        <f>'7.Finance Costs'!DI8</f>
        <v>0</v>
      </c>
      <c r="DK37" s="217">
        <f>'7.Finance Costs'!DJ8</f>
        <v>0</v>
      </c>
      <c r="DL37" s="217">
        <f>'7.Finance Costs'!DK8</f>
        <v>0</v>
      </c>
      <c r="DM37" s="217">
        <f>'7.Finance Costs'!DL8</f>
        <v>0</v>
      </c>
      <c r="DN37" s="217">
        <f>'7.Finance Costs'!DM8</f>
        <v>0</v>
      </c>
      <c r="DO37" s="217">
        <f>'7.Finance Costs'!DN8</f>
        <v>0</v>
      </c>
      <c r="DP37" s="217">
        <f>'7.Finance Costs'!DO8</f>
        <v>0</v>
      </c>
      <c r="DQ37" s="217">
        <f>'7.Finance Costs'!DP8</f>
        <v>0</v>
      </c>
      <c r="DR37" s="217">
        <f>'7.Finance Costs'!DQ8</f>
        <v>0</v>
      </c>
      <c r="DS37" s="218">
        <f>'7.Finance Costs'!DR8</f>
        <v>0</v>
      </c>
      <c r="DT37" s="916"/>
    </row>
    <row r="38" spans="1:134" s="6" customFormat="1" ht="18.75" customHeight="1" x14ac:dyDescent="0.25">
      <c r="A38" s="140" t="s">
        <v>125</v>
      </c>
      <c r="B38" s="152"/>
      <c r="D38" s="404">
        <v>0</v>
      </c>
      <c r="E38" s="404">
        <v>0</v>
      </c>
      <c r="F38" s="404">
        <v>0</v>
      </c>
      <c r="G38" s="404">
        <v>0</v>
      </c>
      <c r="H38" s="404">
        <v>0</v>
      </c>
      <c r="I38" s="404">
        <v>0</v>
      </c>
      <c r="J38" s="404">
        <v>0</v>
      </c>
      <c r="K38" s="404">
        <v>0</v>
      </c>
      <c r="L38" s="404">
        <v>0</v>
      </c>
      <c r="M38" s="404">
        <v>0</v>
      </c>
      <c r="N38" s="404">
        <v>0</v>
      </c>
      <c r="O38" s="497">
        <v>0</v>
      </c>
      <c r="P38" s="217">
        <v>0</v>
      </c>
      <c r="Q38" s="217">
        <v>0</v>
      </c>
      <c r="R38" s="217">
        <v>0</v>
      </c>
      <c r="S38" s="217">
        <v>0</v>
      </c>
      <c r="T38" s="217">
        <v>0</v>
      </c>
      <c r="U38" s="217">
        <v>0</v>
      </c>
      <c r="V38" s="217">
        <v>0</v>
      </c>
      <c r="W38" s="217">
        <v>0</v>
      </c>
      <c r="X38" s="217">
        <v>0</v>
      </c>
      <c r="Y38" s="217">
        <v>0</v>
      </c>
      <c r="Z38" s="217">
        <v>0</v>
      </c>
      <c r="AA38" s="218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8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8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8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8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8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17">
        <v>0</v>
      </c>
      <c r="CS38" s="217">
        <v>0</v>
      </c>
      <c r="CT38" s="217">
        <v>0</v>
      </c>
      <c r="CU38" s="218">
        <v>0</v>
      </c>
      <c r="CV38" s="217">
        <v>0</v>
      </c>
      <c r="CW38" s="217">
        <v>0</v>
      </c>
      <c r="CX38" s="217">
        <v>0</v>
      </c>
      <c r="CY38" s="217">
        <v>0</v>
      </c>
      <c r="CZ38" s="217">
        <v>0</v>
      </c>
      <c r="DA38" s="217">
        <v>0</v>
      </c>
      <c r="DB38" s="217">
        <v>0</v>
      </c>
      <c r="DC38" s="217">
        <v>0</v>
      </c>
      <c r="DD38" s="217">
        <v>0</v>
      </c>
      <c r="DE38" s="217">
        <v>0</v>
      </c>
      <c r="DF38" s="217">
        <v>0</v>
      </c>
      <c r="DG38" s="218">
        <v>0</v>
      </c>
      <c r="DH38" s="217">
        <v>0</v>
      </c>
      <c r="DI38" s="217">
        <v>0</v>
      </c>
      <c r="DJ38" s="217">
        <v>0</v>
      </c>
      <c r="DK38" s="217">
        <v>0</v>
      </c>
      <c r="DL38" s="217">
        <v>0</v>
      </c>
      <c r="DM38" s="217">
        <v>0</v>
      </c>
      <c r="DN38" s="217">
        <v>0</v>
      </c>
      <c r="DO38" s="217">
        <v>0</v>
      </c>
      <c r="DP38" s="217">
        <v>0</v>
      </c>
      <c r="DQ38" s="217">
        <v>0</v>
      </c>
      <c r="DR38" s="217">
        <v>0</v>
      </c>
      <c r="DS38" s="218">
        <v>0</v>
      </c>
      <c r="DT38" s="916"/>
    </row>
    <row r="39" spans="1:134" s="6" customFormat="1" ht="18.75" customHeight="1" x14ac:dyDescent="0.25">
      <c r="A39" s="140" t="s">
        <v>123</v>
      </c>
      <c r="B39" s="152"/>
      <c r="D39" s="404">
        <f>'7.Finance Costs'!C7</f>
        <v>0</v>
      </c>
      <c r="E39" s="404">
        <f>'7.Finance Costs'!D7</f>
        <v>0</v>
      </c>
      <c r="F39" s="404">
        <f>'7.Finance Costs'!E7</f>
        <v>0</v>
      </c>
      <c r="G39" s="404">
        <f>'7.Finance Costs'!F7</f>
        <v>0</v>
      </c>
      <c r="H39" s="404">
        <f>'7.Finance Costs'!G7</f>
        <v>0</v>
      </c>
      <c r="I39" s="404">
        <f>'7.Finance Costs'!H7</f>
        <v>0</v>
      </c>
      <c r="J39" s="404">
        <f>'7.Finance Costs'!I7</f>
        <v>0</v>
      </c>
      <c r="K39" s="404">
        <f>'7.Finance Costs'!J7</f>
        <v>0</v>
      </c>
      <c r="L39" s="404">
        <f>'7.Finance Costs'!K7</f>
        <v>0</v>
      </c>
      <c r="M39" s="404">
        <f>'7.Finance Costs'!L7</f>
        <v>0</v>
      </c>
      <c r="N39" s="404">
        <f>'7.Finance Costs'!M7</f>
        <v>0</v>
      </c>
      <c r="O39" s="497">
        <f>'7.Finance Costs'!N7</f>
        <v>0</v>
      </c>
      <c r="P39" s="217">
        <f>'7.Finance Costs'!O7</f>
        <v>0</v>
      </c>
      <c r="Q39" s="217">
        <f>'7.Finance Costs'!P7</f>
        <v>0</v>
      </c>
      <c r="R39" s="217">
        <f>'7.Finance Costs'!Q7</f>
        <v>0</v>
      </c>
      <c r="S39" s="217">
        <f>'7.Finance Costs'!R7</f>
        <v>0</v>
      </c>
      <c r="T39" s="217">
        <f>'7.Finance Costs'!S7</f>
        <v>0</v>
      </c>
      <c r="U39" s="217">
        <f>'7.Finance Costs'!T7</f>
        <v>0</v>
      </c>
      <c r="V39" s="217">
        <f>'7.Finance Costs'!U7</f>
        <v>0</v>
      </c>
      <c r="W39" s="217">
        <f>'7.Finance Costs'!V7</f>
        <v>0</v>
      </c>
      <c r="X39" s="217">
        <f>'7.Finance Costs'!W7</f>
        <v>0</v>
      </c>
      <c r="Y39" s="217">
        <f>'7.Finance Costs'!X7</f>
        <v>0</v>
      </c>
      <c r="Z39" s="217">
        <f>'7.Finance Costs'!Y7</f>
        <v>0</v>
      </c>
      <c r="AA39" s="218">
        <f>'7.Finance Costs'!Z7</f>
        <v>0</v>
      </c>
      <c r="AB39" s="217">
        <f>'7.Finance Costs'!AA7</f>
        <v>0</v>
      </c>
      <c r="AC39" s="217">
        <f>'7.Finance Costs'!AB7</f>
        <v>0</v>
      </c>
      <c r="AD39" s="217">
        <f>'7.Finance Costs'!AC7</f>
        <v>0</v>
      </c>
      <c r="AE39" s="217">
        <f>'7.Finance Costs'!AD7</f>
        <v>0</v>
      </c>
      <c r="AF39" s="217">
        <f>'7.Finance Costs'!AE7</f>
        <v>0</v>
      </c>
      <c r="AG39" s="217">
        <f>'7.Finance Costs'!AF7</f>
        <v>0</v>
      </c>
      <c r="AH39" s="217">
        <f>'7.Finance Costs'!AG7</f>
        <v>0</v>
      </c>
      <c r="AI39" s="217">
        <f>'7.Finance Costs'!AH7</f>
        <v>0</v>
      </c>
      <c r="AJ39" s="217">
        <f>'7.Finance Costs'!AI7</f>
        <v>0</v>
      </c>
      <c r="AK39" s="217">
        <f>'7.Finance Costs'!AJ7</f>
        <v>0</v>
      </c>
      <c r="AL39" s="217">
        <f>'7.Finance Costs'!AK7</f>
        <v>0</v>
      </c>
      <c r="AM39" s="218">
        <f>'7.Finance Costs'!AL7</f>
        <v>0</v>
      </c>
      <c r="AN39" s="217">
        <f>'7.Finance Costs'!AM7</f>
        <v>0</v>
      </c>
      <c r="AO39" s="217">
        <f>'7.Finance Costs'!AN7</f>
        <v>0</v>
      </c>
      <c r="AP39" s="217">
        <f>'7.Finance Costs'!AO7</f>
        <v>0</v>
      </c>
      <c r="AQ39" s="217">
        <f>'7.Finance Costs'!AP7</f>
        <v>0</v>
      </c>
      <c r="AR39" s="217">
        <f>'7.Finance Costs'!AQ7</f>
        <v>0</v>
      </c>
      <c r="AS39" s="217">
        <f>'7.Finance Costs'!AR7</f>
        <v>0</v>
      </c>
      <c r="AT39" s="217">
        <f>'7.Finance Costs'!AS7</f>
        <v>0</v>
      </c>
      <c r="AU39" s="217">
        <f>'7.Finance Costs'!AT7</f>
        <v>0</v>
      </c>
      <c r="AV39" s="217">
        <f>'7.Finance Costs'!AU7</f>
        <v>0</v>
      </c>
      <c r="AW39" s="217">
        <f>'7.Finance Costs'!AV7</f>
        <v>0</v>
      </c>
      <c r="AX39" s="217">
        <f>'7.Finance Costs'!AW7</f>
        <v>0</v>
      </c>
      <c r="AY39" s="218">
        <f>'7.Finance Costs'!AX7</f>
        <v>0</v>
      </c>
      <c r="AZ39" s="217">
        <f>'7.Finance Costs'!AY7</f>
        <v>0</v>
      </c>
      <c r="BA39" s="217">
        <f>'7.Finance Costs'!AZ7</f>
        <v>0</v>
      </c>
      <c r="BB39" s="217">
        <f>'7.Finance Costs'!BA7</f>
        <v>0</v>
      </c>
      <c r="BC39" s="217">
        <f>'7.Finance Costs'!BB7</f>
        <v>0</v>
      </c>
      <c r="BD39" s="217">
        <f>'7.Finance Costs'!BC7</f>
        <v>0</v>
      </c>
      <c r="BE39" s="217">
        <f>'7.Finance Costs'!BD7</f>
        <v>0</v>
      </c>
      <c r="BF39" s="217">
        <f>'7.Finance Costs'!BE7</f>
        <v>0</v>
      </c>
      <c r="BG39" s="217">
        <f>'7.Finance Costs'!BF7</f>
        <v>0</v>
      </c>
      <c r="BH39" s="217">
        <f>'7.Finance Costs'!BG7</f>
        <v>0</v>
      </c>
      <c r="BI39" s="217">
        <f>'7.Finance Costs'!BH7</f>
        <v>0</v>
      </c>
      <c r="BJ39" s="217">
        <f>'7.Finance Costs'!BI7</f>
        <v>0</v>
      </c>
      <c r="BK39" s="218">
        <f>'7.Finance Costs'!BJ7</f>
        <v>0</v>
      </c>
      <c r="BL39" s="217">
        <f>'7.Finance Costs'!BK7</f>
        <v>0</v>
      </c>
      <c r="BM39" s="217">
        <f>'7.Finance Costs'!BL7</f>
        <v>0</v>
      </c>
      <c r="BN39" s="217">
        <f>'7.Finance Costs'!BM7</f>
        <v>0</v>
      </c>
      <c r="BO39" s="217">
        <f>'7.Finance Costs'!BN7</f>
        <v>0</v>
      </c>
      <c r="BP39" s="217">
        <f>'7.Finance Costs'!BO7</f>
        <v>0</v>
      </c>
      <c r="BQ39" s="217">
        <f>'7.Finance Costs'!BP7</f>
        <v>0</v>
      </c>
      <c r="BR39" s="217">
        <f>'7.Finance Costs'!BQ7</f>
        <v>0</v>
      </c>
      <c r="BS39" s="217">
        <f>'7.Finance Costs'!BR7</f>
        <v>0</v>
      </c>
      <c r="BT39" s="217">
        <f>'7.Finance Costs'!BS7</f>
        <v>0</v>
      </c>
      <c r="BU39" s="217">
        <f>'7.Finance Costs'!BT7</f>
        <v>0</v>
      </c>
      <c r="BV39" s="217">
        <f>'7.Finance Costs'!BU7</f>
        <v>0</v>
      </c>
      <c r="BW39" s="218">
        <f>'7.Finance Costs'!BV7</f>
        <v>0</v>
      </c>
      <c r="BX39" s="217">
        <f>'7.Finance Costs'!BW7</f>
        <v>0</v>
      </c>
      <c r="BY39" s="217">
        <f>'7.Finance Costs'!BX7</f>
        <v>0</v>
      </c>
      <c r="BZ39" s="217">
        <f>'7.Finance Costs'!BY7</f>
        <v>0</v>
      </c>
      <c r="CA39" s="217">
        <f>'7.Finance Costs'!BZ7</f>
        <v>0</v>
      </c>
      <c r="CB39" s="217">
        <f>'7.Finance Costs'!CA7</f>
        <v>0</v>
      </c>
      <c r="CC39" s="217">
        <f>'7.Finance Costs'!CB7</f>
        <v>0</v>
      </c>
      <c r="CD39" s="217">
        <f>'7.Finance Costs'!CC7</f>
        <v>0</v>
      </c>
      <c r="CE39" s="217">
        <f>'7.Finance Costs'!CD7</f>
        <v>0</v>
      </c>
      <c r="CF39" s="217">
        <f>'7.Finance Costs'!CE7</f>
        <v>0</v>
      </c>
      <c r="CG39" s="217">
        <f>'7.Finance Costs'!CF7</f>
        <v>0</v>
      </c>
      <c r="CH39" s="217">
        <f>'7.Finance Costs'!CG7</f>
        <v>0</v>
      </c>
      <c r="CI39" s="218">
        <f>'7.Finance Costs'!CH7</f>
        <v>0</v>
      </c>
      <c r="CJ39" s="217">
        <f>'7.Finance Costs'!CI7</f>
        <v>0</v>
      </c>
      <c r="CK39" s="217">
        <f>'7.Finance Costs'!CJ7</f>
        <v>0</v>
      </c>
      <c r="CL39" s="217">
        <f>'7.Finance Costs'!CK7</f>
        <v>0</v>
      </c>
      <c r="CM39" s="217">
        <f>'7.Finance Costs'!CL7</f>
        <v>0</v>
      </c>
      <c r="CN39" s="217">
        <f>'7.Finance Costs'!CM7</f>
        <v>0</v>
      </c>
      <c r="CO39" s="217">
        <f>'7.Finance Costs'!CN7</f>
        <v>0</v>
      </c>
      <c r="CP39" s="217">
        <f>'7.Finance Costs'!CO7</f>
        <v>0</v>
      </c>
      <c r="CQ39" s="217">
        <f>'7.Finance Costs'!CP7</f>
        <v>0</v>
      </c>
      <c r="CR39" s="217">
        <f>'7.Finance Costs'!CQ7</f>
        <v>0</v>
      </c>
      <c r="CS39" s="217">
        <f>'7.Finance Costs'!CR7</f>
        <v>0</v>
      </c>
      <c r="CT39" s="217">
        <f>'7.Finance Costs'!CS7</f>
        <v>0</v>
      </c>
      <c r="CU39" s="218">
        <f>'7.Finance Costs'!CT7</f>
        <v>0</v>
      </c>
      <c r="CV39" s="217">
        <f>'7.Finance Costs'!CU7</f>
        <v>0</v>
      </c>
      <c r="CW39" s="217">
        <f>'7.Finance Costs'!CV7</f>
        <v>0</v>
      </c>
      <c r="CX39" s="217">
        <f>'7.Finance Costs'!CW7</f>
        <v>0</v>
      </c>
      <c r="CY39" s="217">
        <f>'7.Finance Costs'!CX7</f>
        <v>0</v>
      </c>
      <c r="CZ39" s="217">
        <f>'7.Finance Costs'!CY7</f>
        <v>0</v>
      </c>
      <c r="DA39" s="217">
        <f>'7.Finance Costs'!CZ7</f>
        <v>0</v>
      </c>
      <c r="DB39" s="217">
        <f>'7.Finance Costs'!DA7</f>
        <v>0</v>
      </c>
      <c r="DC39" s="217">
        <f>'7.Finance Costs'!DB7</f>
        <v>0</v>
      </c>
      <c r="DD39" s="217">
        <f>'7.Finance Costs'!DC7</f>
        <v>0</v>
      </c>
      <c r="DE39" s="217">
        <f>'7.Finance Costs'!DD7</f>
        <v>0</v>
      </c>
      <c r="DF39" s="217">
        <f>'7.Finance Costs'!DE7</f>
        <v>0</v>
      </c>
      <c r="DG39" s="218">
        <f>'7.Finance Costs'!DF7</f>
        <v>0</v>
      </c>
      <c r="DH39" s="217">
        <f>'7.Finance Costs'!DG7</f>
        <v>0</v>
      </c>
      <c r="DI39" s="217">
        <f>'7.Finance Costs'!DH7</f>
        <v>0</v>
      </c>
      <c r="DJ39" s="217">
        <f>'7.Finance Costs'!DI7</f>
        <v>0</v>
      </c>
      <c r="DK39" s="217">
        <f>'7.Finance Costs'!DJ7</f>
        <v>0</v>
      </c>
      <c r="DL39" s="217">
        <f>'7.Finance Costs'!DK7</f>
        <v>0</v>
      </c>
      <c r="DM39" s="217">
        <f>'7.Finance Costs'!DL7</f>
        <v>0</v>
      </c>
      <c r="DN39" s="217">
        <f>'7.Finance Costs'!DM7</f>
        <v>0</v>
      </c>
      <c r="DO39" s="217">
        <f>'7.Finance Costs'!DN7</f>
        <v>0</v>
      </c>
      <c r="DP39" s="217">
        <f>'7.Finance Costs'!DO7</f>
        <v>0</v>
      </c>
      <c r="DQ39" s="217">
        <f>'7.Finance Costs'!DP7</f>
        <v>0</v>
      </c>
      <c r="DR39" s="217">
        <f>'7.Finance Costs'!DQ7</f>
        <v>0</v>
      </c>
      <c r="DS39" s="218">
        <f>'7.Finance Costs'!DR7</f>
        <v>0</v>
      </c>
      <c r="DT39" s="916"/>
    </row>
    <row r="40" spans="1:134" s="6" customFormat="1" ht="18.75" customHeight="1" thickBot="1" x14ac:dyDescent="0.3">
      <c r="A40" s="140" t="s">
        <v>124</v>
      </c>
      <c r="B40" s="152"/>
      <c r="D40" s="1138">
        <f>'6. Finance Income'!C10</f>
        <v>0</v>
      </c>
      <c r="E40" s="1138">
        <f>'6. Finance Income'!D10</f>
        <v>0</v>
      </c>
      <c r="F40" s="1138">
        <f>'6. Finance Income'!E10</f>
        <v>0</v>
      </c>
      <c r="G40" s="1138">
        <f>'6. Finance Income'!F10</f>
        <v>0</v>
      </c>
      <c r="H40" s="1138">
        <f>'6. Finance Income'!G10</f>
        <v>0</v>
      </c>
      <c r="I40" s="1138">
        <f>'6. Finance Income'!H10</f>
        <v>0</v>
      </c>
      <c r="J40" s="1138">
        <f>'6. Finance Income'!I10</f>
        <v>0</v>
      </c>
      <c r="K40" s="1138">
        <f>'6. Finance Income'!J10</f>
        <v>0</v>
      </c>
      <c r="L40" s="1138">
        <f>'6. Finance Income'!K10</f>
        <v>0</v>
      </c>
      <c r="M40" s="1138">
        <f>'6. Finance Income'!L10</f>
        <v>0</v>
      </c>
      <c r="N40" s="1138">
        <f>'6. Finance Income'!M10</f>
        <v>0</v>
      </c>
      <c r="O40" s="1139">
        <f>'6. Finance Income'!N10</f>
        <v>0</v>
      </c>
      <c r="P40" s="217">
        <f>'6. Finance Income'!O10</f>
        <v>0</v>
      </c>
      <c r="Q40" s="217">
        <f>'6. Finance Income'!P10</f>
        <v>0</v>
      </c>
      <c r="R40" s="217">
        <f>'6. Finance Income'!Q10</f>
        <v>0</v>
      </c>
      <c r="S40" s="217">
        <f>'6. Finance Income'!R10</f>
        <v>0</v>
      </c>
      <c r="T40" s="217">
        <f>'6. Finance Income'!S10</f>
        <v>0</v>
      </c>
      <c r="U40" s="217">
        <f>'6. Finance Income'!T10</f>
        <v>0</v>
      </c>
      <c r="V40" s="217">
        <f>'6. Finance Income'!U10</f>
        <v>0</v>
      </c>
      <c r="W40" s="217">
        <f>'6. Finance Income'!V10</f>
        <v>0</v>
      </c>
      <c r="X40" s="217">
        <f>'6. Finance Income'!W10</f>
        <v>0</v>
      </c>
      <c r="Y40" s="217">
        <f>'6. Finance Income'!X10</f>
        <v>0</v>
      </c>
      <c r="Z40" s="217">
        <f>'6. Finance Income'!Y10</f>
        <v>0</v>
      </c>
      <c r="AA40" s="218">
        <f>'6. Finance Income'!Z10</f>
        <v>0</v>
      </c>
      <c r="AB40" s="217">
        <f>'6. Finance Income'!AA10</f>
        <v>0</v>
      </c>
      <c r="AC40" s="217">
        <f>'6. Finance Income'!AB10</f>
        <v>0</v>
      </c>
      <c r="AD40" s="217">
        <f>'6. Finance Income'!AC10</f>
        <v>0</v>
      </c>
      <c r="AE40" s="217">
        <f>'6. Finance Income'!AD10</f>
        <v>0</v>
      </c>
      <c r="AF40" s="217">
        <f>'6. Finance Income'!AE10</f>
        <v>0</v>
      </c>
      <c r="AG40" s="217">
        <f>'6. Finance Income'!AF10</f>
        <v>0</v>
      </c>
      <c r="AH40" s="217">
        <f>'6. Finance Income'!AG10</f>
        <v>0</v>
      </c>
      <c r="AI40" s="217">
        <f>'6. Finance Income'!AH10</f>
        <v>0</v>
      </c>
      <c r="AJ40" s="217">
        <f>'6. Finance Income'!AI10</f>
        <v>0</v>
      </c>
      <c r="AK40" s="217">
        <f>'6. Finance Income'!AJ10</f>
        <v>0</v>
      </c>
      <c r="AL40" s="217">
        <f>'6. Finance Income'!AK10</f>
        <v>0</v>
      </c>
      <c r="AM40" s="218">
        <f>'6. Finance Income'!AL10</f>
        <v>0</v>
      </c>
      <c r="AN40" s="217">
        <f>'6. Finance Income'!AM10</f>
        <v>0</v>
      </c>
      <c r="AO40" s="217">
        <f>'6. Finance Income'!AN10</f>
        <v>0</v>
      </c>
      <c r="AP40" s="217">
        <f>'6. Finance Income'!AO10</f>
        <v>0</v>
      </c>
      <c r="AQ40" s="217">
        <f>'6. Finance Income'!AP10</f>
        <v>0</v>
      </c>
      <c r="AR40" s="217">
        <f>'6. Finance Income'!AQ10</f>
        <v>0</v>
      </c>
      <c r="AS40" s="217">
        <f>'6. Finance Income'!AR10</f>
        <v>0</v>
      </c>
      <c r="AT40" s="217">
        <f>'6. Finance Income'!AS10</f>
        <v>0</v>
      </c>
      <c r="AU40" s="217">
        <f>'6. Finance Income'!AT10</f>
        <v>0</v>
      </c>
      <c r="AV40" s="217">
        <f>'6. Finance Income'!AU10</f>
        <v>0</v>
      </c>
      <c r="AW40" s="217">
        <f>'6. Finance Income'!AV10</f>
        <v>0</v>
      </c>
      <c r="AX40" s="217">
        <f>'6. Finance Income'!AW10</f>
        <v>0</v>
      </c>
      <c r="AY40" s="218">
        <f>'6. Finance Income'!AX10</f>
        <v>0</v>
      </c>
      <c r="AZ40" s="217">
        <f>'6. Finance Income'!AY10</f>
        <v>0</v>
      </c>
      <c r="BA40" s="217">
        <f>'6. Finance Income'!AZ10</f>
        <v>0</v>
      </c>
      <c r="BB40" s="217">
        <f>'6. Finance Income'!BA10</f>
        <v>0</v>
      </c>
      <c r="BC40" s="217">
        <f>'6. Finance Income'!BB10</f>
        <v>0</v>
      </c>
      <c r="BD40" s="217">
        <f>'6. Finance Income'!BC10</f>
        <v>0</v>
      </c>
      <c r="BE40" s="217">
        <f>'6. Finance Income'!BD10</f>
        <v>0</v>
      </c>
      <c r="BF40" s="217">
        <f>'6. Finance Income'!BE10</f>
        <v>0</v>
      </c>
      <c r="BG40" s="217">
        <f>'6. Finance Income'!BF10</f>
        <v>0</v>
      </c>
      <c r="BH40" s="217">
        <f>'6. Finance Income'!BG10</f>
        <v>0</v>
      </c>
      <c r="BI40" s="217">
        <f>'6. Finance Income'!BH10</f>
        <v>0</v>
      </c>
      <c r="BJ40" s="217">
        <f>'6. Finance Income'!BI10</f>
        <v>0</v>
      </c>
      <c r="BK40" s="218">
        <f>'6. Finance Income'!BJ10</f>
        <v>0</v>
      </c>
      <c r="BL40" s="217">
        <f>'6. Finance Income'!BK10</f>
        <v>0</v>
      </c>
      <c r="BM40" s="217">
        <f>'6. Finance Income'!BL10</f>
        <v>0</v>
      </c>
      <c r="BN40" s="217">
        <f>'6. Finance Income'!BM10</f>
        <v>0</v>
      </c>
      <c r="BO40" s="217">
        <f>'6. Finance Income'!BN10</f>
        <v>0</v>
      </c>
      <c r="BP40" s="217">
        <f>'6. Finance Income'!BO10</f>
        <v>0</v>
      </c>
      <c r="BQ40" s="217">
        <f>'6. Finance Income'!BP10</f>
        <v>0</v>
      </c>
      <c r="BR40" s="217">
        <f>'6. Finance Income'!BQ10</f>
        <v>0</v>
      </c>
      <c r="BS40" s="217">
        <f>'6. Finance Income'!BR10</f>
        <v>0</v>
      </c>
      <c r="BT40" s="217">
        <f>'6. Finance Income'!BS10</f>
        <v>0</v>
      </c>
      <c r="BU40" s="217">
        <f>'6. Finance Income'!BT10</f>
        <v>0</v>
      </c>
      <c r="BV40" s="217">
        <f>'6. Finance Income'!BU10</f>
        <v>0</v>
      </c>
      <c r="BW40" s="218">
        <f>'6. Finance Income'!BV10</f>
        <v>0</v>
      </c>
      <c r="BX40" s="217">
        <f>'6. Finance Income'!BW10</f>
        <v>0</v>
      </c>
      <c r="BY40" s="217">
        <f>'6. Finance Income'!BX10</f>
        <v>0</v>
      </c>
      <c r="BZ40" s="217">
        <f>'6. Finance Income'!BY10</f>
        <v>0</v>
      </c>
      <c r="CA40" s="217">
        <f>'6. Finance Income'!BZ10</f>
        <v>0</v>
      </c>
      <c r="CB40" s="217">
        <f>'6. Finance Income'!CA10</f>
        <v>0</v>
      </c>
      <c r="CC40" s="217">
        <f>'6. Finance Income'!CB10</f>
        <v>0</v>
      </c>
      <c r="CD40" s="217">
        <f>'6. Finance Income'!CC10</f>
        <v>0</v>
      </c>
      <c r="CE40" s="217">
        <f>'6. Finance Income'!CD10</f>
        <v>0</v>
      </c>
      <c r="CF40" s="217">
        <f>'6. Finance Income'!CE10</f>
        <v>0</v>
      </c>
      <c r="CG40" s="217">
        <f>'6. Finance Income'!CF10</f>
        <v>0</v>
      </c>
      <c r="CH40" s="217">
        <f>'6. Finance Income'!CG10</f>
        <v>0</v>
      </c>
      <c r="CI40" s="218">
        <f>'6. Finance Income'!CH10</f>
        <v>0</v>
      </c>
      <c r="CJ40" s="217">
        <f>'6. Finance Income'!CI10</f>
        <v>0</v>
      </c>
      <c r="CK40" s="217">
        <f>'6. Finance Income'!CJ10</f>
        <v>0</v>
      </c>
      <c r="CL40" s="217">
        <f>'6. Finance Income'!CK10</f>
        <v>0</v>
      </c>
      <c r="CM40" s="217">
        <f>'6. Finance Income'!CL10</f>
        <v>0</v>
      </c>
      <c r="CN40" s="217">
        <f>'6. Finance Income'!CM10</f>
        <v>0</v>
      </c>
      <c r="CO40" s="217">
        <f>'6. Finance Income'!CN10</f>
        <v>0</v>
      </c>
      <c r="CP40" s="217">
        <f>'6. Finance Income'!CO10</f>
        <v>0</v>
      </c>
      <c r="CQ40" s="217">
        <f>'6. Finance Income'!CP10</f>
        <v>0</v>
      </c>
      <c r="CR40" s="217">
        <f>'6. Finance Income'!CQ10</f>
        <v>0</v>
      </c>
      <c r="CS40" s="217">
        <f>'6. Finance Income'!CR10</f>
        <v>0</v>
      </c>
      <c r="CT40" s="217">
        <f>'6. Finance Income'!CS10</f>
        <v>0</v>
      </c>
      <c r="CU40" s="218">
        <f>'6. Finance Income'!CT10</f>
        <v>0</v>
      </c>
      <c r="CV40" s="217">
        <f>'6. Finance Income'!CU10</f>
        <v>0</v>
      </c>
      <c r="CW40" s="217">
        <f>'6. Finance Income'!CV10</f>
        <v>0</v>
      </c>
      <c r="CX40" s="217">
        <f>'6. Finance Income'!CW10</f>
        <v>0</v>
      </c>
      <c r="CY40" s="217">
        <f>'6. Finance Income'!CX10</f>
        <v>0</v>
      </c>
      <c r="CZ40" s="217">
        <f>'6. Finance Income'!CY10</f>
        <v>0</v>
      </c>
      <c r="DA40" s="217">
        <f>'6. Finance Income'!CZ10</f>
        <v>0</v>
      </c>
      <c r="DB40" s="217">
        <f>'6. Finance Income'!DA10</f>
        <v>0</v>
      </c>
      <c r="DC40" s="217">
        <f>'6. Finance Income'!DB10</f>
        <v>0</v>
      </c>
      <c r="DD40" s="217">
        <f>'6. Finance Income'!DC10</f>
        <v>0</v>
      </c>
      <c r="DE40" s="217">
        <f>'6. Finance Income'!DD10</f>
        <v>0</v>
      </c>
      <c r="DF40" s="217">
        <f>'6. Finance Income'!DE10</f>
        <v>0</v>
      </c>
      <c r="DG40" s="218">
        <f>'6. Finance Income'!DF10</f>
        <v>0</v>
      </c>
      <c r="DH40" s="217">
        <f>'6. Finance Income'!DG10</f>
        <v>0</v>
      </c>
      <c r="DI40" s="217">
        <f>'6. Finance Income'!DH10</f>
        <v>0</v>
      </c>
      <c r="DJ40" s="217">
        <f>'6. Finance Income'!DI10</f>
        <v>0</v>
      </c>
      <c r="DK40" s="217">
        <f>'6. Finance Income'!DJ10</f>
        <v>0</v>
      </c>
      <c r="DL40" s="217">
        <f>'6. Finance Income'!DK10</f>
        <v>0</v>
      </c>
      <c r="DM40" s="217">
        <f>'6. Finance Income'!DL10</f>
        <v>0</v>
      </c>
      <c r="DN40" s="217">
        <f>'6. Finance Income'!DM10</f>
        <v>0</v>
      </c>
      <c r="DO40" s="217">
        <f>'6. Finance Income'!DN10</f>
        <v>0</v>
      </c>
      <c r="DP40" s="217">
        <f>'6. Finance Income'!DO10</f>
        <v>0</v>
      </c>
      <c r="DQ40" s="217">
        <f>'6. Finance Income'!DP10</f>
        <v>0</v>
      </c>
      <c r="DR40" s="217">
        <f>'6. Finance Income'!DQ10</f>
        <v>0</v>
      </c>
      <c r="DS40" s="218">
        <f>'6. Finance Income'!DR10</f>
        <v>0</v>
      </c>
      <c r="DT40" s="916"/>
    </row>
    <row r="41" spans="1:134" s="6" customFormat="1" ht="26.25" customHeight="1" thickBot="1" x14ac:dyDescent="0.35">
      <c r="A41" s="1332" t="s">
        <v>120</v>
      </c>
      <c r="B41" s="1333"/>
      <c r="D41" s="1135">
        <f t="shared" ref="D41:M41" si="32">SUM(D36:D40)</f>
        <v>0</v>
      </c>
      <c r="E41" s="1135">
        <f t="shared" si="32"/>
        <v>0</v>
      </c>
      <c r="F41" s="1135">
        <f t="shared" si="32"/>
        <v>0</v>
      </c>
      <c r="G41" s="1135">
        <f t="shared" si="32"/>
        <v>0</v>
      </c>
      <c r="H41" s="1135">
        <f t="shared" si="32"/>
        <v>0</v>
      </c>
      <c r="I41" s="1135">
        <f t="shared" si="32"/>
        <v>0</v>
      </c>
      <c r="J41" s="1135">
        <f t="shared" si="32"/>
        <v>0</v>
      </c>
      <c r="K41" s="1135">
        <f t="shared" si="32"/>
        <v>0</v>
      </c>
      <c r="L41" s="1135">
        <f t="shared" si="32"/>
        <v>0</v>
      </c>
      <c r="M41" s="1135">
        <f t="shared" si="32"/>
        <v>0</v>
      </c>
      <c r="N41" s="1135">
        <f t="shared" ref="N41:O41" si="33">SUM(N36:N40)</f>
        <v>0</v>
      </c>
      <c r="O41" s="1136">
        <f t="shared" si="33"/>
        <v>0</v>
      </c>
      <c r="P41" s="230">
        <f t="shared" ref="P41:R41" si="34">SUM(P36:P40)</f>
        <v>0</v>
      </c>
      <c r="Q41" s="230">
        <f t="shared" si="34"/>
        <v>0</v>
      </c>
      <c r="R41" s="230">
        <f t="shared" si="34"/>
        <v>0</v>
      </c>
      <c r="S41" s="230">
        <f t="shared" ref="S41:CB41" si="35">SUM(S36:S40)</f>
        <v>0</v>
      </c>
      <c r="T41" s="230">
        <f t="shared" si="35"/>
        <v>0</v>
      </c>
      <c r="U41" s="230">
        <f t="shared" si="35"/>
        <v>0</v>
      </c>
      <c r="V41" s="230">
        <f t="shared" si="35"/>
        <v>0</v>
      </c>
      <c r="W41" s="230">
        <f t="shared" si="35"/>
        <v>0</v>
      </c>
      <c r="X41" s="230">
        <f t="shared" si="35"/>
        <v>0</v>
      </c>
      <c r="Y41" s="230">
        <f t="shared" si="35"/>
        <v>0</v>
      </c>
      <c r="Z41" s="230">
        <f t="shared" si="35"/>
        <v>0</v>
      </c>
      <c r="AA41" s="231">
        <f t="shared" si="35"/>
        <v>0</v>
      </c>
      <c r="AB41" s="230">
        <f t="shared" si="35"/>
        <v>0</v>
      </c>
      <c r="AC41" s="230">
        <f t="shared" si="35"/>
        <v>0</v>
      </c>
      <c r="AD41" s="230">
        <f t="shared" si="35"/>
        <v>0</v>
      </c>
      <c r="AE41" s="230">
        <f t="shared" si="35"/>
        <v>0</v>
      </c>
      <c r="AF41" s="230">
        <f t="shared" si="35"/>
        <v>0</v>
      </c>
      <c r="AG41" s="230">
        <f t="shared" si="35"/>
        <v>0</v>
      </c>
      <c r="AH41" s="230">
        <f t="shared" si="35"/>
        <v>0</v>
      </c>
      <c r="AI41" s="230">
        <f t="shared" si="35"/>
        <v>0</v>
      </c>
      <c r="AJ41" s="230">
        <f t="shared" si="35"/>
        <v>0</v>
      </c>
      <c r="AK41" s="230">
        <f t="shared" si="35"/>
        <v>0</v>
      </c>
      <c r="AL41" s="230">
        <f t="shared" si="35"/>
        <v>0</v>
      </c>
      <c r="AM41" s="231">
        <f t="shared" si="35"/>
        <v>0</v>
      </c>
      <c r="AN41" s="230">
        <f t="shared" si="35"/>
        <v>0</v>
      </c>
      <c r="AO41" s="230">
        <f t="shared" si="35"/>
        <v>0</v>
      </c>
      <c r="AP41" s="230">
        <f t="shared" si="35"/>
        <v>0</v>
      </c>
      <c r="AQ41" s="230">
        <f t="shared" si="35"/>
        <v>0</v>
      </c>
      <c r="AR41" s="230">
        <f t="shared" si="35"/>
        <v>0</v>
      </c>
      <c r="AS41" s="230">
        <f t="shared" si="35"/>
        <v>0</v>
      </c>
      <c r="AT41" s="230">
        <f t="shared" si="35"/>
        <v>0</v>
      </c>
      <c r="AU41" s="230">
        <f t="shared" si="35"/>
        <v>0</v>
      </c>
      <c r="AV41" s="230">
        <f t="shared" si="35"/>
        <v>0</v>
      </c>
      <c r="AW41" s="230">
        <f t="shared" si="35"/>
        <v>0</v>
      </c>
      <c r="AX41" s="230">
        <f t="shared" si="35"/>
        <v>0</v>
      </c>
      <c r="AY41" s="231">
        <f t="shared" si="35"/>
        <v>0</v>
      </c>
      <c r="AZ41" s="230">
        <f t="shared" si="35"/>
        <v>0</v>
      </c>
      <c r="BA41" s="230">
        <f t="shared" si="35"/>
        <v>0</v>
      </c>
      <c r="BB41" s="230">
        <f t="shared" si="35"/>
        <v>0</v>
      </c>
      <c r="BC41" s="230">
        <f t="shared" si="35"/>
        <v>0</v>
      </c>
      <c r="BD41" s="230">
        <f t="shared" si="35"/>
        <v>0</v>
      </c>
      <c r="BE41" s="230">
        <f t="shared" si="35"/>
        <v>0</v>
      </c>
      <c r="BF41" s="230">
        <f t="shared" si="35"/>
        <v>0</v>
      </c>
      <c r="BG41" s="230">
        <f t="shared" si="35"/>
        <v>0</v>
      </c>
      <c r="BH41" s="230">
        <f t="shared" si="35"/>
        <v>0</v>
      </c>
      <c r="BI41" s="230">
        <f t="shared" si="35"/>
        <v>0</v>
      </c>
      <c r="BJ41" s="230">
        <f t="shared" si="35"/>
        <v>0</v>
      </c>
      <c r="BK41" s="231">
        <f t="shared" si="35"/>
        <v>0</v>
      </c>
      <c r="BL41" s="230">
        <f t="shared" si="35"/>
        <v>0</v>
      </c>
      <c r="BM41" s="230">
        <f t="shared" si="35"/>
        <v>0</v>
      </c>
      <c r="BN41" s="230">
        <f t="shared" si="35"/>
        <v>0</v>
      </c>
      <c r="BO41" s="230">
        <f t="shared" si="35"/>
        <v>0</v>
      </c>
      <c r="BP41" s="230">
        <f t="shared" si="35"/>
        <v>0</v>
      </c>
      <c r="BQ41" s="230">
        <f t="shared" si="35"/>
        <v>0</v>
      </c>
      <c r="BR41" s="230">
        <f t="shared" si="35"/>
        <v>0</v>
      </c>
      <c r="BS41" s="230">
        <f t="shared" si="35"/>
        <v>0</v>
      </c>
      <c r="BT41" s="230">
        <f t="shared" si="35"/>
        <v>0</v>
      </c>
      <c r="BU41" s="230">
        <f t="shared" si="35"/>
        <v>0</v>
      </c>
      <c r="BV41" s="230">
        <f t="shared" si="35"/>
        <v>0</v>
      </c>
      <c r="BW41" s="231">
        <f t="shared" si="35"/>
        <v>0</v>
      </c>
      <c r="BX41" s="230">
        <f t="shared" si="35"/>
        <v>0</v>
      </c>
      <c r="BY41" s="230">
        <f t="shared" si="35"/>
        <v>0</v>
      </c>
      <c r="BZ41" s="230">
        <f t="shared" si="35"/>
        <v>0</v>
      </c>
      <c r="CA41" s="230">
        <f t="shared" si="35"/>
        <v>0</v>
      </c>
      <c r="CB41" s="230">
        <f t="shared" si="35"/>
        <v>0</v>
      </c>
      <c r="CC41" s="230">
        <f t="shared" ref="CC41:DS41" si="36">SUM(CC36:CC40)</f>
        <v>0</v>
      </c>
      <c r="CD41" s="230">
        <f t="shared" si="36"/>
        <v>0</v>
      </c>
      <c r="CE41" s="230">
        <f t="shared" si="36"/>
        <v>0</v>
      </c>
      <c r="CF41" s="230">
        <f t="shared" si="36"/>
        <v>0</v>
      </c>
      <c r="CG41" s="230">
        <f t="shared" si="36"/>
        <v>0</v>
      </c>
      <c r="CH41" s="230">
        <f t="shared" si="36"/>
        <v>0</v>
      </c>
      <c r="CI41" s="231">
        <f t="shared" si="36"/>
        <v>0</v>
      </c>
      <c r="CJ41" s="230">
        <f t="shared" si="36"/>
        <v>0</v>
      </c>
      <c r="CK41" s="230">
        <f t="shared" si="36"/>
        <v>0</v>
      </c>
      <c r="CL41" s="230">
        <f t="shared" si="36"/>
        <v>0</v>
      </c>
      <c r="CM41" s="230">
        <f t="shared" si="36"/>
        <v>0</v>
      </c>
      <c r="CN41" s="230">
        <f t="shared" si="36"/>
        <v>0</v>
      </c>
      <c r="CO41" s="230">
        <f t="shared" si="36"/>
        <v>0</v>
      </c>
      <c r="CP41" s="230">
        <f t="shared" si="36"/>
        <v>0</v>
      </c>
      <c r="CQ41" s="230">
        <f t="shared" si="36"/>
        <v>0</v>
      </c>
      <c r="CR41" s="230">
        <f t="shared" si="36"/>
        <v>0</v>
      </c>
      <c r="CS41" s="230">
        <f t="shared" si="36"/>
        <v>0</v>
      </c>
      <c r="CT41" s="230">
        <f t="shared" si="36"/>
        <v>0</v>
      </c>
      <c r="CU41" s="231">
        <f t="shared" si="36"/>
        <v>0</v>
      </c>
      <c r="CV41" s="230">
        <f t="shared" si="36"/>
        <v>0</v>
      </c>
      <c r="CW41" s="230">
        <f t="shared" si="36"/>
        <v>0</v>
      </c>
      <c r="CX41" s="230">
        <f t="shared" si="36"/>
        <v>0</v>
      </c>
      <c r="CY41" s="230">
        <f t="shared" si="36"/>
        <v>0</v>
      </c>
      <c r="CZ41" s="230">
        <f t="shared" si="36"/>
        <v>0</v>
      </c>
      <c r="DA41" s="230">
        <f t="shared" si="36"/>
        <v>0</v>
      </c>
      <c r="DB41" s="230">
        <f t="shared" si="36"/>
        <v>0</v>
      </c>
      <c r="DC41" s="230">
        <f t="shared" si="36"/>
        <v>0</v>
      </c>
      <c r="DD41" s="230">
        <f t="shared" si="36"/>
        <v>0</v>
      </c>
      <c r="DE41" s="230">
        <f t="shared" si="36"/>
        <v>0</v>
      </c>
      <c r="DF41" s="230">
        <f t="shared" si="36"/>
        <v>0</v>
      </c>
      <c r="DG41" s="231">
        <f t="shared" si="36"/>
        <v>0</v>
      </c>
      <c r="DH41" s="230">
        <f t="shared" si="36"/>
        <v>0</v>
      </c>
      <c r="DI41" s="230">
        <f t="shared" si="36"/>
        <v>0</v>
      </c>
      <c r="DJ41" s="230">
        <f t="shared" si="36"/>
        <v>0</v>
      </c>
      <c r="DK41" s="230">
        <f t="shared" si="36"/>
        <v>0</v>
      </c>
      <c r="DL41" s="230">
        <f t="shared" si="36"/>
        <v>0</v>
      </c>
      <c r="DM41" s="230">
        <f t="shared" si="36"/>
        <v>0</v>
      </c>
      <c r="DN41" s="230">
        <f t="shared" si="36"/>
        <v>0</v>
      </c>
      <c r="DO41" s="230">
        <f t="shared" si="36"/>
        <v>0</v>
      </c>
      <c r="DP41" s="230">
        <f t="shared" si="36"/>
        <v>0</v>
      </c>
      <c r="DQ41" s="230">
        <f t="shared" si="36"/>
        <v>0</v>
      </c>
      <c r="DR41" s="230">
        <f t="shared" si="36"/>
        <v>0</v>
      </c>
      <c r="DS41" s="231">
        <f t="shared" si="36"/>
        <v>0</v>
      </c>
      <c r="DT41" s="916"/>
    </row>
    <row r="42" spans="1:134" s="6" customFormat="1" ht="26.25" customHeight="1" x14ac:dyDescent="0.3">
      <c r="A42" s="85"/>
      <c r="B42" s="85"/>
      <c r="D42" s="1334"/>
      <c r="E42" s="1334"/>
      <c r="F42" s="1334"/>
      <c r="G42" s="1334"/>
      <c r="H42" s="1334"/>
      <c r="I42" s="1334"/>
      <c r="J42" s="1334"/>
      <c r="K42" s="1334"/>
      <c r="L42" s="1334"/>
      <c r="M42" s="1334"/>
      <c r="N42" s="1334"/>
      <c r="O42" s="1335"/>
      <c r="P42" s="242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909"/>
      <c r="AB42" s="910"/>
      <c r="AC42" s="242"/>
      <c r="AD42" s="241"/>
      <c r="AE42" s="241"/>
      <c r="AF42" s="241"/>
      <c r="AG42" s="241"/>
      <c r="AH42" s="241"/>
      <c r="AI42" s="241"/>
      <c r="AJ42" s="241"/>
      <c r="AK42" s="241"/>
      <c r="AL42" s="241"/>
      <c r="AM42" s="909"/>
      <c r="AN42" s="910"/>
      <c r="AO42" s="242"/>
      <c r="AP42" s="241"/>
      <c r="AQ42" s="241"/>
      <c r="AR42" s="241"/>
      <c r="AS42" s="241"/>
      <c r="AT42" s="241"/>
      <c r="AU42" s="241"/>
      <c r="AV42" s="241"/>
      <c r="AW42" s="241"/>
      <c r="AX42" s="241"/>
      <c r="AY42" s="909"/>
      <c r="AZ42" s="910"/>
      <c r="BA42" s="242"/>
      <c r="BB42" s="241"/>
      <c r="BC42" s="241"/>
      <c r="BD42" s="241"/>
      <c r="BE42" s="241"/>
      <c r="BF42" s="241"/>
      <c r="BG42" s="241"/>
      <c r="BH42" s="241"/>
      <c r="BI42" s="241"/>
      <c r="BJ42" s="241"/>
      <c r="BK42" s="909"/>
      <c r="BL42" s="910"/>
      <c r="BM42" s="242"/>
      <c r="BN42" s="241"/>
      <c r="BO42" s="241"/>
      <c r="BP42" s="241"/>
      <c r="BQ42" s="241"/>
      <c r="BR42" s="241"/>
      <c r="BS42" s="241"/>
      <c r="BT42" s="241"/>
      <c r="BU42" s="241"/>
      <c r="BV42" s="241"/>
      <c r="BW42" s="909"/>
      <c r="BX42" s="910"/>
      <c r="BY42" s="242"/>
      <c r="BZ42" s="241"/>
      <c r="CA42" s="241"/>
      <c r="CB42" s="241"/>
      <c r="CC42" s="241"/>
      <c r="CD42" s="241"/>
      <c r="CE42" s="241"/>
      <c r="CF42" s="241"/>
      <c r="CG42" s="241"/>
      <c r="CH42" s="241"/>
      <c r="CI42" s="909"/>
      <c r="CJ42" s="910"/>
      <c r="CK42" s="242"/>
      <c r="CL42" s="241"/>
      <c r="CM42" s="241"/>
      <c r="CN42" s="241"/>
      <c r="CO42" s="241"/>
      <c r="CP42" s="241"/>
      <c r="CQ42" s="241"/>
      <c r="CR42" s="241"/>
      <c r="CS42" s="241"/>
      <c r="CT42" s="241"/>
      <c r="CU42" s="909"/>
      <c r="CV42" s="910"/>
      <c r="CW42" s="242"/>
      <c r="CX42" s="241"/>
      <c r="CY42" s="241"/>
      <c r="CZ42" s="241"/>
      <c r="DA42" s="241"/>
      <c r="DB42" s="241"/>
      <c r="DC42" s="241"/>
      <c r="DD42" s="241"/>
      <c r="DE42" s="241"/>
      <c r="DF42" s="241"/>
      <c r="DG42" s="909"/>
      <c r="DH42" s="910"/>
      <c r="DI42" s="242"/>
      <c r="DJ42" s="241"/>
      <c r="DK42" s="241"/>
      <c r="DL42" s="241"/>
      <c r="DM42" s="241"/>
      <c r="DN42" s="241"/>
      <c r="DO42" s="241"/>
      <c r="DP42" s="241"/>
      <c r="DQ42" s="241"/>
      <c r="DR42" s="241"/>
      <c r="DS42" s="909"/>
      <c r="DT42" s="916"/>
      <c r="DU42" s="31"/>
      <c r="DV42" s="31"/>
      <c r="DW42" s="31"/>
      <c r="DX42" s="31"/>
      <c r="DY42" s="31"/>
      <c r="DZ42" s="31"/>
      <c r="EA42" s="31"/>
      <c r="EB42" s="31"/>
      <c r="EC42" s="31"/>
      <c r="ED42" s="31"/>
    </row>
    <row r="43" spans="1:134" s="6" customFormat="1" ht="26.25" customHeight="1" x14ac:dyDescent="0.3">
      <c r="A43" s="142" t="s">
        <v>126</v>
      </c>
      <c r="B43" s="238"/>
      <c r="D43" s="404">
        <f t="shared" ref="D43:M43" si="37">D28+D33+D41</f>
        <v>-3335223.6699384619</v>
      </c>
      <c r="E43" s="404">
        <f t="shared" si="37"/>
        <v>-2877577.0320210825</v>
      </c>
      <c r="F43" s="404">
        <f t="shared" si="37"/>
        <v>-2130961.4070210825</v>
      </c>
      <c r="G43" s="404">
        <f t="shared" si="37"/>
        <v>-4583551.407021082</v>
      </c>
      <c r="H43" s="404">
        <f t="shared" si="37"/>
        <v>-4583551.407021082</v>
      </c>
      <c r="I43" s="404">
        <f t="shared" si="37"/>
        <v>-3697351.4070210825</v>
      </c>
      <c r="J43" s="404">
        <f t="shared" si="37"/>
        <v>-2705167.0320210825</v>
      </c>
      <c r="K43" s="404">
        <f t="shared" si="37"/>
        <v>-4077681.319073949</v>
      </c>
      <c r="L43" s="404">
        <f t="shared" si="37"/>
        <v>-4077681.319073949</v>
      </c>
      <c r="M43" s="404">
        <f t="shared" si="37"/>
        <v>-2862778.819073949</v>
      </c>
      <c r="N43" s="404">
        <f t="shared" ref="N43:R43" si="38">N28+N33+N41</f>
        <v>-2063878.5300106294</v>
      </c>
      <c r="O43" s="497">
        <f t="shared" si="38"/>
        <v>-620699.69511346368</v>
      </c>
      <c r="P43" s="299">
        <f t="shared" si="38"/>
        <v>-1129962.3211958522</v>
      </c>
      <c r="Q43" s="300">
        <f t="shared" si="38"/>
        <v>-1669100.0345975473</v>
      </c>
      <c r="R43" s="300">
        <f t="shared" si="38"/>
        <v>-1507774.273751504</v>
      </c>
      <c r="S43" s="300">
        <f t="shared" ref="S43:CB43" si="39">S28+S33+S41</f>
        <v>-1523232.6791123124</v>
      </c>
      <c r="T43" s="300">
        <f t="shared" si="39"/>
        <v>-1779990.2529563971</v>
      </c>
      <c r="U43" s="300">
        <f t="shared" si="39"/>
        <v>-1613445.3522525351</v>
      </c>
      <c r="V43" s="300">
        <f t="shared" si="39"/>
        <v>-1651582.4883519108</v>
      </c>
      <c r="W43" s="300">
        <f t="shared" si="39"/>
        <v>-1918987.442849362</v>
      </c>
      <c r="X43" s="300">
        <f t="shared" si="39"/>
        <v>-1498923.6117970827</v>
      </c>
      <c r="Y43" s="300">
        <f t="shared" si="39"/>
        <v>-1567111.7940349795</v>
      </c>
      <c r="Z43" s="300">
        <f t="shared" si="39"/>
        <v>-1652100.6083626247</v>
      </c>
      <c r="AA43" s="206">
        <f t="shared" si="39"/>
        <v>-1685505.6290528439</v>
      </c>
      <c r="AB43" s="299">
        <f t="shared" si="39"/>
        <v>-1917010.8446392992</v>
      </c>
      <c r="AC43" s="207">
        <f t="shared" si="39"/>
        <v>-1981142.8919005326</v>
      </c>
      <c r="AD43" s="207">
        <f t="shared" si="39"/>
        <v>-2154803.8859889582</v>
      </c>
      <c r="AE43" s="207">
        <f t="shared" si="39"/>
        <v>-2205513.5816524485</v>
      </c>
      <c r="AF43" s="207">
        <f t="shared" si="39"/>
        <v>-1848951.7489071591</v>
      </c>
      <c r="AG43" s="207">
        <f t="shared" si="39"/>
        <v>-2015394.5114376254</v>
      </c>
      <c r="AH43" s="207">
        <f t="shared" si="39"/>
        <v>-2127323.6148446263</v>
      </c>
      <c r="AI43" s="207">
        <f t="shared" si="39"/>
        <v>-2293759.3520668326</v>
      </c>
      <c r="AJ43" s="207">
        <f t="shared" si="39"/>
        <v>-2481810.2306700307</v>
      </c>
      <c r="AK43" s="207">
        <f t="shared" si="39"/>
        <v>-3143778.4076867918</v>
      </c>
      <c r="AL43" s="207">
        <f t="shared" si="39"/>
        <v>108645.69687314751</v>
      </c>
      <c r="AM43" s="206">
        <f t="shared" si="39"/>
        <v>644166.3886868041</v>
      </c>
      <c r="AN43" s="208">
        <f t="shared" si="39"/>
        <v>-209619.31400650367</v>
      </c>
      <c r="AO43" s="207">
        <f t="shared" si="39"/>
        <v>162636.30647129286</v>
      </c>
      <c r="AP43" s="207">
        <f t="shared" si="39"/>
        <v>519646.4678557138</v>
      </c>
      <c r="AQ43" s="207">
        <f t="shared" si="39"/>
        <v>116503.47268818924</v>
      </c>
      <c r="AR43" s="207">
        <f t="shared" si="39"/>
        <v>-782421.84914374631</v>
      </c>
      <c r="AS43" s="207">
        <f t="shared" si="39"/>
        <v>586580.3819270418</v>
      </c>
      <c r="AT43" s="207">
        <f t="shared" si="39"/>
        <v>184114.54490919551</v>
      </c>
      <c r="AU43" s="207">
        <f t="shared" si="39"/>
        <v>116162.79333256232</v>
      </c>
      <c r="AV43" s="207">
        <f t="shared" si="39"/>
        <v>594021.54548985651</v>
      </c>
      <c r="AW43" s="207">
        <f t="shared" si="39"/>
        <v>78100.866739515215</v>
      </c>
      <c r="AX43" s="207">
        <f t="shared" si="39"/>
        <v>67338.744850927498</v>
      </c>
      <c r="AY43" s="206">
        <f t="shared" si="39"/>
        <v>638518.30462838477</v>
      </c>
      <c r="AZ43" s="208">
        <f t="shared" si="39"/>
        <v>-273564.65619511856</v>
      </c>
      <c r="BA43" s="207">
        <f t="shared" si="39"/>
        <v>120485.17511589266</v>
      </c>
      <c r="BB43" s="207">
        <f t="shared" si="39"/>
        <v>501953.56680651288</v>
      </c>
      <c r="BC43" s="207">
        <f t="shared" si="39"/>
        <v>72864.027624466456</v>
      </c>
      <c r="BD43" s="207">
        <f t="shared" si="39"/>
        <v>-908322.47438693931</v>
      </c>
      <c r="BE43" s="207">
        <f t="shared" si="39"/>
        <v>600957.35366767133</v>
      </c>
      <c r="BF43" s="207">
        <f t="shared" si="39"/>
        <v>145015.59941604035</v>
      </c>
      <c r="BG43" s="207">
        <f t="shared" si="39"/>
        <v>281590.15042081196</v>
      </c>
      <c r="BH43" s="207">
        <f t="shared" si="39"/>
        <v>581051.89661105303</v>
      </c>
      <c r="BI43" s="207">
        <f t="shared" si="39"/>
        <v>32598.341340581886</v>
      </c>
      <c r="BJ43" s="207">
        <f t="shared" si="39"/>
        <v>19537.966767684557</v>
      </c>
      <c r="BK43" s="206">
        <f t="shared" si="39"/>
        <v>628572.75612206431</v>
      </c>
      <c r="BL43" s="208">
        <f t="shared" si="39"/>
        <v>-2581019.339646209</v>
      </c>
      <c r="BM43" s="207">
        <f t="shared" si="39"/>
        <v>135198.01604710985</v>
      </c>
      <c r="BN43" s="207">
        <f t="shared" si="39"/>
        <v>513061.14528388763</v>
      </c>
      <c r="BO43" s="207">
        <f t="shared" si="39"/>
        <v>56319.125131396577</v>
      </c>
      <c r="BP43" s="207">
        <f t="shared" si="39"/>
        <v>-988521.84480428649</v>
      </c>
      <c r="BQ43" s="207">
        <f t="shared" si="39"/>
        <v>618034.08014145307</v>
      </c>
      <c r="BR43" s="207">
        <f t="shared" si="39"/>
        <v>133333.73279119888</v>
      </c>
      <c r="BS43" s="207">
        <f t="shared" si="39"/>
        <v>276708.66715438105</v>
      </c>
      <c r="BT43" s="207">
        <f t="shared" si="39"/>
        <v>597185.10819813749</v>
      </c>
      <c r="BU43" s="207">
        <f t="shared" si="39"/>
        <v>14145.2099847137</v>
      </c>
      <c r="BV43" s="207">
        <f t="shared" si="39"/>
        <v>-31428.745649148244</v>
      </c>
      <c r="BW43" s="206">
        <f t="shared" si="39"/>
        <v>677809.19130525971</v>
      </c>
      <c r="BX43" s="208">
        <f t="shared" si="39"/>
        <v>-386572.16202877555</v>
      </c>
      <c r="BY43" s="207">
        <f t="shared" si="39"/>
        <v>118065.89709514566</v>
      </c>
      <c r="BZ43" s="207">
        <f t="shared" si="39"/>
        <v>490504.25578872953</v>
      </c>
      <c r="CA43" s="207">
        <f t="shared" si="39"/>
        <v>67769.317629946861</v>
      </c>
      <c r="CB43" s="207">
        <f t="shared" si="39"/>
        <v>-1076716.5934921103</v>
      </c>
      <c r="CC43" s="207">
        <f t="shared" ref="CC43:DS43" si="40">CC28+CC33+CC41</f>
        <v>633528.63133265032</v>
      </c>
      <c r="CD43" s="207">
        <f t="shared" si="40"/>
        <v>86512.310841945931</v>
      </c>
      <c r="CE43" s="207">
        <f t="shared" si="40"/>
        <v>300363.84181209374</v>
      </c>
      <c r="CF43" s="207">
        <f t="shared" si="40"/>
        <v>611717.0197349675</v>
      </c>
      <c r="CG43" s="207">
        <f t="shared" si="40"/>
        <v>-8092.5642693890259</v>
      </c>
      <c r="CH43" s="207">
        <f t="shared" si="40"/>
        <v>-58606.477446889039</v>
      </c>
      <c r="CI43" s="206">
        <f t="shared" si="40"/>
        <v>665961.14240337629</v>
      </c>
      <c r="CJ43" s="208">
        <f t="shared" si="40"/>
        <v>-403729.12491486641</v>
      </c>
      <c r="CK43" s="207">
        <f t="shared" si="40"/>
        <v>62827.48893257603</v>
      </c>
      <c r="CL43" s="207">
        <f t="shared" si="40"/>
        <v>529048.39552445617</v>
      </c>
      <c r="CM43" s="207">
        <f t="shared" si="40"/>
        <v>45148.882398631424</v>
      </c>
      <c r="CN43" s="207">
        <f t="shared" si="40"/>
        <v>-1173788.6801172933</v>
      </c>
      <c r="CO43" s="207">
        <f t="shared" si="40"/>
        <v>647000.09369767923</v>
      </c>
      <c r="CP43" s="207">
        <f t="shared" si="40"/>
        <v>65477.965557854623</v>
      </c>
      <c r="CQ43" s="207">
        <f t="shared" si="40"/>
        <v>290498.94791809656</v>
      </c>
      <c r="CR43" s="207">
        <f t="shared" si="40"/>
        <v>624210.74669049866</v>
      </c>
      <c r="CS43" s="207">
        <f t="shared" si="40"/>
        <v>-68430.803067251109</v>
      </c>
      <c r="CT43" s="207">
        <f t="shared" si="40"/>
        <v>-56983.162845114246</v>
      </c>
      <c r="CU43" s="206">
        <f t="shared" si="40"/>
        <v>682190.67452468164</v>
      </c>
      <c r="CV43" s="208">
        <f t="shared" si="40"/>
        <v>-459105.49475669395</v>
      </c>
      <c r="CW43" s="207">
        <f t="shared" si="40"/>
        <v>34141.261058792472</v>
      </c>
      <c r="CX43" s="207">
        <f t="shared" si="40"/>
        <v>532940.13570344448</v>
      </c>
      <c r="CY43" s="207">
        <f t="shared" si="40"/>
        <v>17660.608064477332</v>
      </c>
      <c r="CZ43" s="207">
        <f t="shared" si="40"/>
        <v>-1280724.3802725794</v>
      </c>
      <c r="DA43" s="207">
        <f t="shared" si="40"/>
        <v>622069.35074664373</v>
      </c>
      <c r="DB43" s="207">
        <f t="shared" si="40"/>
        <v>75594.807461793534</v>
      </c>
      <c r="DC43" s="207">
        <f t="shared" si="40"/>
        <v>240456.58750290237</v>
      </c>
      <c r="DD43" s="207">
        <f t="shared" si="40"/>
        <v>634158.61815493181</v>
      </c>
      <c r="DE43" s="207">
        <f t="shared" si="40"/>
        <v>-66301.642474222928</v>
      </c>
      <c r="DF43" s="207">
        <f t="shared" si="40"/>
        <v>-92640.825344765559</v>
      </c>
      <c r="DG43" s="206">
        <f t="shared" si="40"/>
        <v>696151.03589905519</v>
      </c>
      <c r="DH43" s="208">
        <f t="shared" si="40"/>
        <v>-3381260.1740745492</v>
      </c>
      <c r="DI43" s="207">
        <f t="shared" si="40"/>
        <v>-537.72832820564508</v>
      </c>
      <c r="DJ43" s="207">
        <f t="shared" si="40"/>
        <v>533308.19311513938</v>
      </c>
      <c r="DK43" s="207">
        <f t="shared" si="40"/>
        <v>-53570.619510284625</v>
      </c>
      <c r="DL43" s="207">
        <f t="shared" si="40"/>
        <v>-1398627.1548420982</v>
      </c>
      <c r="DM43" s="207">
        <f t="shared" si="40"/>
        <v>665741.30920870882</v>
      </c>
      <c r="DN43" s="207">
        <f t="shared" si="40"/>
        <v>46656.857244603336</v>
      </c>
      <c r="DO43" s="207">
        <f t="shared" si="40"/>
        <v>219202.49233482033</v>
      </c>
      <c r="DP43" s="207">
        <f t="shared" si="40"/>
        <v>641388.7977716513</v>
      </c>
      <c r="DQ43" s="207">
        <f t="shared" si="40"/>
        <v>-100690.3324674014</v>
      </c>
      <c r="DR43" s="207">
        <f t="shared" si="40"/>
        <v>-119525.28883804847</v>
      </c>
      <c r="DS43" s="206">
        <f t="shared" si="40"/>
        <v>731919.49005901441</v>
      </c>
      <c r="DT43" s="916"/>
    </row>
    <row r="44" spans="1:134" s="6" customFormat="1" ht="18.75" customHeight="1" x14ac:dyDescent="0.25">
      <c r="A44" s="140" t="s">
        <v>151</v>
      </c>
      <c r="B44" s="141"/>
      <c r="D44" s="404">
        <f t="shared" ref="D44:M44" si="41">C46</f>
        <v>0</v>
      </c>
      <c r="E44" s="404">
        <f t="shared" si="41"/>
        <v>-3335223.6699384619</v>
      </c>
      <c r="F44" s="404">
        <f t="shared" si="41"/>
        <v>-6212800.7019595448</v>
      </c>
      <c r="G44" s="404">
        <f t="shared" si="41"/>
        <v>-8343762.1089806277</v>
      </c>
      <c r="H44" s="404">
        <f t="shared" si="41"/>
        <v>-12927313.516001709</v>
      </c>
      <c r="I44" s="404">
        <f t="shared" si="41"/>
        <v>-17510864.923022792</v>
      </c>
      <c r="J44" s="404">
        <f t="shared" si="41"/>
        <v>-21208216.330043875</v>
      </c>
      <c r="K44" s="404">
        <f t="shared" si="41"/>
        <v>-23913383.362064958</v>
      </c>
      <c r="L44" s="404">
        <f t="shared" si="41"/>
        <v>-27991064.681138907</v>
      </c>
      <c r="M44" s="404">
        <f t="shared" si="41"/>
        <v>-32068746.000212856</v>
      </c>
      <c r="N44" s="404">
        <f>M46</f>
        <v>-34931524.819286808</v>
      </c>
      <c r="O44" s="497">
        <f>N46</f>
        <v>-36995403.349297434</v>
      </c>
      <c r="P44" s="217">
        <f t="shared" ref="P44" si="42">O46</f>
        <v>-37616103.044410899</v>
      </c>
      <c r="Q44" s="217">
        <f t="shared" ref="Q44" si="43">P46</f>
        <v>-38746065.365606755</v>
      </c>
      <c r="R44" s="217">
        <f t="shared" ref="R44" si="44">Q46</f>
        <v>-40415165.400204301</v>
      </c>
      <c r="S44" s="217">
        <f t="shared" ref="S44:CC44" si="45">R46</f>
        <v>-41922939.673955806</v>
      </c>
      <c r="T44" s="217">
        <f t="shared" si="45"/>
        <v>-43446172.353068121</v>
      </c>
      <c r="U44" s="217">
        <f t="shared" si="45"/>
        <v>-45226162.606024519</v>
      </c>
      <c r="V44" s="217">
        <f t="shared" si="45"/>
        <v>-46839607.958277054</v>
      </c>
      <c r="W44" s="217">
        <f t="shared" si="45"/>
        <v>-48491190.446628965</v>
      </c>
      <c r="X44" s="217">
        <f t="shared" si="45"/>
        <v>-50410177.889478326</v>
      </c>
      <c r="Y44" s="217">
        <f t="shared" si="45"/>
        <v>-51909101.501275405</v>
      </c>
      <c r="Z44" s="217">
        <f t="shared" si="45"/>
        <v>-53476213.295310386</v>
      </c>
      <c r="AA44" s="908">
        <f t="shared" si="45"/>
        <v>-55128313.903673008</v>
      </c>
      <c r="AB44" s="217">
        <f t="shared" si="45"/>
        <v>-56813819.532725856</v>
      </c>
      <c r="AC44" s="217">
        <f t="shared" si="45"/>
        <v>-58730830.377365157</v>
      </c>
      <c r="AD44" s="217">
        <f t="shared" si="45"/>
        <v>-60711973.269265689</v>
      </c>
      <c r="AE44" s="217">
        <f t="shared" si="45"/>
        <v>-62866777.155254647</v>
      </c>
      <c r="AF44" s="217">
        <f t="shared" si="45"/>
        <v>-65072290.736907095</v>
      </c>
      <c r="AG44" s="217">
        <f t="shared" si="45"/>
        <v>-66921242.485814251</v>
      </c>
      <c r="AH44" s="217">
        <f t="shared" si="45"/>
        <v>-68936636.997251883</v>
      </c>
      <c r="AI44" s="217">
        <f t="shared" si="45"/>
        <v>-71063960.612096503</v>
      </c>
      <c r="AJ44" s="217">
        <f t="shared" si="45"/>
        <v>-73357719.964163333</v>
      </c>
      <c r="AK44" s="217">
        <f t="shared" si="45"/>
        <v>-75839530.194833368</v>
      </c>
      <c r="AL44" s="217">
        <f t="shared" si="45"/>
        <v>-78983308.602520153</v>
      </c>
      <c r="AM44" s="218">
        <f t="shared" si="45"/>
        <v>-78874662.90564701</v>
      </c>
      <c r="AN44" s="217">
        <f t="shared" si="45"/>
        <v>-78230496.516960204</v>
      </c>
      <c r="AO44" s="217">
        <f t="shared" si="45"/>
        <v>-78440115.830966711</v>
      </c>
      <c r="AP44" s="217">
        <f t="shared" si="45"/>
        <v>-78277479.524495423</v>
      </c>
      <c r="AQ44" s="217">
        <f t="shared" si="45"/>
        <v>-77757833.056639716</v>
      </c>
      <c r="AR44" s="217">
        <f t="shared" si="45"/>
        <v>-77641329.583951533</v>
      </c>
      <c r="AS44" s="217">
        <f t="shared" si="45"/>
        <v>-78423751.433095276</v>
      </c>
      <c r="AT44" s="217">
        <f t="shared" si="45"/>
        <v>-77837171.051168233</v>
      </c>
      <c r="AU44" s="217">
        <f t="shared" si="45"/>
        <v>-77653056.506259039</v>
      </c>
      <c r="AV44" s="217">
        <f t="shared" si="45"/>
        <v>-77536893.712926477</v>
      </c>
      <c r="AW44" s="217">
        <f t="shared" si="45"/>
        <v>-76942872.167436615</v>
      </c>
      <c r="AX44" s="217">
        <f t="shared" si="45"/>
        <v>-76864771.300697103</v>
      </c>
      <c r="AY44" s="218">
        <f t="shared" si="45"/>
        <v>-76797432.55584617</v>
      </c>
      <c r="AZ44" s="217">
        <f t="shared" si="45"/>
        <v>-76158914.251217782</v>
      </c>
      <c r="BA44" s="217">
        <f t="shared" si="45"/>
        <v>-76432478.907412902</v>
      </c>
      <c r="BB44" s="217">
        <f t="shared" si="45"/>
        <v>-76311993.732297003</v>
      </c>
      <c r="BC44" s="217">
        <f t="shared" si="45"/>
        <v>-75810040.165490493</v>
      </c>
      <c r="BD44" s="217">
        <f t="shared" si="45"/>
        <v>-75737176.13786602</v>
      </c>
      <c r="BE44" s="217">
        <f t="shared" si="45"/>
        <v>-76645498.612252966</v>
      </c>
      <c r="BF44" s="217">
        <f t="shared" si="45"/>
        <v>-76044541.258585289</v>
      </c>
      <c r="BG44" s="217">
        <f t="shared" si="45"/>
        <v>-75899525.659169242</v>
      </c>
      <c r="BH44" s="217">
        <f t="shared" si="45"/>
        <v>-75617935.508748427</v>
      </c>
      <c r="BI44" s="217">
        <f t="shared" si="45"/>
        <v>-75036883.612137377</v>
      </c>
      <c r="BJ44" s="217">
        <f t="shared" si="45"/>
        <v>-75004285.270796791</v>
      </c>
      <c r="BK44" s="218">
        <f t="shared" si="45"/>
        <v>-74984747.304029107</v>
      </c>
      <c r="BL44" s="217">
        <f t="shared" si="45"/>
        <v>-74356174.54790704</v>
      </c>
      <c r="BM44" s="217">
        <f t="shared" si="45"/>
        <v>-76937193.887553245</v>
      </c>
      <c r="BN44" s="217">
        <f t="shared" si="45"/>
        <v>-76801995.87150614</v>
      </c>
      <c r="BO44" s="217">
        <f t="shared" si="45"/>
        <v>-76288934.726222247</v>
      </c>
      <c r="BP44" s="217">
        <f t="shared" si="45"/>
        <v>-76232615.601090848</v>
      </c>
      <c r="BQ44" s="217">
        <f t="shared" si="45"/>
        <v>-77221137.445895135</v>
      </c>
      <c r="BR44" s="217">
        <f t="shared" si="45"/>
        <v>-76603103.36575368</v>
      </c>
      <c r="BS44" s="217">
        <f t="shared" si="45"/>
        <v>-76469769.63296248</v>
      </c>
      <c r="BT44" s="217">
        <f t="shared" si="45"/>
        <v>-76193060.965808094</v>
      </c>
      <c r="BU44" s="217">
        <f t="shared" si="45"/>
        <v>-75595875.857609957</v>
      </c>
      <c r="BV44" s="217">
        <f t="shared" si="45"/>
        <v>-75581730.647625238</v>
      </c>
      <c r="BW44" s="218">
        <f t="shared" si="45"/>
        <v>-75613159.393274382</v>
      </c>
      <c r="BX44" s="217">
        <f t="shared" si="45"/>
        <v>-74935350.201969117</v>
      </c>
      <c r="BY44" s="217">
        <f t="shared" si="45"/>
        <v>-75321922.363997892</v>
      </c>
      <c r="BZ44" s="217">
        <f t="shared" si="45"/>
        <v>-75203856.466902748</v>
      </c>
      <c r="CA44" s="217">
        <f t="shared" si="45"/>
        <v>-74713352.211114019</v>
      </c>
      <c r="CB44" s="217">
        <f t="shared" si="45"/>
        <v>-74645582.893484071</v>
      </c>
      <c r="CC44" s="217">
        <f t="shared" si="45"/>
        <v>-75722299.486976177</v>
      </c>
      <c r="CD44" s="217">
        <f t="shared" ref="CD44:DS44" si="46">CC46</f>
        <v>-75088770.855643526</v>
      </c>
      <c r="CE44" s="217">
        <f t="shared" si="46"/>
        <v>-75002258.544801578</v>
      </c>
      <c r="CF44" s="217">
        <f t="shared" si="46"/>
        <v>-74701894.702989489</v>
      </c>
      <c r="CG44" s="217">
        <f t="shared" si="46"/>
        <v>-74090177.683254525</v>
      </c>
      <c r="CH44" s="217">
        <f t="shared" si="46"/>
        <v>-74098270.247523919</v>
      </c>
      <c r="CI44" s="218">
        <f t="shared" si="46"/>
        <v>-74156876.724970803</v>
      </c>
      <c r="CJ44" s="217">
        <f t="shared" si="46"/>
        <v>-73490915.582567424</v>
      </c>
      <c r="CK44" s="217">
        <f t="shared" si="46"/>
        <v>-73894644.707482293</v>
      </c>
      <c r="CL44" s="217">
        <f t="shared" si="46"/>
        <v>-73831817.218549713</v>
      </c>
      <c r="CM44" s="217">
        <f t="shared" si="46"/>
        <v>-73302768.823025256</v>
      </c>
      <c r="CN44" s="217">
        <f t="shared" si="46"/>
        <v>-73257619.940626621</v>
      </c>
      <c r="CO44" s="217">
        <f t="shared" si="46"/>
        <v>-74431408.620743915</v>
      </c>
      <c r="CP44" s="217">
        <f t="shared" si="46"/>
        <v>-73784408.527046233</v>
      </c>
      <c r="CQ44" s="217">
        <f t="shared" si="46"/>
        <v>-73718930.561488375</v>
      </c>
      <c r="CR44" s="217">
        <f t="shared" si="46"/>
        <v>-73428431.613570273</v>
      </c>
      <c r="CS44" s="217">
        <f t="shared" si="46"/>
        <v>-72804220.866879776</v>
      </c>
      <c r="CT44" s="217">
        <f t="shared" si="46"/>
        <v>-72872651.669947028</v>
      </c>
      <c r="CU44" s="218">
        <f t="shared" si="46"/>
        <v>-72929634.832792148</v>
      </c>
      <c r="CV44" s="217">
        <f t="shared" si="46"/>
        <v>-72247444.158267468</v>
      </c>
      <c r="CW44" s="217">
        <f t="shared" si="46"/>
        <v>-72706549.653024167</v>
      </c>
      <c r="CX44" s="217">
        <f t="shared" si="46"/>
        <v>-72672408.391965374</v>
      </c>
      <c r="CY44" s="217">
        <f t="shared" si="46"/>
        <v>-72139468.25626193</v>
      </c>
      <c r="CZ44" s="217">
        <f t="shared" si="46"/>
        <v>-72121807.648197457</v>
      </c>
      <c r="DA44" s="217">
        <f t="shared" si="46"/>
        <v>-73402532.028470039</v>
      </c>
      <c r="DB44" s="217">
        <f t="shared" si="46"/>
        <v>-72780462.677723393</v>
      </c>
      <c r="DC44" s="217">
        <f t="shared" si="46"/>
        <v>-72704867.870261595</v>
      </c>
      <c r="DD44" s="217">
        <f t="shared" si="46"/>
        <v>-72464411.282758698</v>
      </c>
      <c r="DE44" s="217">
        <f t="shared" si="46"/>
        <v>-71830252.66460377</v>
      </c>
      <c r="DF44" s="217">
        <f t="shared" si="46"/>
        <v>-71896554.307077989</v>
      </c>
      <c r="DG44" s="218">
        <f t="shared" si="46"/>
        <v>-71989195.13242276</v>
      </c>
      <c r="DH44" s="217">
        <f t="shared" si="46"/>
        <v>-71293044.096523702</v>
      </c>
      <c r="DI44" s="217">
        <f t="shared" si="46"/>
        <v>-74674304.270598248</v>
      </c>
      <c r="DJ44" s="217">
        <f t="shared" si="46"/>
        <v>-74674841.998926461</v>
      </c>
      <c r="DK44" s="217">
        <f t="shared" si="46"/>
        <v>-74141533.805811316</v>
      </c>
      <c r="DL44" s="217">
        <f t="shared" si="46"/>
        <v>-74195104.425321594</v>
      </c>
      <c r="DM44" s="217">
        <f t="shared" si="46"/>
        <v>-75593731.580163687</v>
      </c>
      <c r="DN44" s="217">
        <f t="shared" si="46"/>
        <v>-74927990.270954981</v>
      </c>
      <c r="DO44" s="217">
        <f t="shared" si="46"/>
        <v>-74881333.413710386</v>
      </c>
      <c r="DP44" s="217">
        <f t="shared" si="46"/>
        <v>-74662130.921375573</v>
      </c>
      <c r="DQ44" s="217">
        <f t="shared" si="46"/>
        <v>-74020742.123603925</v>
      </c>
      <c r="DR44" s="217">
        <f t="shared" si="46"/>
        <v>-74121432.456071332</v>
      </c>
      <c r="DS44" s="218">
        <f t="shared" si="46"/>
        <v>-74240957.744909376</v>
      </c>
      <c r="DT44" s="916"/>
    </row>
    <row r="45" spans="1:134" s="6" customFormat="1" ht="18.75" customHeight="1" thickBot="1" x14ac:dyDescent="0.3">
      <c r="A45" s="140" t="s">
        <v>129</v>
      </c>
      <c r="B45" s="141"/>
      <c r="D45" s="1138">
        <v>0</v>
      </c>
      <c r="E45" s="1138">
        <v>0</v>
      </c>
      <c r="F45" s="1138">
        <v>0</v>
      </c>
      <c r="G45" s="1138">
        <v>0</v>
      </c>
      <c r="H45" s="1138">
        <v>0</v>
      </c>
      <c r="I45" s="1138">
        <v>0</v>
      </c>
      <c r="J45" s="1138">
        <v>0</v>
      </c>
      <c r="K45" s="1138">
        <v>0</v>
      </c>
      <c r="L45" s="1138">
        <v>0</v>
      </c>
      <c r="M45" s="1138">
        <v>0</v>
      </c>
      <c r="N45" s="1138">
        <v>0</v>
      </c>
      <c r="O45" s="1139">
        <v>0</v>
      </c>
      <c r="P45" s="217">
        <v>0</v>
      </c>
      <c r="Q45" s="217">
        <v>0</v>
      </c>
      <c r="R45" s="217">
        <v>0</v>
      </c>
      <c r="S45" s="217">
        <v>0</v>
      </c>
      <c r="T45" s="217">
        <v>0</v>
      </c>
      <c r="U45" s="217">
        <v>0</v>
      </c>
      <c r="V45" s="217">
        <v>0</v>
      </c>
      <c r="W45" s="217">
        <v>0</v>
      </c>
      <c r="X45" s="217">
        <v>0</v>
      </c>
      <c r="Y45" s="217">
        <v>0</v>
      </c>
      <c r="Z45" s="217">
        <v>0</v>
      </c>
      <c r="AA45" s="218">
        <v>0</v>
      </c>
      <c r="AB45" s="217">
        <v>0</v>
      </c>
      <c r="AC45" s="217">
        <v>0</v>
      </c>
      <c r="AD45" s="217">
        <v>0</v>
      </c>
      <c r="AE45" s="217">
        <v>0</v>
      </c>
      <c r="AF45" s="217">
        <v>0</v>
      </c>
      <c r="AG45" s="217">
        <v>0</v>
      </c>
      <c r="AH45" s="217">
        <v>0</v>
      </c>
      <c r="AI45" s="217">
        <v>0</v>
      </c>
      <c r="AJ45" s="217">
        <v>0</v>
      </c>
      <c r="AK45" s="217">
        <v>0</v>
      </c>
      <c r="AL45" s="217">
        <v>0</v>
      </c>
      <c r="AM45" s="218">
        <v>0</v>
      </c>
      <c r="AN45" s="217">
        <v>0</v>
      </c>
      <c r="AO45" s="217">
        <v>0</v>
      </c>
      <c r="AP45" s="217">
        <v>0</v>
      </c>
      <c r="AQ45" s="217">
        <v>0</v>
      </c>
      <c r="AR45" s="217">
        <v>0</v>
      </c>
      <c r="AS45" s="217">
        <v>0</v>
      </c>
      <c r="AT45" s="217">
        <v>0</v>
      </c>
      <c r="AU45" s="217">
        <v>0</v>
      </c>
      <c r="AV45" s="217">
        <v>0</v>
      </c>
      <c r="AW45" s="217">
        <v>0</v>
      </c>
      <c r="AX45" s="217">
        <v>0</v>
      </c>
      <c r="AY45" s="218">
        <v>0</v>
      </c>
      <c r="AZ45" s="217">
        <v>0</v>
      </c>
      <c r="BA45" s="217">
        <v>0</v>
      </c>
      <c r="BB45" s="217">
        <v>0</v>
      </c>
      <c r="BC45" s="217">
        <v>0</v>
      </c>
      <c r="BD45" s="217">
        <v>0</v>
      </c>
      <c r="BE45" s="217">
        <v>0</v>
      </c>
      <c r="BF45" s="217">
        <v>0</v>
      </c>
      <c r="BG45" s="217">
        <v>0</v>
      </c>
      <c r="BH45" s="217">
        <v>0</v>
      </c>
      <c r="BI45" s="217">
        <v>0</v>
      </c>
      <c r="BJ45" s="217">
        <v>0</v>
      </c>
      <c r="BK45" s="218">
        <v>0</v>
      </c>
      <c r="BL45" s="217">
        <v>0</v>
      </c>
      <c r="BM45" s="217">
        <v>0</v>
      </c>
      <c r="BN45" s="217">
        <v>0</v>
      </c>
      <c r="BO45" s="217">
        <v>0</v>
      </c>
      <c r="BP45" s="217">
        <v>0</v>
      </c>
      <c r="BQ45" s="217">
        <v>0</v>
      </c>
      <c r="BR45" s="217">
        <v>0</v>
      </c>
      <c r="BS45" s="217">
        <v>0</v>
      </c>
      <c r="BT45" s="217">
        <v>0</v>
      </c>
      <c r="BU45" s="217">
        <v>0</v>
      </c>
      <c r="BV45" s="217">
        <v>0</v>
      </c>
      <c r="BW45" s="218">
        <v>0</v>
      </c>
      <c r="BX45" s="217">
        <v>0</v>
      </c>
      <c r="BY45" s="217">
        <v>0</v>
      </c>
      <c r="BZ45" s="217">
        <v>0</v>
      </c>
      <c r="CA45" s="217">
        <v>0</v>
      </c>
      <c r="CB45" s="217">
        <v>0</v>
      </c>
      <c r="CC45" s="217">
        <v>0</v>
      </c>
      <c r="CD45" s="217">
        <v>0</v>
      </c>
      <c r="CE45" s="217">
        <v>0</v>
      </c>
      <c r="CF45" s="217">
        <v>0</v>
      </c>
      <c r="CG45" s="217">
        <v>0</v>
      </c>
      <c r="CH45" s="217">
        <v>0</v>
      </c>
      <c r="CI45" s="218">
        <v>0</v>
      </c>
      <c r="CJ45" s="217">
        <v>0</v>
      </c>
      <c r="CK45" s="217">
        <v>0</v>
      </c>
      <c r="CL45" s="217">
        <v>0</v>
      </c>
      <c r="CM45" s="217">
        <v>0</v>
      </c>
      <c r="CN45" s="217">
        <v>0</v>
      </c>
      <c r="CO45" s="217">
        <v>0</v>
      </c>
      <c r="CP45" s="217">
        <v>0</v>
      </c>
      <c r="CQ45" s="217">
        <v>0</v>
      </c>
      <c r="CR45" s="217">
        <v>0</v>
      </c>
      <c r="CS45" s="217">
        <v>0</v>
      </c>
      <c r="CT45" s="217">
        <v>0</v>
      </c>
      <c r="CU45" s="218">
        <v>0</v>
      </c>
      <c r="CV45" s="217">
        <v>0</v>
      </c>
      <c r="CW45" s="217">
        <v>0</v>
      </c>
      <c r="CX45" s="217">
        <v>0</v>
      </c>
      <c r="CY45" s="217">
        <v>0</v>
      </c>
      <c r="CZ45" s="217">
        <v>0</v>
      </c>
      <c r="DA45" s="217">
        <v>0</v>
      </c>
      <c r="DB45" s="217">
        <v>0</v>
      </c>
      <c r="DC45" s="217">
        <v>0</v>
      </c>
      <c r="DD45" s="217">
        <v>0</v>
      </c>
      <c r="DE45" s="217">
        <v>0</v>
      </c>
      <c r="DF45" s="217">
        <v>0</v>
      </c>
      <c r="DG45" s="218">
        <v>0</v>
      </c>
      <c r="DH45" s="217">
        <v>0</v>
      </c>
      <c r="DI45" s="217">
        <v>0</v>
      </c>
      <c r="DJ45" s="217">
        <v>0</v>
      </c>
      <c r="DK45" s="217">
        <v>0</v>
      </c>
      <c r="DL45" s="217">
        <v>0</v>
      </c>
      <c r="DM45" s="217">
        <v>0</v>
      </c>
      <c r="DN45" s="217">
        <v>0</v>
      </c>
      <c r="DO45" s="217">
        <v>0</v>
      </c>
      <c r="DP45" s="217">
        <v>0</v>
      </c>
      <c r="DQ45" s="217">
        <v>0</v>
      </c>
      <c r="DR45" s="217">
        <v>0</v>
      </c>
      <c r="DS45" s="218">
        <v>0</v>
      </c>
      <c r="DT45" s="916"/>
    </row>
    <row r="46" spans="1:134" s="6" customFormat="1" ht="26.25" customHeight="1" thickBot="1" x14ac:dyDescent="0.35">
      <c r="A46" s="1332" t="s">
        <v>149</v>
      </c>
      <c r="B46" s="1333"/>
      <c r="D46" s="1135">
        <f t="shared" ref="D46:M46" si="47">SUM(D43:D45)</f>
        <v>-3335223.6699384619</v>
      </c>
      <c r="E46" s="1135">
        <f t="shared" si="47"/>
        <v>-6212800.7019595448</v>
      </c>
      <c r="F46" s="1135">
        <f t="shared" si="47"/>
        <v>-8343762.1089806277</v>
      </c>
      <c r="G46" s="1135">
        <f t="shared" si="47"/>
        <v>-12927313.516001709</v>
      </c>
      <c r="H46" s="1135">
        <f t="shared" si="47"/>
        <v>-17510864.923022792</v>
      </c>
      <c r="I46" s="1135">
        <f t="shared" si="47"/>
        <v>-21208216.330043875</v>
      </c>
      <c r="J46" s="1135">
        <f t="shared" si="47"/>
        <v>-23913383.362064958</v>
      </c>
      <c r="K46" s="1135">
        <f t="shared" si="47"/>
        <v>-27991064.681138907</v>
      </c>
      <c r="L46" s="1135">
        <f t="shared" si="47"/>
        <v>-32068746.000212856</v>
      </c>
      <c r="M46" s="1135">
        <f t="shared" si="47"/>
        <v>-34931524.819286808</v>
      </c>
      <c r="N46" s="1135">
        <f t="shared" ref="N46:O46" si="48">SUM(N43:N45)</f>
        <v>-36995403.349297434</v>
      </c>
      <c r="O46" s="1136">
        <f t="shared" si="48"/>
        <v>-37616103.044410899</v>
      </c>
      <c r="P46" s="230">
        <f t="shared" ref="P46:R46" si="49">SUM(P43:P45)</f>
        <v>-38746065.365606755</v>
      </c>
      <c r="Q46" s="230">
        <f t="shared" si="49"/>
        <v>-40415165.400204301</v>
      </c>
      <c r="R46" s="230">
        <f t="shared" si="49"/>
        <v>-41922939.673955806</v>
      </c>
      <c r="S46" s="230">
        <f t="shared" ref="S46:CB46" si="50">SUM(S43:S45)</f>
        <v>-43446172.353068121</v>
      </c>
      <c r="T46" s="230">
        <f t="shared" si="50"/>
        <v>-45226162.606024519</v>
      </c>
      <c r="U46" s="230">
        <f t="shared" si="50"/>
        <v>-46839607.958277054</v>
      </c>
      <c r="V46" s="230">
        <f t="shared" si="50"/>
        <v>-48491190.446628965</v>
      </c>
      <c r="W46" s="230">
        <f t="shared" si="50"/>
        <v>-50410177.889478326</v>
      </c>
      <c r="X46" s="230">
        <f t="shared" si="50"/>
        <v>-51909101.501275405</v>
      </c>
      <c r="Y46" s="230">
        <f t="shared" si="50"/>
        <v>-53476213.295310386</v>
      </c>
      <c r="Z46" s="230">
        <f t="shared" si="50"/>
        <v>-55128313.903673008</v>
      </c>
      <c r="AA46" s="231">
        <f t="shared" si="50"/>
        <v>-56813819.532725856</v>
      </c>
      <c r="AB46" s="230">
        <f t="shared" si="50"/>
        <v>-58730830.377365157</v>
      </c>
      <c r="AC46" s="230">
        <f t="shared" si="50"/>
        <v>-60711973.269265689</v>
      </c>
      <c r="AD46" s="230">
        <f t="shared" si="50"/>
        <v>-62866777.155254647</v>
      </c>
      <c r="AE46" s="230">
        <f t="shared" si="50"/>
        <v>-65072290.736907095</v>
      </c>
      <c r="AF46" s="230">
        <f t="shared" si="50"/>
        <v>-66921242.485814251</v>
      </c>
      <c r="AG46" s="230">
        <f t="shared" si="50"/>
        <v>-68936636.997251883</v>
      </c>
      <c r="AH46" s="230">
        <f t="shared" si="50"/>
        <v>-71063960.612096503</v>
      </c>
      <c r="AI46" s="230">
        <f t="shared" si="50"/>
        <v>-73357719.964163333</v>
      </c>
      <c r="AJ46" s="230">
        <f t="shared" si="50"/>
        <v>-75839530.194833368</v>
      </c>
      <c r="AK46" s="230">
        <f t="shared" si="50"/>
        <v>-78983308.602520153</v>
      </c>
      <c r="AL46" s="230">
        <f t="shared" si="50"/>
        <v>-78874662.90564701</v>
      </c>
      <c r="AM46" s="231">
        <f t="shared" si="50"/>
        <v>-78230496.516960204</v>
      </c>
      <c r="AN46" s="230">
        <f t="shared" si="50"/>
        <v>-78440115.830966711</v>
      </c>
      <c r="AO46" s="230">
        <f t="shared" si="50"/>
        <v>-78277479.524495423</v>
      </c>
      <c r="AP46" s="230">
        <f t="shared" si="50"/>
        <v>-77757833.056639716</v>
      </c>
      <c r="AQ46" s="230">
        <f t="shared" si="50"/>
        <v>-77641329.583951533</v>
      </c>
      <c r="AR46" s="230">
        <f t="shared" si="50"/>
        <v>-78423751.433095276</v>
      </c>
      <c r="AS46" s="230">
        <f t="shared" si="50"/>
        <v>-77837171.051168233</v>
      </c>
      <c r="AT46" s="230">
        <f t="shared" si="50"/>
        <v>-77653056.506259039</v>
      </c>
      <c r="AU46" s="230">
        <f t="shared" si="50"/>
        <v>-77536893.712926477</v>
      </c>
      <c r="AV46" s="230">
        <f t="shared" si="50"/>
        <v>-76942872.167436615</v>
      </c>
      <c r="AW46" s="230">
        <f t="shared" si="50"/>
        <v>-76864771.300697103</v>
      </c>
      <c r="AX46" s="230">
        <f t="shared" si="50"/>
        <v>-76797432.55584617</v>
      </c>
      <c r="AY46" s="231">
        <f t="shared" si="50"/>
        <v>-76158914.251217782</v>
      </c>
      <c r="AZ46" s="230">
        <f t="shared" si="50"/>
        <v>-76432478.907412902</v>
      </c>
      <c r="BA46" s="230">
        <f t="shared" si="50"/>
        <v>-76311993.732297003</v>
      </c>
      <c r="BB46" s="230">
        <f t="shared" si="50"/>
        <v>-75810040.165490493</v>
      </c>
      <c r="BC46" s="230">
        <f t="shared" si="50"/>
        <v>-75737176.13786602</v>
      </c>
      <c r="BD46" s="230">
        <f t="shared" si="50"/>
        <v>-76645498.612252966</v>
      </c>
      <c r="BE46" s="230">
        <f t="shared" si="50"/>
        <v>-76044541.258585289</v>
      </c>
      <c r="BF46" s="230">
        <f t="shared" si="50"/>
        <v>-75899525.659169242</v>
      </c>
      <c r="BG46" s="230">
        <f t="shared" si="50"/>
        <v>-75617935.508748427</v>
      </c>
      <c r="BH46" s="230">
        <f t="shared" si="50"/>
        <v>-75036883.612137377</v>
      </c>
      <c r="BI46" s="230">
        <f t="shared" si="50"/>
        <v>-75004285.270796791</v>
      </c>
      <c r="BJ46" s="230">
        <f t="shared" si="50"/>
        <v>-74984747.304029107</v>
      </c>
      <c r="BK46" s="231">
        <f t="shared" si="50"/>
        <v>-74356174.54790704</v>
      </c>
      <c r="BL46" s="230">
        <f t="shared" si="50"/>
        <v>-76937193.887553245</v>
      </c>
      <c r="BM46" s="230">
        <f t="shared" si="50"/>
        <v>-76801995.87150614</v>
      </c>
      <c r="BN46" s="230">
        <f t="shared" si="50"/>
        <v>-76288934.726222247</v>
      </c>
      <c r="BO46" s="230">
        <f t="shared" si="50"/>
        <v>-76232615.601090848</v>
      </c>
      <c r="BP46" s="230">
        <f t="shared" si="50"/>
        <v>-77221137.445895135</v>
      </c>
      <c r="BQ46" s="230">
        <f t="shared" si="50"/>
        <v>-76603103.36575368</v>
      </c>
      <c r="BR46" s="230">
        <f t="shared" si="50"/>
        <v>-76469769.63296248</v>
      </c>
      <c r="BS46" s="230">
        <f t="shared" si="50"/>
        <v>-76193060.965808094</v>
      </c>
      <c r="BT46" s="230">
        <f t="shared" si="50"/>
        <v>-75595875.857609957</v>
      </c>
      <c r="BU46" s="230">
        <f t="shared" si="50"/>
        <v>-75581730.647625238</v>
      </c>
      <c r="BV46" s="230">
        <f t="shared" si="50"/>
        <v>-75613159.393274382</v>
      </c>
      <c r="BW46" s="231">
        <f t="shared" si="50"/>
        <v>-74935350.201969117</v>
      </c>
      <c r="BX46" s="230">
        <f t="shared" si="50"/>
        <v>-75321922.363997892</v>
      </c>
      <c r="BY46" s="230">
        <f t="shared" si="50"/>
        <v>-75203856.466902748</v>
      </c>
      <c r="BZ46" s="230">
        <f t="shared" si="50"/>
        <v>-74713352.211114019</v>
      </c>
      <c r="CA46" s="230">
        <f t="shared" si="50"/>
        <v>-74645582.893484071</v>
      </c>
      <c r="CB46" s="230">
        <f t="shared" si="50"/>
        <v>-75722299.486976177</v>
      </c>
      <c r="CC46" s="230">
        <f t="shared" ref="CC46:DS46" si="51">SUM(CC43:CC45)</f>
        <v>-75088770.855643526</v>
      </c>
      <c r="CD46" s="230">
        <f t="shared" si="51"/>
        <v>-75002258.544801578</v>
      </c>
      <c r="CE46" s="230">
        <f t="shared" si="51"/>
        <v>-74701894.702989489</v>
      </c>
      <c r="CF46" s="230">
        <f t="shared" si="51"/>
        <v>-74090177.683254525</v>
      </c>
      <c r="CG46" s="230">
        <f t="shared" si="51"/>
        <v>-74098270.247523919</v>
      </c>
      <c r="CH46" s="230">
        <f t="shared" si="51"/>
        <v>-74156876.724970803</v>
      </c>
      <c r="CI46" s="231">
        <f t="shared" si="51"/>
        <v>-73490915.582567424</v>
      </c>
      <c r="CJ46" s="230">
        <f t="shared" si="51"/>
        <v>-73894644.707482293</v>
      </c>
      <c r="CK46" s="230">
        <f t="shared" si="51"/>
        <v>-73831817.218549713</v>
      </c>
      <c r="CL46" s="230">
        <f t="shared" si="51"/>
        <v>-73302768.823025256</v>
      </c>
      <c r="CM46" s="230">
        <f t="shared" si="51"/>
        <v>-73257619.940626621</v>
      </c>
      <c r="CN46" s="230">
        <f t="shared" si="51"/>
        <v>-74431408.620743915</v>
      </c>
      <c r="CO46" s="230">
        <f t="shared" si="51"/>
        <v>-73784408.527046233</v>
      </c>
      <c r="CP46" s="230">
        <f t="shared" si="51"/>
        <v>-73718930.561488375</v>
      </c>
      <c r="CQ46" s="230">
        <f t="shared" si="51"/>
        <v>-73428431.613570273</v>
      </c>
      <c r="CR46" s="230">
        <f t="shared" si="51"/>
        <v>-72804220.866879776</v>
      </c>
      <c r="CS46" s="230">
        <f t="shared" si="51"/>
        <v>-72872651.669947028</v>
      </c>
      <c r="CT46" s="230">
        <f t="shared" si="51"/>
        <v>-72929634.832792148</v>
      </c>
      <c r="CU46" s="231">
        <f t="shared" si="51"/>
        <v>-72247444.158267468</v>
      </c>
      <c r="CV46" s="230">
        <f t="shared" si="51"/>
        <v>-72706549.653024167</v>
      </c>
      <c r="CW46" s="230">
        <f t="shared" si="51"/>
        <v>-72672408.391965374</v>
      </c>
      <c r="CX46" s="230">
        <f t="shared" si="51"/>
        <v>-72139468.25626193</v>
      </c>
      <c r="CY46" s="230">
        <f t="shared" si="51"/>
        <v>-72121807.648197457</v>
      </c>
      <c r="CZ46" s="230">
        <f t="shared" si="51"/>
        <v>-73402532.028470039</v>
      </c>
      <c r="DA46" s="230">
        <f t="shared" si="51"/>
        <v>-72780462.677723393</v>
      </c>
      <c r="DB46" s="230">
        <f t="shared" si="51"/>
        <v>-72704867.870261595</v>
      </c>
      <c r="DC46" s="230">
        <f t="shared" si="51"/>
        <v>-72464411.282758698</v>
      </c>
      <c r="DD46" s="230">
        <f t="shared" si="51"/>
        <v>-71830252.66460377</v>
      </c>
      <c r="DE46" s="230">
        <f t="shared" si="51"/>
        <v>-71896554.307077989</v>
      </c>
      <c r="DF46" s="230">
        <f t="shared" si="51"/>
        <v>-71989195.13242276</v>
      </c>
      <c r="DG46" s="231">
        <f t="shared" si="51"/>
        <v>-71293044.096523702</v>
      </c>
      <c r="DH46" s="230">
        <f t="shared" si="51"/>
        <v>-74674304.270598248</v>
      </c>
      <c r="DI46" s="230">
        <f t="shared" si="51"/>
        <v>-74674841.998926461</v>
      </c>
      <c r="DJ46" s="230">
        <f t="shared" si="51"/>
        <v>-74141533.805811316</v>
      </c>
      <c r="DK46" s="230">
        <f t="shared" si="51"/>
        <v>-74195104.425321594</v>
      </c>
      <c r="DL46" s="230">
        <f t="shared" si="51"/>
        <v>-75593731.580163687</v>
      </c>
      <c r="DM46" s="230">
        <f t="shared" si="51"/>
        <v>-74927990.270954981</v>
      </c>
      <c r="DN46" s="230">
        <f t="shared" si="51"/>
        <v>-74881333.413710386</v>
      </c>
      <c r="DO46" s="230">
        <f t="shared" si="51"/>
        <v>-74662130.921375573</v>
      </c>
      <c r="DP46" s="230">
        <f t="shared" si="51"/>
        <v>-74020742.123603925</v>
      </c>
      <c r="DQ46" s="230">
        <f t="shared" si="51"/>
        <v>-74121432.456071332</v>
      </c>
      <c r="DR46" s="230">
        <f t="shared" si="51"/>
        <v>-74240957.744909376</v>
      </c>
      <c r="DS46" s="231">
        <f t="shared" si="51"/>
        <v>-73509038.254850358</v>
      </c>
      <c r="DT46" s="916"/>
    </row>
  </sheetData>
  <mergeCells count="37">
    <mergeCell ref="BX3:CI3"/>
    <mergeCell ref="CJ3:CU3"/>
    <mergeCell ref="CV3:DG3"/>
    <mergeCell ref="DH3:DS3"/>
    <mergeCell ref="A1:B4"/>
    <mergeCell ref="P3:AA3"/>
    <mergeCell ref="AB3:AM3"/>
    <mergeCell ref="AN3:AY3"/>
    <mergeCell ref="AZ3:BK3"/>
    <mergeCell ref="BL3:BW3"/>
    <mergeCell ref="D1:O1"/>
    <mergeCell ref="D2:O2"/>
    <mergeCell ref="A8:B8"/>
    <mergeCell ref="A6:B7"/>
    <mergeCell ref="D3:O3"/>
    <mergeCell ref="A13:B13"/>
    <mergeCell ref="A14:B14"/>
    <mergeCell ref="D5:O5"/>
    <mergeCell ref="D6:O6"/>
    <mergeCell ref="D7:O7"/>
    <mergeCell ref="A33:B33"/>
    <mergeCell ref="A41:B41"/>
    <mergeCell ref="A46:B46"/>
    <mergeCell ref="A15:B15"/>
    <mergeCell ref="A18:B18"/>
    <mergeCell ref="A20:B20"/>
    <mergeCell ref="A22:B23"/>
    <mergeCell ref="A28:B28"/>
    <mergeCell ref="D30:O30"/>
    <mergeCell ref="D34:O34"/>
    <mergeCell ref="D35:O35"/>
    <mergeCell ref="D42:O42"/>
    <mergeCell ref="D21:O21"/>
    <mergeCell ref="D22:O22"/>
    <mergeCell ref="D23:O23"/>
    <mergeCell ref="D24:O24"/>
    <mergeCell ref="D29:O29"/>
  </mergeCells>
  <pageMargins left="0.25" right="0.25" top="0.75" bottom="0.75" header="0.3" footer="0.3"/>
  <pageSetup paperSize="8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T38"/>
  <sheetViews>
    <sheetView zoomScale="69" zoomScaleNormal="69" zoomScalePageLayoutView="85" workbookViewId="0">
      <pane xSplit="3" ySplit="3" topLeftCell="AH4" activePane="bottomRight" state="frozen"/>
      <selection pane="topRight" activeCell="C1" sqref="C1"/>
      <selection pane="bottomLeft" activeCell="A4" sqref="A4"/>
      <selection pane="bottomRight" activeCell="AO25" sqref="AO25"/>
    </sheetView>
  </sheetViews>
  <sheetFormatPr defaultColWidth="8.85546875" defaultRowHeight="12.75" x14ac:dyDescent="0.2"/>
  <cols>
    <col min="1" max="1" width="1.85546875" style="2" customWidth="1"/>
    <col min="2" max="2" width="26.140625" style="2" customWidth="1"/>
    <col min="3" max="3" width="9.28515625" style="2" customWidth="1"/>
    <col min="4" max="4" width="1.42578125" style="2" customWidth="1"/>
    <col min="5" max="28" width="11.7109375" style="2" customWidth="1"/>
    <col min="29" max="30" width="11.7109375" style="265" customWidth="1"/>
    <col min="31" max="124" width="11.7109375" style="2" customWidth="1"/>
    <col min="125" max="16384" width="8.85546875" style="2"/>
  </cols>
  <sheetData>
    <row r="1" spans="1:124" ht="12.75" customHeight="1" x14ac:dyDescent="0.2">
      <c r="A1" s="1344" t="s">
        <v>132</v>
      </c>
      <c r="B1" s="1344"/>
      <c r="C1" s="134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0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07"/>
      <c r="AC1" s="1249"/>
      <c r="AD1" s="198"/>
      <c r="AE1" s="887"/>
      <c r="AF1" s="887"/>
      <c r="AG1" s="887"/>
      <c r="AH1" s="887"/>
      <c r="AI1" s="887"/>
      <c r="AJ1" s="887"/>
      <c r="AK1" s="887"/>
      <c r="AL1" s="887"/>
      <c r="AM1" s="887"/>
      <c r="AN1" s="842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87"/>
      <c r="AZ1" s="842"/>
      <c r="BA1" s="887"/>
      <c r="BB1" s="887"/>
      <c r="BC1" s="887"/>
      <c r="BD1" s="887"/>
      <c r="BE1" s="887"/>
      <c r="BF1" s="887"/>
      <c r="BG1" s="887"/>
      <c r="BH1" s="887"/>
      <c r="BI1" s="887"/>
      <c r="BJ1" s="887"/>
      <c r="BK1" s="887"/>
      <c r="BL1" s="842"/>
      <c r="BM1" s="887"/>
      <c r="BN1" s="887"/>
      <c r="BO1" s="887"/>
      <c r="BP1" s="887"/>
      <c r="BQ1" s="887"/>
      <c r="BR1" s="887"/>
      <c r="BS1" s="887"/>
      <c r="BT1" s="887"/>
      <c r="BU1" s="887"/>
      <c r="BV1" s="887"/>
      <c r="BW1" s="887"/>
      <c r="BX1" s="842"/>
      <c r="BY1" s="887"/>
      <c r="BZ1" s="887"/>
      <c r="CA1" s="887"/>
      <c r="CB1" s="887"/>
      <c r="CC1" s="887"/>
      <c r="CD1" s="887"/>
      <c r="CE1" s="887"/>
      <c r="CF1" s="887"/>
      <c r="CG1" s="887"/>
      <c r="CH1" s="887"/>
      <c r="CI1" s="887"/>
      <c r="CJ1" s="842"/>
      <c r="CK1" s="887"/>
      <c r="CL1" s="887"/>
      <c r="CM1" s="887"/>
      <c r="CN1" s="887"/>
      <c r="CO1" s="887"/>
      <c r="CP1" s="887"/>
      <c r="CQ1" s="887"/>
      <c r="CR1" s="887"/>
      <c r="CS1" s="887"/>
      <c r="CT1" s="887"/>
      <c r="CU1" s="887"/>
      <c r="CV1" s="842"/>
      <c r="CW1" s="887"/>
      <c r="CX1" s="887"/>
      <c r="CY1" s="887"/>
      <c r="CZ1" s="887"/>
      <c r="DA1" s="887"/>
      <c r="DB1" s="887"/>
      <c r="DC1" s="887"/>
      <c r="DD1" s="887"/>
      <c r="DE1" s="887"/>
      <c r="DF1" s="887"/>
      <c r="DG1" s="887"/>
      <c r="DH1" s="842"/>
      <c r="DI1" s="887"/>
      <c r="DJ1" s="887"/>
      <c r="DK1" s="887"/>
      <c r="DL1" s="887"/>
      <c r="DM1" s="887"/>
      <c r="DN1" s="887"/>
      <c r="DO1" s="887"/>
      <c r="DP1" s="887"/>
      <c r="DQ1" s="887"/>
      <c r="DR1" s="887"/>
      <c r="DS1" s="887"/>
      <c r="DT1" s="842"/>
    </row>
    <row r="2" spans="1:124" s="163" customFormat="1" ht="39" customHeight="1" x14ac:dyDescent="0.2">
      <c r="A2" s="1344"/>
      <c r="B2" s="1344"/>
      <c r="C2" s="1344"/>
      <c r="D2" s="162"/>
      <c r="E2" s="1334" t="s">
        <v>454</v>
      </c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5"/>
      <c r="Q2" s="1340" t="s">
        <v>455</v>
      </c>
      <c r="R2" s="1340"/>
      <c r="S2" s="1340"/>
      <c r="T2" s="1340"/>
      <c r="U2" s="1340"/>
      <c r="V2" s="1340"/>
      <c r="W2" s="1340"/>
      <c r="X2" s="1340"/>
      <c r="Y2" s="1340"/>
      <c r="Z2" s="1340"/>
      <c r="AA2" s="1340"/>
      <c r="AB2" s="1341"/>
      <c r="AC2" s="1343" t="s">
        <v>456</v>
      </c>
      <c r="AD2" s="1340"/>
      <c r="AE2" s="1340"/>
      <c r="AF2" s="1340"/>
      <c r="AG2" s="1340"/>
      <c r="AH2" s="1340"/>
      <c r="AI2" s="1340"/>
      <c r="AJ2" s="1340"/>
      <c r="AK2" s="1340"/>
      <c r="AL2" s="1340"/>
      <c r="AM2" s="1340"/>
      <c r="AN2" s="1341"/>
      <c r="AO2" s="1340" t="s">
        <v>457</v>
      </c>
      <c r="AP2" s="1340"/>
      <c r="AQ2" s="1340"/>
      <c r="AR2" s="1340"/>
      <c r="AS2" s="1340"/>
      <c r="AT2" s="1340"/>
      <c r="AU2" s="1340"/>
      <c r="AV2" s="1340"/>
      <c r="AW2" s="1340"/>
      <c r="AX2" s="1340"/>
      <c r="AY2" s="1340"/>
      <c r="AZ2" s="1341"/>
      <c r="BA2" s="1340" t="s">
        <v>458</v>
      </c>
      <c r="BB2" s="1340"/>
      <c r="BC2" s="1340"/>
      <c r="BD2" s="1340"/>
      <c r="BE2" s="1340"/>
      <c r="BF2" s="1340"/>
      <c r="BG2" s="1340"/>
      <c r="BH2" s="1340"/>
      <c r="BI2" s="1340"/>
      <c r="BJ2" s="1340"/>
      <c r="BK2" s="1340"/>
      <c r="BL2" s="1341"/>
      <c r="BM2" s="1340" t="s">
        <v>459</v>
      </c>
      <c r="BN2" s="1340"/>
      <c r="BO2" s="1340"/>
      <c r="BP2" s="1340"/>
      <c r="BQ2" s="1340"/>
      <c r="BR2" s="1340"/>
      <c r="BS2" s="1340"/>
      <c r="BT2" s="1340"/>
      <c r="BU2" s="1340"/>
      <c r="BV2" s="1340"/>
      <c r="BW2" s="1340"/>
      <c r="BX2" s="1341"/>
      <c r="BY2" s="1340" t="s">
        <v>460</v>
      </c>
      <c r="BZ2" s="1340"/>
      <c r="CA2" s="1340"/>
      <c r="CB2" s="1340"/>
      <c r="CC2" s="1340"/>
      <c r="CD2" s="1340"/>
      <c r="CE2" s="1340"/>
      <c r="CF2" s="1340"/>
      <c r="CG2" s="1340"/>
      <c r="CH2" s="1340"/>
      <c r="CI2" s="1340"/>
      <c r="CJ2" s="1341"/>
      <c r="CK2" s="1340" t="s">
        <v>461</v>
      </c>
      <c r="CL2" s="1340"/>
      <c r="CM2" s="1340"/>
      <c r="CN2" s="1340"/>
      <c r="CO2" s="1340"/>
      <c r="CP2" s="1340"/>
      <c r="CQ2" s="1340"/>
      <c r="CR2" s="1340"/>
      <c r="CS2" s="1340"/>
      <c r="CT2" s="1340"/>
      <c r="CU2" s="1340"/>
      <c r="CV2" s="1341"/>
      <c r="CW2" s="1340" t="s">
        <v>462</v>
      </c>
      <c r="CX2" s="1340"/>
      <c r="CY2" s="1340"/>
      <c r="CZ2" s="1340"/>
      <c r="DA2" s="1340"/>
      <c r="DB2" s="1340"/>
      <c r="DC2" s="1340"/>
      <c r="DD2" s="1340"/>
      <c r="DE2" s="1340"/>
      <c r="DF2" s="1340"/>
      <c r="DG2" s="1340"/>
      <c r="DH2" s="1341"/>
      <c r="DI2" s="1340" t="s">
        <v>463</v>
      </c>
      <c r="DJ2" s="1340"/>
      <c r="DK2" s="1340"/>
      <c r="DL2" s="1340"/>
      <c r="DM2" s="1340"/>
      <c r="DN2" s="1340"/>
      <c r="DO2" s="1340"/>
      <c r="DP2" s="1340"/>
      <c r="DQ2" s="1340"/>
      <c r="DR2" s="1340"/>
      <c r="DS2" s="1340"/>
      <c r="DT2" s="1341"/>
    </row>
    <row r="3" spans="1:124" ht="12.75" customHeight="1" x14ac:dyDescent="0.25">
      <c r="A3" s="1344"/>
      <c r="B3" s="1344"/>
      <c r="C3" s="1344"/>
      <c r="D3" s="702"/>
      <c r="E3" s="703" t="s">
        <v>174</v>
      </c>
      <c r="F3" s="703" t="s">
        <v>175</v>
      </c>
      <c r="G3" s="703" t="s">
        <v>176</v>
      </c>
      <c r="H3" s="703" t="s">
        <v>177</v>
      </c>
      <c r="I3" s="703" t="s">
        <v>166</v>
      </c>
      <c r="J3" s="703" t="s">
        <v>167</v>
      </c>
      <c r="K3" s="703" t="s">
        <v>168</v>
      </c>
      <c r="L3" s="703" t="s">
        <v>169</v>
      </c>
      <c r="M3" s="703" t="s">
        <v>170</v>
      </c>
      <c r="N3" s="703" t="s">
        <v>171</v>
      </c>
      <c r="O3" s="703" t="s">
        <v>172</v>
      </c>
      <c r="P3" s="704" t="s">
        <v>173</v>
      </c>
      <c r="Q3" s="705" t="s">
        <v>174</v>
      </c>
      <c r="R3" s="705" t="s">
        <v>175</v>
      </c>
      <c r="S3" s="705" t="s">
        <v>176</v>
      </c>
      <c r="T3" s="705" t="s">
        <v>177</v>
      </c>
      <c r="U3" s="705" t="s">
        <v>166</v>
      </c>
      <c r="V3" s="705" t="s">
        <v>167</v>
      </c>
      <c r="W3" s="705" t="s">
        <v>168</v>
      </c>
      <c r="X3" s="705" t="s">
        <v>169</v>
      </c>
      <c r="Y3" s="705" t="s">
        <v>170</v>
      </c>
      <c r="Z3" s="705" t="s">
        <v>171</v>
      </c>
      <c r="AA3" s="705" t="s">
        <v>172</v>
      </c>
      <c r="AB3" s="706" t="s">
        <v>173</v>
      </c>
      <c r="AC3" s="1250" t="s">
        <v>174</v>
      </c>
      <c r="AD3" s="705" t="s">
        <v>175</v>
      </c>
      <c r="AE3" s="705" t="s">
        <v>176</v>
      </c>
      <c r="AF3" s="705" t="s">
        <v>177</v>
      </c>
      <c r="AG3" s="705" t="s">
        <v>166</v>
      </c>
      <c r="AH3" s="705" t="s">
        <v>167</v>
      </c>
      <c r="AI3" s="705" t="s">
        <v>168</v>
      </c>
      <c r="AJ3" s="705" t="s">
        <v>169</v>
      </c>
      <c r="AK3" s="705" t="s">
        <v>170</v>
      </c>
      <c r="AL3" s="705" t="s">
        <v>171</v>
      </c>
      <c r="AM3" s="705" t="s">
        <v>172</v>
      </c>
      <c r="AN3" s="706" t="s">
        <v>173</v>
      </c>
      <c r="AO3" s="705" t="s">
        <v>174</v>
      </c>
      <c r="AP3" s="705" t="s">
        <v>175</v>
      </c>
      <c r="AQ3" s="705" t="s">
        <v>176</v>
      </c>
      <c r="AR3" s="705" t="s">
        <v>177</v>
      </c>
      <c r="AS3" s="705" t="s">
        <v>166</v>
      </c>
      <c r="AT3" s="705" t="s">
        <v>167</v>
      </c>
      <c r="AU3" s="705" t="s">
        <v>168</v>
      </c>
      <c r="AV3" s="705" t="s">
        <v>169</v>
      </c>
      <c r="AW3" s="705" t="s">
        <v>170</v>
      </c>
      <c r="AX3" s="705" t="s">
        <v>171</v>
      </c>
      <c r="AY3" s="705" t="s">
        <v>172</v>
      </c>
      <c r="AZ3" s="706" t="s">
        <v>173</v>
      </c>
      <c r="BA3" s="705" t="s">
        <v>174</v>
      </c>
      <c r="BB3" s="705" t="s">
        <v>175</v>
      </c>
      <c r="BC3" s="705" t="s">
        <v>176</v>
      </c>
      <c r="BD3" s="705" t="s">
        <v>177</v>
      </c>
      <c r="BE3" s="705" t="s">
        <v>166</v>
      </c>
      <c r="BF3" s="705" t="s">
        <v>167</v>
      </c>
      <c r="BG3" s="705" t="s">
        <v>168</v>
      </c>
      <c r="BH3" s="705" t="s">
        <v>169</v>
      </c>
      <c r="BI3" s="705" t="s">
        <v>170</v>
      </c>
      <c r="BJ3" s="705" t="s">
        <v>171</v>
      </c>
      <c r="BK3" s="705" t="s">
        <v>172</v>
      </c>
      <c r="BL3" s="706" t="s">
        <v>173</v>
      </c>
      <c r="BM3" s="705" t="s">
        <v>174</v>
      </c>
      <c r="BN3" s="705" t="s">
        <v>175</v>
      </c>
      <c r="BO3" s="705" t="s">
        <v>176</v>
      </c>
      <c r="BP3" s="705" t="s">
        <v>177</v>
      </c>
      <c r="BQ3" s="705" t="s">
        <v>166</v>
      </c>
      <c r="BR3" s="705" t="s">
        <v>167</v>
      </c>
      <c r="BS3" s="705" t="s">
        <v>168</v>
      </c>
      <c r="BT3" s="705" t="s">
        <v>169</v>
      </c>
      <c r="BU3" s="705" t="s">
        <v>170</v>
      </c>
      <c r="BV3" s="705" t="s">
        <v>171</v>
      </c>
      <c r="BW3" s="705" t="s">
        <v>172</v>
      </c>
      <c r="BX3" s="706" t="s">
        <v>173</v>
      </c>
      <c r="BY3" s="705" t="s">
        <v>174</v>
      </c>
      <c r="BZ3" s="705" t="s">
        <v>175</v>
      </c>
      <c r="CA3" s="705" t="s">
        <v>176</v>
      </c>
      <c r="CB3" s="705" t="s">
        <v>177</v>
      </c>
      <c r="CC3" s="705" t="s">
        <v>166</v>
      </c>
      <c r="CD3" s="705" t="s">
        <v>167</v>
      </c>
      <c r="CE3" s="705" t="s">
        <v>168</v>
      </c>
      <c r="CF3" s="705" t="s">
        <v>169</v>
      </c>
      <c r="CG3" s="705" t="s">
        <v>170</v>
      </c>
      <c r="CH3" s="705" t="s">
        <v>171</v>
      </c>
      <c r="CI3" s="705" t="s">
        <v>172</v>
      </c>
      <c r="CJ3" s="706" t="s">
        <v>173</v>
      </c>
      <c r="CK3" s="705" t="s">
        <v>174</v>
      </c>
      <c r="CL3" s="705" t="s">
        <v>175</v>
      </c>
      <c r="CM3" s="705" t="s">
        <v>176</v>
      </c>
      <c r="CN3" s="705" t="s">
        <v>177</v>
      </c>
      <c r="CO3" s="705" t="s">
        <v>166</v>
      </c>
      <c r="CP3" s="705" t="s">
        <v>167</v>
      </c>
      <c r="CQ3" s="705" t="s">
        <v>168</v>
      </c>
      <c r="CR3" s="705" t="s">
        <v>169</v>
      </c>
      <c r="CS3" s="705" t="s">
        <v>170</v>
      </c>
      <c r="CT3" s="705" t="s">
        <v>171</v>
      </c>
      <c r="CU3" s="705" t="s">
        <v>172</v>
      </c>
      <c r="CV3" s="706" t="s">
        <v>173</v>
      </c>
      <c r="CW3" s="705" t="s">
        <v>174</v>
      </c>
      <c r="CX3" s="705" t="s">
        <v>175</v>
      </c>
      <c r="CY3" s="705" t="s">
        <v>176</v>
      </c>
      <c r="CZ3" s="705" t="s">
        <v>177</v>
      </c>
      <c r="DA3" s="705" t="s">
        <v>166</v>
      </c>
      <c r="DB3" s="705" t="s">
        <v>167</v>
      </c>
      <c r="DC3" s="705" t="s">
        <v>168</v>
      </c>
      <c r="DD3" s="705" t="s">
        <v>169</v>
      </c>
      <c r="DE3" s="705" t="s">
        <v>170</v>
      </c>
      <c r="DF3" s="705" t="s">
        <v>171</v>
      </c>
      <c r="DG3" s="705" t="s">
        <v>172</v>
      </c>
      <c r="DH3" s="706" t="s">
        <v>173</v>
      </c>
      <c r="DI3" s="705" t="s">
        <v>174</v>
      </c>
      <c r="DJ3" s="705" t="s">
        <v>175</v>
      </c>
      <c r="DK3" s="705" t="s">
        <v>176</v>
      </c>
      <c r="DL3" s="705" t="s">
        <v>177</v>
      </c>
      <c r="DM3" s="705" t="s">
        <v>166</v>
      </c>
      <c r="DN3" s="705" t="s">
        <v>167</v>
      </c>
      <c r="DO3" s="705" t="s">
        <v>168</v>
      </c>
      <c r="DP3" s="705" t="s">
        <v>169</v>
      </c>
      <c r="DQ3" s="705" t="s">
        <v>170</v>
      </c>
      <c r="DR3" s="705" t="s">
        <v>171</v>
      </c>
      <c r="DS3" s="705" t="s">
        <v>172</v>
      </c>
      <c r="DT3" s="706" t="s">
        <v>173</v>
      </c>
    </row>
    <row r="4" spans="1:124" hidden="1" x14ac:dyDescent="0.2">
      <c r="B4" s="21" t="s">
        <v>88</v>
      </c>
      <c r="C4" s="20"/>
      <c r="D4" s="699" t="e">
        <f>#REF!</f>
        <v>#REF!</v>
      </c>
      <c r="E4" s="699" t="e">
        <f>#REF!</f>
        <v>#REF!</v>
      </c>
      <c r="F4" s="699" t="e">
        <f>#REF!</f>
        <v>#REF!</v>
      </c>
      <c r="G4" s="699" t="e">
        <f>#REF!</f>
        <v>#REF!</v>
      </c>
      <c r="H4" s="699" t="e">
        <f>#REF!</f>
        <v>#REF!</v>
      </c>
      <c r="I4" s="699" t="e">
        <f>#REF!</f>
        <v>#REF!</v>
      </c>
      <c r="J4" s="699" t="e">
        <f>#REF!</f>
        <v>#REF!</v>
      </c>
      <c r="K4" s="699" t="e">
        <f>#REF!</f>
        <v>#REF!</v>
      </c>
      <c r="L4" s="699" t="e">
        <f>#REF!</f>
        <v>#REF!</v>
      </c>
      <c r="M4" s="699" t="e">
        <f>#REF!</f>
        <v>#REF!</v>
      </c>
      <c r="N4" s="699" t="e">
        <f>#REF!</f>
        <v>#REF!</v>
      </c>
      <c r="O4" s="699" t="e">
        <f>#REF!</f>
        <v>#REF!</v>
      </c>
      <c r="P4" s="700" t="e">
        <f>#REF!</f>
        <v>#REF!</v>
      </c>
      <c r="Q4" s="701" t="e">
        <f>#REF!</f>
        <v>#REF!</v>
      </c>
      <c r="R4" s="699" t="e">
        <f>#REF!</f>
        <v>#REF!</v>
      </c>
      <c r="S4" s="699" t="e">
        <f>#REF!</f>
        <v>#REF!</v>
      </c>
      <c r="T4" s="699" t="e">
        <f>#REF!</f>
        <v>#REF!</v>
      </c>
      <c r="U4" s="699" t="e">
        <f>#REF!</f>
        <v>#REF!</v>
      </c>
      <c r="V4" s="699" t="e">
        <f>#REF!</f>
        <v>#REF!</v>
      </c>
      <c r="W4" s="699" t="e">
        <f>#REF!</f>
        <v>#REF!</v>
      </c>
      <c r="X4" s="699" t="e">
        <f>#REF!</f>
        <v>#REF!</v>
      </c>
      <c r="Y4" s="699" t="e">
        <f>#REF!</f>
        <v>#REF!</v>
      </c>
      <c r="Z4" s="699" t="e">
        <f>#REF!</f>
        <v>#REF!</v>
      </c>
      <c r="AA4" s="699" t="e">
        <f>#REF!</f>
        <v>#REF!</v>
      </c>
      <c r="AB4" s="700" t="e">
        <f>#REF!</f>
        <v>#REF!</v>
      </c>
      <c r="AC4" s="1251" t="e">
        <f>#REF!</f>
        <v>#REF!</v>
      </c>
      <c r="AD4" s="699" t="e">
        <f>#REF!</f>
        <v>#REF!</v>
      </c>
      <c r="AE4" s="699" t="e">
        <f>#REF!</f>
        <v>#REF!</v>
      </c>
      <c r="AF4" s="699" t="e">
        <f>#REF!</f>
        <v>#REF!</v>
      </c>
      <c r="AG4" s="699" t="e">
        <f>#REF!</f>
        <v>#REF!</v>
      </c>
      <c r="AH4" s="699" t="e">
        <f>#REF!</f>
        <v>#REF!</v>
      </c>
      <c r="AI4" s="699" t="e">
        <f>#REF!</f>
        <v>#REF!</v>
      </c>
      <c r="AJ4" s="699" t="e">
        <f>#REF!</f>
        <v>#REF!</v>
      </c>
      <c r="AK4" s="699" t="e">
        <f>#REF!</f>
        <v>#REF!</v>
      </c>
      <c r="AL4" s="699" t="e">
        <f>#REF!</f>
        <v>#REF!</v>
      </c>
      <c r="AM4" s="699" t="e">
        <f>#REF!</f>
        <v>#REF!</v>
      </c>
      <c r="AN4" s="700" t="e">
        <f>#REF!</f>
        <v>#REF!</v>
      </c>
      <c r="AO4" s="701" t="e">
        <f>#REF!</f>
        <v>#REF!</v>
      </c>
      <c r="AP4" s="699" t="e">
        <f>#REF!</f>
        <v>#REF!</v>
      </c>
      <c r="AQ4" s="699" t="e">
        <f>#REF!</f>
        <v>#REF!</v>
      </c>
      <c r="AR4" s="699" t="e">
        <f>#REF!</f>
        <v>#REF!</v>
      </c>
      <c r="AS4" s="699" t="e">
        <f>#REF!</f>
        <v>#REF!</v>
      </c>
      <c r="AT4" s="699" t="e">
        <f>#REF!</f>
        <v>#REF!</v>
      </c>
      <c r="AU4" s="699" t="e">
        <f>#REF!</f>
        <v>#REF!</v>
      </c>
      <c r="AV4" s="699" t="e">
        <f>#REF!</f>
        <v>#REF!</v>
      </c>
      <c r="AW4" s="699" t="e">
        <f>#REF!</f>
        <v>#REF!</v>
      </c>
      <c r="AX4" s="699" t="e">
        <f>#REF!</f>
        <v>#REF!</v>
      </c>
      <c r="AY4" s="699" t="e">
        <f>#REF!</f>
        <v>#REF!</v>
      </c>
      <c r="AZ4" s="700" t="e">
        <f>#REF!</f>
        <v>#REF!</v>
      </c>
      <c r="BA4" s="701" t="e">
        <f>#REF!</f>
        <v>#REF!</v>
      </c>
      <c r="BB4" s="699" t="e">
        <f>#REF!</f>
        <v>#REF!</v>
      </c>
      <c r="BC4" s="699" t="e">
        <f>#REF!</f>
        <v>#REF!</v>
      </c>
      <c r="BD4" s="699" t="e">
        <f>#REF!</f>
        <v>#REF!</v>
      </c>
      <c r="BE4" s="699" t="e">
        <f>#REF!</f>
        <v>#REF!</v>
      </c>
      <c r="BF4" s="699" t="e">
        <f>#REF!</f>
        <v>#REF!</v>
      </c>
      <c r="BG4" s="699" t="e">
        <f>#REF!</f>
        <v>#REF!</v>
      </c>
      <c r="BH4" s="699" t="e">
        <f>#REF!</f>
        <v>#REF!</v>
      </c>
      <c r="BI4" s="699" t="e">
        <f>#REF!</f>
        <v>#REF!</v>
      </c>
      <c r="BJ4" s="699" t="e">
        <f>#REF!</f>
        <v>#REF!</v>
      </c>
      <c r="BK4" s="699" t="e">
        <f>#REF!</f>
        <v>#REF!</v>
      </c>
      <c r="BL4" s="700" t="e">
        <f>#REF!</f>
        <v>#REF!</v>
      </c>
      <c r="BM4" s="701" t="e">
        <f>#REF!</f>
        <v>#REF!</v>
      </c>
      <c r="BN4" s="699" t="e">
        <f>#REF!</f>
        <v>#REF!</v>
      </c>
      <c r="BO4" s="699" t="e">
        <f>#REF!</f>
        <v>#REF!</v>
      </c>
      <c r="BP4" s="699" t="e">
        <f>#REF!</f>
        <v>#REF!</v>
      </c>
      <c r="BQ4" s="699" t="e">
        <f>#REF!</f>
        <v>#REF!</v>
      </c>
      <c r="BR4" s="699" t="e">
        <f>#REF!</f>
        <v>#REF!</v>
      </c>
      <c r="BS4" s="699" t="e">
        <f>#REF!</f>
        <v>#REF!</v>
      </c>
      <c r="BT4" s="699" t="e">
        <f>#REF!</f>
        <v>#REF!</v>
      </c>
      <c r="BU4" s="699" t="e">
        <f>#REF!</f>
        <v>#REF!</v>
      </c>
      <c r="BV4" s="699" t="e">
        <f>#REF!</f>
        <v>#REF!</v>
      </c>
      <c r="BW4" s="699" t="e">
        <f>#REF!</f>
        <v>#REF!</v>
      </c>
      <c r="BX4" s="700" t="e">
        <f>#REF!</f>
        <v>#REF!</v>
      </c>
      <c r="BY4" s="701" t="e">
        <f>#REF!</f>
        <v>#REF!</v>
      </c>
      <c r="BZ4" s="699" t="e">
        <f>#REF!</f>
        <v>#REF!</v>
      </c>
      <c r="CA4" s="699" t="e">
        <f>#REF!</f>
        <v>#REF!</v>
      </c>
      <c r="CB4" s="699" t="e">
        <f>#REF!</f>
        <v>#REF!</v>
      </c>
      <c r="CC4" s="699" t="e">
        <f>#REF!</f>
        <v>#REF!</v>
      </c>
      <c r="CD4" s="699" t="e">
        <f>#REF!</f>
        <v>#REF!</v>
      </c>
      <c r="CE4" s="699" t="e">
        <f>#REF!</f>
        <v>#REF!</v>
      </c>
      <c r="CF4" s="699" t="e">
        <f>#REF!</f>
        <v>#REF!</v>
      </c>
      <c r="CG4" s="699" t="e">
        <f>#REF!</f>
        <v>#REF!</v>
      </c>
      <c r="CH4" s="699" t="e">
        <f>#REF!</f>
        <v>#REF!</v>
      </c>
      <c r="CI4" s="699" t="e">
        <f>#REF!</f>
        <v>#REF!</v>
      </c>
      <c r="CJ4" s="700" t="e">
        <f>#REF!</f>
        <v>#REF!</v>
      </c>
      <c r="CK4" s="701" t="e">
        <f>#REF!</f>
        <v>#REF!</v>
      </c>
      <c r="CL4" s="699" t="e">
        <f>#REF!</f>
        <v>#REF!</v>
      </c>
      <c r="CM4" s="699" t="e">
        <f>#REF!</f>
        <v>#REF!</v>
      </c>
      <c r="CN4" s="699" t="e">
        <f>#REF!</f>
        <v>#REF!</v>
      </c>
      <c r="CO4" s="699" t="e">
        <f>#REF!</f>
        <v>#REF!</v>
      </c>
      <c r="CP4" s="699" t="e">
        <f>#REF!</f>
        <v>#REF!</v>
      </c>
      <c r="CQ4" s="699" t="e">
        <f>#REF!</f>
        <v>#REF!</v>
      </c>
      <c r="CR4" s="699" t="e">
        <f>#REF!</f>
        <v>#REF!</v>
      </c>
      <c r="CS4" s="699" t="e">
        <f>#REF!</f>
        <v>#REF!</v>
      </c>
      <c r="CT4" s="699" t="e">
        <f>#REF!</f>
        <v>#REF!</v>
      </c>
      <c r="CU4" s="699" t="e">
        <f>#REF!</f>
        <v>#REF!</v>
      </c>
      <c r="CV4" s="700" t="e">
        <f>#REF!</f>
        <v>#REF!</v>
      </c>
      <c r="CW4" s="701" t="e">
        <f>#REF!</f>
        <v>#REF!</v>
      </c>
      <c r="CX4" s="699" t="e">
        <f>#REF!</f>
        <v>#REF!</v>
      </c>
      <c r="CY4" s="699" t="e">
        <f>#REF!</f>
        <v>#REF!</v>
      </c>
      <c r="CZ4" s="699" t="e">
        <f>#REF!</f>
        <v>#REF!</v>
      </c>
      <c r="DA4" s="699" t="e">
        <f>#REF!</f>
        <v>#REF!</v>
      </c>
      <c r="DB4" s="699" t="e">
        <f>#REF!</f>
        <v>#REF!</v>
      </c>
      <c r="DC4" s="699" t="e">
        <f>#REF!</f>
        <v>#REF!</v>
      </c>
      <c r="DD4" s="699" t="e">
        <f>#REF!</f>
        <v>#REF!</v>
      </c>
      <c r="DE4" s="699" t="e">
        <f>#REF!</f>
        <v>#REF!</v>
      </c>
      <c r="DF4" s="699" t="e">
        <f>#REF!</f>
        <v>#REF!</v>
      </c>
      <c r="DG4" s="699" t="e">
        <f>#REF!</f>
        <v>#REF!</v>
      </c>
      <c r="DH4" s="700" t="e">
        <f>#REF!</f>
        <v>#REF!</v>
      </c>
      <c r="DI4" s="701" t="e">
        <f>#REF!</f>
        <v>#REF!</v>
      </c>
      <c r="DJ4" s="699" t="e">
        <f>#REF!</f>
        <v>#REF!</v>
      </c>
      <c r="DK4" s="699" t="e">
        <f>#REF!</f>
        <v>#REF!</v>
      </c>
      <c r="DL4" s="699" t="e">
        <f>#REF!</f>
        <v>#REF!</v>
      </c>
      <c r="DM4" s="699" t="e">
        <f>#REF!</f>
        <v>#REF!</v>
      </c>
      <c r="DN4" s="699" t="e">
        <f>#REF!</f>
        <v>#REF!</v>
      </c>
      <c r="DO4" s="699" t="e">
        <f>#REF!</f>
        <v>#REF!</v>
      </c>
      <c r="DP4" s="699" t="e">
        <f>#REF!</f>
        <v>#REF!</v>
      </c>
      <c r="DQ4" s="699" t="e">
        <f>#REF!</f>
        <v>#REF!</v>
      </c>
      <c r="DR4" s="699" t="e">
        <f>#REF!</f>
        <v>#REF!</v>
      </c>
      <c r="DS4" s="699" t="e">
        <f>#REF!</f>
        <v>#REF!</v>
      </c>
      <c r="DT4" s="700" t="e">
        <f>#REF!</f>
        <v>#REF!</v>
      </c>
    </row>
    <row r="5" spans="1:124" hidden="1" x14ac:dyDescent="0.2">
      <c r="B5" s="21" t="s">
        <v>89</v>
      </c>
      <c r="C5" s="20"/>
      <c r="D5" s="22" t="e">
        <f>#REF!</f>
        <v>#REF!</v>
      </c>
      <c r="E5" s="22" t="e">
        <f>#REF!</f>
        <v>#REF!</v>
      </c>
      <c r="F5" s="22" t="e">
        <f>#REF!</f>
        <v>#REF!</v>
      </c>
      <c r="G5" s="22" t="e">
        <f>#REF!</f>
        <v>#REF!</v>
      </c>
      <c r="H5" s="22" t="e">
        <f>#REF!</f>
        <v>#REF!</v>
      </c>
      <c r="I5" s="22" t="e">
        <f>#REF!</f>
        <v>#REF!</v>
      </c>
      <c r="J5" s="22" t="e">
        <f>#REF!</f>
        <v>#REF!</v>
      </c>
      <c r="K5" s="22" t="e">
        <f>#REF!</f>
        <v>#REF!</v>
      </c>
      <c r="L5" s="22" t="e">
        <f>#REF!</f>
        <v>#REF!</v>
      </c>
      <c r="M5" s="22" t="e">
        <f>#REF!</f>
        <v>#REF!</v>
      </c>
      <c r="N5" s="22" t="e">
        <f>#REF!</f>
        <v>#REF!</v>
      </c>
      <c r="O5" s="22" t="e">
        <f>#REF!</f>
        <v>#REF!</v>
      </c>
      <c r="P5" s="593" t="e">
        <f>#REF!</f>
        <v>#REF!</v>
      </c>
      <c r="Q5" s="690" t="e">
        <f>#REF!</f>
        <v>#REF!</v>
      </c>
      <c r="R5" s="22" t="e">
        <f>#REF!</f>
        <v>#REF!</v>
      </c>
      <c r="S5" s="22" t="e">
        <f>#REF!</f>
        <v>#REF!</v>
      </c>
      <c r="T5" s="22" t="e">
        <f>#REF!</f>
        <v>#REF!</v>
      </c>
      <c r="U5" s="22" t="e">
        <f>#REF!</f>
        <v>#REF!</v>
      </c>
      <c r="V5" s="22" t="e">
        <f>#REF!</f>
        <v>#REF!</v>
      </c>
      <c r="W5" s="22" t="e">
        <f>#REF!</f>
        <v>#REF!</v>
      </c>
      <c r="X5" s="22" t="e">
        <f>#REF!</f>
        <v>#REF!</v>
      </c>
      <c r="Y5" s="22" t="e">
        <f>#REF!</f>
        <v>#REF!</v>
      </c>
      <c r="Z5" s="22" t="e">
        <f>#REF!</f>
        <v>#REF!</v>
      </c>
      <c r="AA5" s="22" t="e">
        <f>#REF!</f>
        <v>#REF!</v>
      </c>
      <c r="AB5" s="593" t="e">
        <f>#REF!</f>
        <v>#REF!</v>
      </c>
      <c r="AC5" s="844" t="e">
        <f>#REF!</f>
        <v>#REF!</v>
      </c>
      <c r="AD5" s="834" t="e">
        <f>#REF!</f>
        <v>#REF!</v>
      </c>
      <c r="AE5" s="834" t="e">
        <f>#REF!</f>
        <v>#REF!</v>
      </c>
      <c r="AF5" s="834" t="e">
        <f>#REF!</f>
        <v>#REF!</v>
      </c>
      <c r="AG5" s="834" t="e">
        <f>#REF!</f>
        <v>#REF!</v>
      </c>
      <c r="AH5" s="834" t="e">
        <f>#REF!</f>
        <v>#REF!</v>
      </c>
      <c r="AI5" s="834" t="e">
        <f>#REF!</f>
        <v>#REF!</v>
      </c>
      <c r="AJ5" s="834" t="e">
        <f>#REF!</f>
        <v>#REF!</v>
      </c>
      <c r="AK5" s="834" t="e">
        <f>#REF!</f>
        <v>#REF!</v>
      </c>
      <c r="AL5" s="834" t="e">
        <f>#REF!</f>
        <v>#REF!</v>
      </c>
      <c r="AM5" s="834" t="e">
        <f>#REF!</f>
        <v>#REF!</v>
      </c>
      <c r="AN5" s="847" t="e">
        <f>#REF!</f>
        <v>#REF!</v>
      </c>
      <c r="AO5" s="690" t="e">
        <f>#REF!</f>
        <v>#REF!</v>
      </c>
      <c r="AP5" s="834" t="e">
        <f>#REF!</f>
        <v>#REF!</v>
      </c>
      <c r="AQ5" s="834" t="e">
        <f>#REF!</f>
        <v>#REF!</v>
      </c>
      <c r="AR5" s="834" t="e">
        <f>#REF!</f>
        <v>#REF!</v>
      </c>
      <c r="AS5" s="834" t="e">
        <f>#REF!</f>
        <v>#REF!</v>
      </c>
      <c r="AT5" s="834" t="e">
        <f>#REF!</f>
        <v>#REF!</v>
      </c>
      <c r="AU5" s="834" t="e">
        <f>#REF!</f>
        <v>#REF!</v>
      </c>
      <c r="AV5" s="834" t="e">
        <f>#REF!</f>
        <v>#REF!</v>
      </c>
      <c r="AW5" s="834" t="e">
        <f>#REF!</f>
        <v>#REF!</v>
      </c>
      <c r="AX5" s="834" t="e">
        <f>#REF!</f>
        <v>#REF!</v>
      </c>
      <c r="AY5" s="834" t="e">
        <f>#REF!</f>
        <v>#REF!</v>
      </c>
      <c r="AZ5" s="847" t="e">
        <f>#REF!</f>
        <v>#REF!</v>
      </c>
      <c r="BA5" s="690" t="e">
        <f>#REF!</f>
        <v>#REF!</v>
      </c>
      <c r="BB5" s="834" t="e">
        <f>#REF!</f>
        <v>#REF!</v>
      </c>
      <c r="BC5" s="834" t="e">
        <f>#REF!</f>
        <v>#REF!</v>
      </c>
      <c r="BD5" s="834" t="e">
        <f>#REF!</f>
        <v>#REF!</v>
      </c>
      <c r="BE5" s="834" t="e">
        <f>#REF!</f>
        <v>#REF!</v>
      </c>
      <c r="BF5" s="834" t="e">
        <f>#REF!</f>
        <v>#REF!</v>
      </c>
      <c r="BG5" s="834" t="e">
        <f>#REF!</f>
        <v>#REF!</v>
      </c>
      <c r="BH5" s="834" t="e">
        <f>#REF!</f>
        <v>#REF!</v>
      </c>
      <c r="BI5" s="834" t="e">
        <f>#REF!</f>
        <v>#REF!</v>
      </c>
      <c r="BJ5" s="834" t="e">
        <f>#REF!</f>
        <v>#REF!</v>
      </c>
      <c r="BK5" s="834" t="e">
        <f>#REF!</f>
        <v>#REF!</v>
      </c>
      <c r="BL5" s="847" t="e">
        <f>#REF!</f>
        <v>#REF!</v>
      </c>
      <c r="BM5" s="690" t="e">
        <f>#REF!</f>
        <v>#REF!</v>
      </c>
      <c r="BN5" s="834" t="e">
        <f>#REF!</f>
        <v>#REF!</v>
      </c>
      <c r="BO5" s="834" t="e">
        <f>#REF!</f>
        <v>#REF!</v>
      </c>
      <c r="BP5" s="834" t="e">
        <f>#REF!</f>
        <v>#REF!</v>
      </c>
      <c r="BQ5" s="834" t="e">
        <f>#REF!</f>
        <v>#REF!</v>
      </c>
      <c r="BR5" s="834" t="e">
        <f>#REF!</f>
        <v>#REF!</v>
      </c>
      <c r="BS5" s="834" t="e">
        <f>#REF!</f>
        <v>#REF!</v>
      </c>
      <c r="BT5" s="834" t="e">
        <f>#REF!</f>
        <v>#REF!</v>
      </c>
      <c r="BU5" s="834" t="e">
        <f>#REF!</f>
        <v>#REF!</v>
      </c>
      <c r="BV5" s="834" t="e">
        <f>#REF!</f>
        <v>#REF!</v>
      </c>
      <c r="BW5" s="834" t="e">
        <f>#REF!</f>
        <v>#REF!</v>
      </c>
      <c r="BX5" s="847" t="e">
        <f>#REF!</f>
        <v>#REF!</v>
      </c>
      <c r="BY5" s="690" t="e">
        <f>#REF!</f>
        <v>#REF!</v>
      </c>
      <c r="BZ5" s="834" t="e">
        <f>#REF!</f>
        <v>#REF!</v>
      </c>
      <c r="CA5" s="834" t="e">
        <f>#REF!</f>
        <v>#REF!</v>
      </c>
      <c r="CB5" s="834" t="e">
        <f>#REF!</f>
        <v>#REF!</v>
      </c>
      <c r="CC5" s="834" t="e">
        <f>#REF!</f>
        <v>#REF!</v>
      </c>
      <c r="CD5" s="834" t="e">
        <f>#REF!</f>
        <v>#REF!</v>
      </c>
      <c r="CE5" s="834" t="e">
        <f>#REF!</f>
        <v>#REF!</v>
      </c>
      <c r="CF5" s="834" t="e">
        <f>#REF!</f>
        <v>#REF!</v>
      </c>
      <c r="CG5" s="834" t="e">
        <f>#REF!</f>
        <v>#REF!</v>
      </c>
      <c r="CH5" s="834" t="e">
        <f>#REF!</f>
        <v>#REF!</v>
      </c>
      <c r="CI5" s="834" t="e">
        <f>#REF!</f>
        <v>#REF!</v>
      </c>
      <c r="CJ5" s="847" t="e">
        <f>#REF!</f>
        <v>#REF!</v>
      </c>
      <c r="CK5" s="690" t="e">
        <f>#REF!</f>
        <v>#REF!</v>
      </c>
      <c r="CL5" s="834" t="e">
        <f>#REF!</f>
        <v>#REF!</v>
      </c>
      <c r="CM5" s="834" t="e">
        <f>#REF!</f>
        <v>#REF!</v>
      </c>
      <c r="CN5" s="834" t="e">
        <f>#REF!</f>
        <v>#REF!</v>
      </c>
      <c r="CO5" s="834" t="e">
        <f>#REF!</f>
        <v>#REF!</v>
      </c>
      <c r="CP5" s="834" t="e">
        <f>#REF!</f>
        <v>#REF!</v>
      </c>
      <c r="CQ5" s="834" t="e">
        <f>#REF!</f>
        <v>#REF!</v>
      </c>
      <c r="CR5" s="834" t="e">
        <f>#REF!</f>
        <v>#REF!</v>
      </c>
      <c r="CS5" s="834" t="e">
        <f>#REF!</f>
        <v>#REF!</v>
      </c>
      <c r="CT5" s="834" t="e">
        <f>#REF!</f>
        <v>#REF!</v>
      </c>
      <c r="CU5" s="834" t="e">
        <f>#REF!</f>
        <v>#REF!</v>
      </c>
      <c r="CV5" s="847" t="e">
        <f>#REF!</f>
        <v>#REF!</v>
      </c>
      <c r="CW5" s="690" t="e">
        <f>#REF!</f>
        <v>#REF!</v>
      </c>
      <c r="CX5" s="834" t="e">
        <f>#REF!</f>
        <v>#REF!</v>
      </c>
      <c r="CY5" s="834" t="e">
        <f>#REF!</f>
        <v>#REF!</v>
      </c>
      <c r="CZ5" s="834" t="e">
        <f>#REF!</f>
        <v>#REF!</v>
      </c>
      <c r="DA5" s="834" t="e">
        <f>#REF!</f>
        <v>#REF!</v>
      </c>
      <c r="DB5" s="834" t="e">
        <f>#REF!</f>
        <v>#REF!</v>
      </c>
      <c r="DC5" s="834" t="e">
        <f>#REF!</f>
        <v>#REF!</v>
      </c>
      <c r="DD5" s="834" t="e">
        <f>#REF!</f>
        <v>#REF!</v>
      </c>
      <c r="DE5" s="834" t="e">
        <f>#REF!</f>
        <v>#REF!</v>
      </c>
      <c r="DF5" s="834" t="e">
        <f>#REF!</f>
        <v>#REF!</v>
      </c>
      <c r="DG5" s="834" t="e">
        <f>#REF!</f>
        <v>#REF!</v>
      </c>
      <c r="DH5" s="847" t="e">
        <f>#REF!</f>
        <v>#REF!</v>
      </c>
      <c r="DI5" s="690" t="e">
        <f>#REF!</f>
        <v>#REF!</v>
      </c>
      <c r="DJ5" s="834" t="e">
        <f>#REF!</f>
        <v>#REF!</v>
      </c>
      <c r="DK5" s="834" t="e">
        <f>#REF!</f>
        <v>#REF!</v>
      </c>
      <c r="DL5" s="834" t="e">
        <f>#REF!</f>
        <v>#REF!</v>
      </c>
      <c r="DM5" s="834" t="e">
        <f>#REF!</f>
        <v>#REF!</v>
      </c>
      <c r="DN5" s="834" t="e">
        <f>#REF!</f>
        <v>#REF!</v>
      </c>
      <c r="DO5" s="834" t="e">
        <f>#REF!</f>
        <v>#REF!</v>
      </c>
      <c r="DP5" s="834" t="e">
        <f>#REF!</f>
        <v>#REF!</v>
      </c>
      <c r="DQ5" s="834" t="e">
        <f>#REF!</f>
        <v>#REF!</v>
      </c>
      <c r="DR5" s="834" t="e">
        <f>#REF!</f>
        <v>#REF!</v>
      </c>
      <c r="DS5" s="834" t="e">
        <f>#REF!</f>
        <v>#REF!</v>
      </c>
      <c r="DT5" s="847" t="e">
        <f>#REF!</f>
        <v>#REF!</v>
      </c>
    </row>
    <row r="6" spans="1:124" hidden="1" x14ac:dyDescent="0.2">
      <c r="B6" s="21" t="s">
        <v>307</v>
      </c>
      <c r="C6" s="20"/>
      <c r="D6" s="22">
        <f>Assumptions!E7</f>
        <v>1</v>
      </c>
      <c r="E6" s="22">
        <f>Assumptions!$E$7</f>
        <v>1</v>
      </c>
      <c r="F6" s="22">
        <f>Assumptions!$E$7</f>
        <v>1</v>
      </c>
      <c r="G6" s="22">
        <f>Assumptions!$E$7</f>
        <v>1</v>
      </c>
      <c r="H6" s="22">
        <f>Assumptions!$E$7</f>
        <v>1</v>
      </c>
      <c r="I6" s="22">
        <f>Assumptions!$E$7</f>
        <v>1</v>
      </c>
      <c r="J6" s="22">
        <f>Assumptions!$E$7</f>
        <v>1</v>
      </c>
      <c r="K6" s="22">
        <f>Assumptions!$E$7</f>
        <v>1</v>
      </c>
      <c r="L6" s="22">
        <f>Assumptions!$E$7</f>
        <v>1</v>
      </c>
      <c r="M6" s="22">
        <f>Assumptions!$E$7</f>
        <v>1</v>
      </c>
      <c r="N6" s="22">
        <f>Assumptions!$E$7</f>
        <v>1</v>
      </c>
      <c r="O6" s="22">
        <f>Assumptions!$E$7</f>
        <v>1</v>
      </c>
      <c r="P6" s="593">
        <f>Assumptions!$E$7</f>
        <v>1</v>
      </c>
      <c r="Q6" s="690">
        <f>Assumptions!$F7</f>
        <v>1.0629999999999999</v>
      </c>
      <c r="R6" s="22">
        <f>Assumptions!$F7</f>
        <v>1.0629999999999999</v>
      </c>
      <c r="S6" s="22">
        <f>Assumptions!$F7</f>
        <v>1.0629999999999999</v>
      </c>
      <c r="T6" s="22">
        <f>Assumptions!$F7</f>
        <v>1.0629999999999999</v>
      </c>
      <c r="U6" s="22">
        <f>Assumptions!$F7</f>
        <v>1.0629999999999999</v>
      </c>
      <c r="V6" s="22">
        <f>Assumptions!$F7</f>
        <v>1.0629999999999999</v>
      </c>
      <c r="W6" s="22">
        <f>Assumptions!$F7</f>
        <v>1.0629999999999999</v>
      </c>
      <c r="X6" s="22">
        <f>Assumptions!$F7</f>
        <v>1.0629999999999999</v>
      </c>
      <c r="Y6" s="22">
        <f>Assumptions!$F7</f>
        <v>1.0629999999999999</v>
      </c>
      <c r="Z6" s="22">
        <f>Assumptions!$F7</f>
        <v>1.0629999999999999</v>
      </c>
      <c r="AA6" s="22">
        <f>Assumptions!$F7</f>
        <v>1.0629999999999999</v>
      </c>
      <c r="AB6" s="593">
        <f>Assumptions!$F7</f>
        <v>1.0629999999999999</v>
      </c>
      <c r="AC6" s="844">
        <f>Assumptions!$G7</f>
        <v>1.1299689999999998</v>
      </c>
      <c r="AD6" s="834">
        <f>Assumptions!$G7</f>
        <v>1.1299689999999998</v>
      </c>
      <c r="AE6" s="834">
        <f>Assumptions!$G7</f>
        <v>1.1299689999999998</v>
      </c>
      <c r="AF6" s="834">
        <f>Assumptions!$G7</f>
        <v>1.1299689999999998</v>
      </c>
      <c r="AG6" s="834">
        <f>Assumptions!$G7</f>
        <v>1.1299689999999998</v>
      </c>
      <c r="AH6" s="834">
        <f>Assumptions!$G7</f>
        <v>1.1299689999999998</v>
      </c>
      <c r="AI6" s="834">
        <f>Assumptions!$G7</f>
        <v>1.1299689999999998</v>
      </c>
      <c r="AJ6" s="834">
        <f>Assumptions!$G7</f>
        <v>1.1299689999999998</v>
      </c>
      <c r="AK6" s="834">
        <f>Assumptions!$G7</f>
        <v>1.1299689999999998</v>
      </c>
      <c r="AL6" s="834">
        <f>Assumptions!$G7</f>
        <v>1.1299689999999998</v>
      </c>
      <c r="AM6" s="834">
        <f>Assumptions!$G7</f>
        <v>1.1299689999999998</v>
      </c>
      <c r="AN6" s="847">
        <f>Assumptions!$G7</f>
        <v>1.1299689999999998</v>
      </c>
      <c r="AO6" s="690">
        <f>Assumptions!$H7</f>
        <v>1.2011570469999997</v>
      </c>
      <c r="AP6" s="834">
        <f>Assumptions!$H7</f>
        <v>1.2011570469999997</v>
      </c>
      <c r="AQ6" s="834">
        <f>Assumptions!$H7</f>
        <v>1.2011570469999997</v>
      </c>
      <c r="AR6" s="834">
        <f>Assumptions!$H7</f>
        <v>1.2011570469999997</v>
      </c>
      <c r="AS6" s="834">
        <f>Assumptions!$H7</f>
        <v>1.2011570469999997</v>
      </c>
      <c r="AT6" s="834">
        <f>Assumptions!$H7</f>
        <v>1.2011570469999997</v>
      </c>
      <c r="AU6" s="834">
        <f>Assumptions!$H7</f>
        <v>1.2011570469999997</v>
      </c>
      <c r="AV6" s="834">
        <f>Assumptions!$H7</f>
        <v>1.2011570469999997</v>
      </c>
      <c r="AW6" s="834">
        <f>Assumptions!$H7</f>
        <v>1.2011570469999997</v>
      </c>
      <c r="AX6" s="834">
        <f>Assumptions!$H7</f>
        <v>1.2011570469999997</v>
      </c>
      <c r="AY6" s="834">
        <f>Assumptions!$H7</f>
        <v>1.2011570469999997</v>
      </c>
      <c r="AZ6" s="847">
        <f>Assumptions!$H7</f>
        <v>1.2011570469999997</v>
      </c>
      <c r="BA6" s="690">
        <f>Assumptions!$I7</f>
        <v>1.2768299409609996</v>
      </c>
      <c r="BB6" s="834">
        <f>Assumptions!$I7</f>
        <v>1.2768299409609996</v>
      </c>
      <c r="BC6" s="834">
        <f>Assumptions!$I7</f>
        <v>1.2768299409609996</v>
      </c>
      <c r="BD6" s="834">
        <f>Assumptions!$I7</f>
        <v>1.2768299409609996</v>
      </c>
      <c r="BE6" s="834">
        <f>Assumptions!$I7</f>
        <v>1.2768299409609996</v>
      </c>
      <c r="BF6" s="834">
        <f>Assumptions!$I7</f>
        <v>1.2768299409609996</v>
      </c>
      <c r="BG6" s="834">
        <f>Assumptions!$I7</f>
        <v>1.2768299409609996</v>
      </c>
      <c r="BH6" s="834">
        <f>Assumptions!$I7</f>
        <v>1.2768299409609996</v>
      </c>
      <c r="BI6" s="834">
        <f>Assumptions!$I7</f>
        <v>1.2768299409609996</v>
      </c>
      <c r="BJ6" s="834">
        <f>Assumptions!$I7</f>
        <v>1.2768299409609996</v>
      </c>
      <c r="BK6" s="834">
        <f>Assumptions!$I7</f>
        <v>1.2768299409609996</v>
      </c>
      <c r="BL6" s="847">
        <f>Assumptions!$I7</f>
        <v>1.2768299409609996</v>
      </c>
      <c r="BM6" s="690">
        <f>Assumptions!$J7</f>
        <v>1.3572702272415424</v>
      </c>
      <c r="BN6" s="834">
        <f>Assumptions!$J7</f>
        <v>1.3572702272415424</v>
      </c>
      <c r="BO6" s="834">
        <f>Assumptions!$J7</f>
        <v>1.3572702272415424</v>
      </c>
      <c r="BP6" s="834">
        <f>Assumptions!$J7</f>
        <v>1.3572702272415424</v>
      </c>
      <c r="BQ6" s="834">
        <f>Assumptions!$J7</f>
        <v>1.3572702272415424</v>
      </c>
      <c r="BR6" s="834">
        <f>Assumptions!$J7</f>
        <v>1.3572702272415424</v>
      </c>
      <c r="BS6" s="834">
        <f>Assumptions!$J7</f>
        <v>1.3572702272415424</v>
      </c>
      <c r="BT6" s="834">
        <f>Assumptions!$J7</f>
        <v>1.3572702272415424</v>
      </c>
      <c r="BU6" s="834">
        <f>Assumptions!$J7</f>
        <v>1.3572702272415424</v>
      </c>
      <c r="BV6" s="834">
        <f>Assumptions!$J7</f>
        <v>1.3572702272415424</v>
      </c>
      <c r="BW6" s="834">
        <f>Assumptions!$J7</f>
        <v>1.3572702272415424</v>
      </c>
      <c r="BX6" s="847">
        <f>Assumptions!$J7</f>
        <v>1.3572702272415424</v>
      </c>
      <c r="BY6" s="690">
        <f>Assumptions!$K7</f>
        <v>1.4427782515577596</v>
      </c>
      <c r="BZ6" s="834">
        <f>Assumptions!$K7</f>
        <v>1.4427782515577596</v>
      </c>
      <c r="CA6" s="834">
        <f>Assumptions!$K7</f>
        <v>1.4427782515577596</v>
      </c>
      <c r="CB6" s="834">
        <f>Assumptions!$K7</f>
        <v>1.4427782515577596</v>
      </c>
      <c r="CC6" s="834">
        <f>Assumptions!$K7</f>
        <v>1.4427782515577596</v>
      </c>
      <c r="CD6" s="834">
        <f>Assumptions!$K7</f>
        <v>1.4427782515577596</v>
      </c>
      <c r="CE6" s="834">
        <f>Assumptions!$K7</f>
        <v>1.4427782515577596</v>
      </c>
      <c r="CF6" s="834">
        <f>Assumptions!$K7</f>
        <v>1.4427782515577596</v>
      </c>
      <c r="CG6" s="834">
        <f>Assumptions!$K7</f>
        <v>1.4427782515577596</v>
      </c>
      <c r="CH6" s="834">
        <f>Assumptions!$K7</f>
        <v>1.4427782515577596</v>
      </c>
      <c r="CI6" s="834">
        <f>Assumptions!$K7</f>
        <v>1.4427782515577596</v>
      </c>
      <c r="CJ6" s="847">
        <f>Assumptions!$K7</f>
        <v>1.4427782515577596</v>
      </c>
      <c r="CK6" s="690">
        <f>Assumptions!$L7</f>
        <v>1.5336732814058984</v>
      </c>
      <c r="CL6" s="834">
        <f>Assumptions!$L7</f>
        <v>1.5336732814058984</v>
      </c>
      <c r="CM6" s="834">
        <f>Assumptions!$L7</f>
        <v>1.5336732814058984</v>
      </c>
      <c r="CN6" s="834">
        <f>Assumptions!$L7</f>
        <v>1.5336732814058984</v>
      </c>
      <c r="CO6" s="834">
        <f>Assumptions!$L7</f>
        <v>1.5336732814058984</v>
      </c>
      <c r="CP6" s="834">
        <f>Assumptions!$L7</f>
        <v>1.5336732814058984</v>
      </c>
      <c r="CQ6" s="834">
        <f>Assumptions!$L7</f>
        <v>1.5336732814058984</v>
      </c>
      <c r="CR6" s="834">
        <f>Assumptions!$L7</f>
        <v>1.5336732814058984</v>
      </c>
      <c r="CS6" s="834">
        <f>Assumptions!$L7</f>
        <v>1.5336732814058984</v>
      </c>
      <c r="CT6" s="834">
        <f>Assumptions!$L7</f>
        <v>1.5336732814058984</v>
      </c>
      <c r="CU6" s="834">
        <f>Assumptions!$L7</f>
        <v>1.5336732814058984</v>
      </c>
      <c r="CV6" s="847">
        <f>Assumptions!$L7</f>
        <v>1.5336732814058984</v>
      </c>
      <c r="CW6" s="690">
        <f>Assumptions!$M7</f>
        <v>1.6302946981344699</v>
      </c>
      <c r="CX6" s="834">
        <f>Assumptions!$M7</f>
        <v>1.6302946981344699</v>
      </c>
      <c r="CY6" s="834">
        <f>Assumptions!$M7</f>
        <v>1.6302946981344699</v>
      </c>
      <c r="CZ6" s="834">
        <f>Assumptions!$M7</f>
        <v>1.6302946981344699</v>
      </c>
      <c r="DA6" s="834">
        <f>Assumptions!$M7</f>
        <v>1.6302946981344699</v>
      </c>
      <c r="DB6" s="834">
        <f>Assumptions!$M7</f>
        <v>1.6302946981344699</v>
      </c>
      <c r="DC6" s="834">
        <f>Assumptions!$M7</f>
        <v>1.6302946981344699</v>
      </c>
      <c r="DD6" s="834">
        <f>Assumptions!$M7</f>
        <v>1.6302946981344699</v>
      </c>
      <c r="DE6" s="834">
        <f>Assumptions!$M7</f>
        <v>1.6302946981344699</v>
      </c>
      <c r="DF6" s="834">
        <f>Assumptions!$M7</f>
        <v>1.6302946981344699</v>
      </c>
      <c r="DG6" s="834">
        <f>Assumptions!$M7</f>
        <v>1.6302946981344699</v>
      </c>
      <c r="DH6" s="847">
        <f>Assumptions!$M7</f>
        <v>1.6302946981344699</v>
      </c>
      <c r="DI6" s="690">
        <f>Assumptions!$N7</f>
        <v>1.7330032641169415</v>
      </c>
      <c r="DJ6" s="834">
        <f>Assumptions!$N7</f>
        <v>1.7330032641169415</v>
      </c>
      <c r="DK6" s="834">
        <f>Assumptions!$N7</f>
        <v>1.7330032641169415</v>
      </c>
      <c r="DL6" s="834">
        <f>Assumptions!$N7</f>
        <v>1.7330032641169415</v>
      </c>
      <c r="DM6" s="834">
        <f>Assumptions!$N7</f>
        <v>1.7330032641169415</v>
      </c>
      <c r="DN6" s="834">
        <f>Assumptions!$N7</f>
        <v>1.7330032641169415</v>
      </c>
      <c r="DO6" s="834">
        <f>Assumptions!$N7</f>
        <v>1.7330032641169415</v>
      </c>
      <c r="DP6" s="834">
        <f>Assumptions!$N7</f>
        <v>1.7330032641169415</v>
      </c>
      <c r="DQ6" s="834">
        <f>Assumptions!$N7</f>
        <v>1.7330032641169415</v>
      </c>
      <c r="DR6" s="834">
        <f>Assumptions!$N7</f>
        <v>1.7330032641169415</v>
      </c>
      <c r="DS6" s="834">
        <f>Assumptions!$N7</f>
        <v>1.7330032641169415</v>
      </c>
      <c r="DT6" s="847">
        <f>Assumptions!$N7</f>
        <v>1.7330032641169415</v>
      </c>
    </row>
    <row r="7" spans="1:124" ht="22.5" customHeight="1" x14ac:dyDescent="0.3">
      <c r="A7" s="123"/>
      <c r="B7" s="159" t="s">
        <v>131</v>
      </c>
      <c r="C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9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92"/>
      <c r="AC7" s="1252"/>
      <c r="AD7" s="408"/>
      <c r="AE7" s="1"/>
      <c r="AF7" s="1"/>
      <c r="AG7" s="1"/>
      <c r="AH7" s="1"/>
      <c r="AI7" s="1"/>
      <c r="AJ7" s="1"/>
      <c r="AK7" s="1"/>
      <c r="AL7" s="1"/>
      <c r="AM7" s="1"/>
      <c r="AN7" s="692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692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692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692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692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692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692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692"/>
    </row>
    <row r="8" spans="1:124" ht="17.25" customHeight="1" x14ac:dyDescent="0.25">
      <c r="A8" s="8"/>
      <c r="B8" s="245" t="s">
        <v>396</v>
      </c>
      <c r="C8" s="186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535"/>
      <c r="Q8" s="107">
        <f>Production!Q16*Assumptions!$C43</f>
        <v>0</v>
      </c>
      <c r="R8" s="345">
        <f>Production!R16*Assumptions!$C43</f>
        <v>0</v>
      </c>
      <c r="S8" s="345">
        <f>Production!S16*Assumptions!$C43</f>
        <v>0</v>
      </c>
      <c r="T8" s="345">
        <f>Production!T16*Assumptions!$C43</f>
        <v>0</v>
      </c>
      <c r="U8" s="345">
        <f>Production!U16*Assumptions!$C43</f>
        <v>0</v>
      </c>
      <c r="V8" s="345">
        <f>Production!V16*Assumptions!$C43</f>
        <v>0</v>
      </c>
      <c r="W8" s="345">
        <f>Production!W16*Assumptions!$C43</f>
        <v>0</v>
      </c>
      <c r="X8" s="345">
        <f>Production!X16*Assumptions!$C43</f>
        <v>0</v>
      </c>
      <c r="Y8" s="345">
        <f>Production!Y16*Assumptions!$C43</f>
        <v>0</v>
      </c>
      <c r="Z8" s="345">
        <f>Production!Z16*Assumptions!$C43</f>
        <v>0</v>
      </c>
      <c r="AA8" s="345">
        <f>Production!AA16*Assumptions!$C43</f>
        <v>0</v>
      </c>
      <c r="AB8" s="697">
        <f>Production!AB16*Assumptions!$C43</f>
        <v>0</v>
      </c>
      <c r="AC8" s="345">
        <f>Production!AC16*Assumptions!$C43</f>
        <v>0</v>
      </c>
      <c r="AD8" s="345">
        <f>Production!AD16*Assumptions!$C43</f>
        <v>0</v>
      </c>
      <c r="AE8" s="345">
        <f>Production!AE16*Assumptions!$C43</f>
        <v>0</v>
      </c>
      <c r="AF8" s="345">
        <f>Production!AF16*Assumptions!$C43</f>
        <v>0</v>
      </c>
      <c r="AG8" s="345">
        <f>Production!AG16*Assumptions!$C43</f>
        <v>0</v>
      </c>
      <c r="AH8" s="345">
        <f>Production!AH16*Assumptions!$C43</f>
        <v>0</v>
      </c>
      <c r="AI8" s="345">
        <f>Production!AI16*Assumptions!$C43</f>
        <v>0</v>
      </c>
      <c r="AJ8" s="345">
        <f>Production!AJ16*Assumptions!$C43</f>
        <v>0</v>
      </c>
      <c r="AK8" s="345">
        <f>Production!AK16*Assumptions!$C43</f>
        <v>0</v>
      </c>
      <c r="AL8" s="345">
        <f>Production!AL16*Assumptions!$C43</f>
        <v>0</v>
      </c>
      <c r="AM8" s="345">
        <f>Production!AM16*Assumptions!$C43</f>
        <v>0</v>
      </c>
      <c r="AN8" s="697">
        <f>Production!AN16*Assumptions!$C43</f>
        <v>0</v>
      </c>
      <c r="AO8" s="107">
        <f>Production!AO16*Assumptions!$C43</f>
        <v>0</v>
      </c>
      <c r="AP8" s="345">
        <f>Production!AP16*Assumptions!$C43</f>
        <v>0</v>
      </c>
      <c r="AQ8" s="345">
        <f>Production!AQ16*Assumptions!$C43</f>
        <v>0</v>
      </c>
      <c r="AR8" s="345">
        <f>Production!AR16*Assumptions!$C43</f>
        <v>0</v>
      </c>
      <c r="AS8" s="345">
        <f>Production!AS16*Assumptions!$C43</f>
        <v>0</v>
      </c>
      <c r="AT8" s="345">
        <f>Production!AT16*Assumptions!$C43</f>
        <v>0</v>
      </c>
      <c r="AU8" s="345">
        <f>Production!AU16*Assumptions!$C43</f>
        <v>0</v>
      </c>
      <c r="AV8" s="345">
        <f>Production!AV16*Assumptions!$C43</f>
        <v>0</v>
      </c>
      <c r="AW8" s="345">
        <f>Production!AW16*Assumptions!$C43</f>
        <v>0</v>
      </c>
      <c r="AX8" s="345">
        <f>Production!AX16*Assumptions!$C43</f>
        <v>0</v>
      </c>
      <c r="AY8" s="345">
        <f>Production!AY16*Assumptions!$C43</f>
        <v>0</v>
      </c>
      <c r="AZ8" s="697">
        <f>Production!AZ16*Assumptions!$C43</f>
        <v>0</v>
      </c>
      <c r="BA8" s="107">
        <f>Production!BA16*Assumptions!$C43</f>
        <v>0</v>
      </c>
      <c r="BB8" s="345">
        <f>Production!BB16*Assumptions!$C43</f>
        <v>0</v>
      </c>
      <c r="BC8" s="345">
        <f>Production!BC16*Assumptions!$C43</f>
        <v>0</v>
      </c>
      <c r="BD8" s="345">
        <f>Production!BD16*Assumptions!$C43</f>
        <v>0</v>
      </c>
      <c r="BE8" s="345">
        <f>Production!BE16*Assumptions!$C43</f>
        <v>0</v>
      </c>
      <c r="BF8" s="345">
        <f>Production!BF16*Assumptions!$C43</f>
        <v>0</v>
      </c>
      <c r="BG8" s="345">
        <f>Production!BG16*Assumptions!$C43</f>
        <v>0</v>
      </c>
      <c r="BH8" s="345">
        <f>Production!BH16*Assumptions!$C43</f>
        <v>0</v>
      </c>
      <c r="BI8" s="345">
        <f>Production!BI16*Assumptions!$C43</f>
        <v>0</v>
      </c>
      <c r="BJ8" s="345">
        <f>Production!BJ16*Assumptions!$C43</f>
        <v>0</v>
      </c>
      <c r="BK8" s="345">
        <f>Production!BK16*Assumptions!$C43</f>
        <v>0</v>
      </c>
      <c r="BL8" s="697">
        <f>Production!BL16*Assumptions!$C43</f>
        <v>0</v>
      </c>
      <c r="BM8" s="107">
        <f>Production!BM16*Assumptions!$C43</f>
        <v>0</v>
      </c>
      <c r="BN8" s="345">
        <f>Production!BN16*Assumptions!$C43</f>
        <v>0</v>
      </c>
      <c r="BO8" s="345">
        <f>Production!BO16*Assumptions!$C43</f>
        <v>0</v>
      </c>
      <c r="BP8" s="345">
        <f>Production!BP16*Assumptions!$C43</f>
        <v>0</v>
      </c>
      <c r="BQ8" s="345">
        <f>Production!BQ16*Assumptions!$C43</f>
        <v>0</v>
      </c>
      <c r="BR8" s="345">
        <f>Production!BR16*Assumptions!$C43</f>
        <v>0</v>
      </c>
      <c r="BS8" s="345">
        <f>Production!BS16*Assumptions!$C43</f>
        <v>0</v>
      </c>
      <c r="BT8" s="345">
        <f>Production!BT16*Assumptions!$C43</f>
        <v>0</v>
      </c>
      <c r="BU8" s="345">
        <f>Production!BU16*Assumptions!$C43</f>
        <v>0</v>
      </c>
      <c r="BV8" s="345">
        <f>Production!BV16*Assumptions!$C43</f>
        <v>0</v>
      </c>
      <c r="BW8" s="345">
        <f>Production!BW16*Assumptions!$C43</f>
        <v>0</v>
      </c>
      <c r="BX8" s="697">
        <f>Production!BX16*Assumptions!$C43</f>
        <v>0</v>
      </c>
      <c r="BY8" s="107">
        <f>Production!BY16*Assumptions!$C43</f>
        <v>0</v>
      </c>
      <c r="BZ8" s="345">
        <f>Production!BZ16*Assumptions!$C43</f>
        <v>0</v>
      </c>
      <c r="CA8" s="345">
        <f>Production!CA16*Assumptions!$C43</f>
        <v>0</v>
      </c>
      <c r="CB8" s="345">
        <f>Production!CB16*Assumptions!$C43</f>
        <v>0</v>
      </c>
      <c r="CC8" s="345">
        <f>Production!CC16*Assumptions!$C43</f>
        <v>0</v>
      </c>
      <c r="CD8" s="345">
        <f>Production!CD16*Assumptions!$C43</f>
        <v>0</v>
      </c>
      <c r="CE8" s="345">
        <f>Production!CE16*Assumptions!$C43</f>
        <v>0</v>
      </c>
      <c r="CF8" s="345">
        <f>Production!CF16*Assumptions!$C43</f>
        <v>0</v>
      </c>
      <c r="CG8" s="345">
        <f>Production!CG16*Assumptions!$C43</f>
        <v>0</v>
      </c>
      <c r="CH8" s="345">
        <f>Production!CH16*Assumptions!$C43</f>
        <v>0</v>
      </c>
      <c r="CI8" s="345">
        <f>Production!CI16*Assumptions!$C43</f>
        <v>0</v>
      </c>
      <c r="CJ8" s="697">
        <f>Production!CJ16*Assumptions!$C43</f>
        <v>0</v>
      </c>
      <c r="CK8" s="107">
        <f>Production!CK16*Assumptions!$C43</f>
        <v>0</v>
      </c>
      <c r="CL8" s="345">
        <f>Production!CL16*Assumptions!$C43</f>
        <v>0</v>
      </c>
      <c r="CM8" s="345">
        <f>Production!CM16*Assumptions!$C43</f>
        <v>0</v>
      </c>
      <c r="CN8" s="345">
        <f>Production!CN16*Assumptions!$C43</f>
        <v>0</v>
      </c>
      <c r="CO8" s="345">
        <f>Production!CO16*Assumptions!$C43</f>
        <v>0</v>
      </c>
      <c r="CP8" s="345">
        <f>Production!CP16*Assumptions!$C43</f>
        <v>0</v>
      </c>
      <c r="CQ8" s="345">
        <f>Production!CQ16*Assumptions!$C43</f>
        <v>0</v>
      </c>
      <c r="CR8" s="345">
        <f>Production!CR16*Assumptions!$C43</f>
        <v>0</v>
      </c>
      <c r="CS8" s="345">
        <f>Production!CS16*Assumptions!$C43</f>
        <v>0</v>
      </c>
      <c r="CT8" s="345">
        <f>Production!CT16*Assumptions!$C43</f>
        <v>0</v>
      </c>
      <c r="CU8" s="345">
        <f>Production!CU16*Assumptions!$C43</f>
        <v>0</v>
      </c>
      <c r="CV8" s="697">
        <f>Production!CV16*Assumptions!$C43</f>
        <v>0</v>
      </c>
      <c r="CW8" s="107">
        <f>Production!CW16*Assumptions!$C43</f>
        <v>0</v>
      </c>
      <c r="CX8" s="345">
        <f>Production!CX16*Assumptions!$C43</f>
        <v>0</v>
      </c>
      <c r="CY8" s="345">
        <f>Production!CY16*Assumptions!$C43</f>
        <v>0</v>
      </c>
      <c r="CZ8" s="345">
        <f>Production!CZ16*Assumptions!$C43</f>
        <v>0</v>
      </c>
      <c r="DA8" s="345">
        <f>Production!DA16*Assumptions!$C43</f>
        <v>0</v>
      </c>
      <c r="DB8" s="345">
        <f>Production!DB16*Assumptions!$C43</f>
        <v>0</v>
      </c>
      <c r="DC8" s="345">
        <f>Production!DC16*Assumptions!$C43</f>
        <v>0</v>
      </c>
      <c r="DD8" s="345">
        <f>Production!DD16*Assumptions!$C43</f>
        <v>0</v>
      </c>
      <c r="DE8" s="345">
        <f>Production!DE16*Assumptions!$C43</f>
        <v>0</v>
      </c>
      <c r="DF8" s="345">
        <f>Production!DF16*Assumptions!$C43</f>
        <v>0</v>
      </c>
      <c r="DG8" s="345">
        <f>Production!DG16*Assumptions!$C43</f>
        <v>0</v>
      </c>
      <c r="DH8" s="697">
        <f>Production!DH16*Assumptions!$C43</f>
        <v>0</v>
      </c>
      <c r="DI8" s="107">
        <f>Production!DI16*Assumptions!$C43</f>
        <v>0</v>
      </c>
      <c r="DJ8" s="345">
        <f>Production!DJ16*Assumptions!$C43</f>
        <v>0</v>
      </c>
      <c r="DK8" s="345">
        <f>Production!DK16*Assumptions!$C43</f>
        <v>0</v>
      </c>
      <c r="DL8" s="345">
        <f>Production!DL16*Assumptions!$C43</f>
        <v>0</v>
      </c>
      <c r="DM8" s="345">
        <f>Production!DM16*Assumptions!$C43</f>
        <v>0</v>
      </c>
      <c r="DN8" s="345">
        <f>Production!DN16*Assumptions!$C43</f>
        <v>0</v>
      </c>
      <c r="DO8" s="345">
        <f>Production!DO16*Assumptions!$C43</f>
        <v>0</v>
      </c>
      <c r="DP8" s="345">
        <f>Production!DP16*Assumptions!$C43</f>
        <v>0</v>
      </c>
      <c r="DQ8" s="345">
        <f>Production!DQ16*Assumptions!$C43</f>
        <v>0</v>
      </c>
      <c r="DR8" s="345">
        <f>Production!DR16*Assumptions!$C43</f>
        <v>0</v>
      </c>
      <c r="DS8" s="345">
        <f>Production!DS16*Assumptions!$C43</f>
        <v>0</v>
      </c>
      <c r="DT8" s="697">
        <f>Production!DT16*Assumptions!$C43</f>
        <v>0</v>
      </c>
    </row>
    <row r="9" spans="1:124" ht="17.25" customHeight="1" x14ac:dyDescent="0.25">
      <c r="A9" s="8"/>
      <c r="B9" s="245" t="s">
        <v>397</v>
      </c>
      <c r="C9" s="186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535"/>
      <c r="Q9" s="107">
        <f>Production!Q22*Assumptions!$C43</f>
        <v>0</v>
      </c>
      <c r="R9" s="345">
        <f>Production!R22*Assumptions!$C43</f>
        <v>0</v>
      </c>
      <c r="S9" s="345">
        <f>Production!S22*Assumptions!$C43</f>
        <v>0</v>
      </c>
      <c r="T9" s="345">
        <f>Production!T22*Assumptions!$C43</f>
        <v>0</v>
      </c>
      <c r="U9" s="345">
        <f>Production!U22*Assumptions!$C43</f>
        <v>0</v>
      </c>
      <c r="V9" s="345">
        <f>Production!V22*Assumptions!$C43</f>
        <v>0</v>
      </c>
      <c r="W9" s="345">
        <f>Production!W22*Assumptions!$C43</f>
        <v>0</v>
      </c>
      <c r="X9" s="345">
        <f>Production!X22*Assumptions!$C43</f>
        <v>0</v>
      </c>
      <c r="Y9" s="345">
        <f>Production!Y22*Assumptions!$C43</f>
        <v>0</v>
      </c>
      <c r="Z9" s="345">
        <f>Production!Z22*Assumptions!$C43</f>
        <v>0</v>
      </c>
      <c r="AA9" s="345">
        <f>Production!AA22*Assumptions!$C43</f>
        <v>0</v>
      </c>
      <c r="AB9" s="697">
        <f>Production!AB22*Assumptions!$C43</f>
        <v>0</v>
      </c>
      <c r="AC9" s="345">
        <f>Production!AC22*Assumptions!$C43</f>
        <v>0</v>
      </c>
      <c r="AD9" s="345">
        <f>Production!AD22*Assumptions!$C43</f>
        <v>0</v>
      </c>
      <c r="AE9" s="345">
        <f>Production!AE22*Assumptions!$C43</f>
        <v>0</v>
      </c>
      <c r="AF9" s="345">
        <f>Production!AF22*Assumptions!$C43</f>
        <v>0</v>
      </c>
      <c r="AG9" s="345">
        <f>Production!AG22*Assumptions!$C43</f>
        <v>0</v>
      </c>
      <c r="AH9" s="345">
        <f>Production!AH22*Assumptions!$C43</f>
        <v>0</v>
      </c>
      <c r="AI9" s="345">
        <f>Production!AI22*Assumptions!$C43</f>
        <v>0</v>
      </c>
      <c r="AJ9" s="345">
        <f>Production!AJ22*Assumptions!$C43</f>
        <v>0</v>
      </c>
      <c r="AK9" s="345">
        <f>Production!AK22*Assumptions!$C43</f>
        <v>0</v>
      </c>
      <c r="AL9" s="345">
        <f>Production!AL22*Assumptions!$C43</f>
        <v>36000</v>
      </c>
      <c r="AM9" s="345">
        <f>Production!AM22*Assumptions!$C43</f>
        <v>39000</v>
      </c>
      <c r="AN9" s="697">
        <f>Production!AN22*Assumptions!$C43</f>
        <v>36000</v>
      </c>
      <c r="AO9" s="107">
        <f>Production!AO22*Assumptions!$C43</f>
        <v>36000</v>
      </c>
      <c r="AP9" s="345">
        <f>Production!AP22*Assumptions!$C43</f>
        <v>42000</v>
      </c>
      <c r="AQ9" s="345">
        <f>Production!AQ22*Assumptions!$C43</f>
        <v>36000</v>
      </c>
      <c r="AR9" s="345">
        <f>Production!AR22*Assumptions!$C43</f>
        <v>39000</v>
      </c>
      <c r="AS9" s="345">
        <f>Production!AS22*Assumptions!$C43</f>
        <v>39000</v>
      </c>
      <c r="AT9" s="345">
        <f>Production!AT22*Assumptions!$C43</f>
        <v>39000</v>
      </c>
      <c r="AU9" s="345">
        <f>Production!AU22*Assumptions!$C43</f>
        <v>36000</v>
      </c>
      <c r="AV9" s="345">
        <f>Production!AV22*Assumptions!$C43</f>
        <v>42000</v>
      </c>
      <c r="AW9" s="345">
        <f>Production!AW22*Assumptions!$C43</f>
        <v>36000</v>
      </c>
      <c r="AX9" s="345">
        <f>Production!AX22*Assumptions!$C43</f>
        <v>36000</v>
      </c>
      <c r="AY9" s="345">
        <f>Production!AY22*Assumptions!$C43</f>
        <v>39000</v>
      </c>
      <c r="AZ9" s="697">
        <f>Production!AZ22*Assumptions!$C43</f>
        <v>36000</v>
      </c>
      <c r="BA9" s="107">
        <f>Production!BA22*Assumptions!$C43</f>
        <v>36000</v>
      </c>
      <c r="BB9" s="345">
        <f>Production!BB22*Assumptions!$C43</f>
        <v>42000</v>
      </c>
      <c r="BC9" s="345">
        <f>Production!BC22*Assumptions!$C43</f>
        <v>36000</v>
      </c>
      <c r="BD9" s="345">
        <f>Production!BD22*Assumptions!$C43</f>
        <v>39000</v>
      </c>
      <c r="BE9" s="345">
        <f>Production!BE22*Assumptions!$C43</f>
        <v>42000</v>
      </c>
      <c r="BF9" s="345">
        <f>Production!BF22*Assumptions!$C43</f>
        <v>36000</v>
      </c>
      <c r="BG9" s="345">
        <f>Production!BG22*Assumptions!$C43</f>
        <v>36000</v>
      </c>
      <c r="BH9" s="345">
        <f>Production!BH22*Assumptions!$C43</f>
        <v>42000</v>
      </c>
      <c r="BI9" s="345">
        <f>Production!BI22*Assumptions!$C43</f>
        <v>36000</v>
      </c>
      <c r="BJ9" s="345">
        <f>Production!BJ22*Assumptions!$C43</f>
        <v>36000</v>
      </c>
      <c r="BK9" s="345">
        <f>Production!BK22*Assumptions!$C43</f>
        <v>39000</v>
      </c>
      <c r="BL9" s="697">
        <f>Production!BL22*Assumptions!$C43</f>
        <v>36000</v>
      </c>
      <c r="BM9" s="107">
        <f>Production!BM22*Assumptions!$C43</f>
        <v>39000</v>
      </c>
      <c r="BN9" s="345">
        <f>Production!BN22*Assumptions!$C43</f>
        <v>39000</v>
      </c>
      <c r="BO9" s="345">
        <f>Production!BO22*Assumptions!$C43</f>
        <v>36000</v>
      </c>
      <c r="BP9" s="345">
        <f>Production!BP22*Assumptions!$C43</f>
        <v>39000</v>
      </c>
      <c r="BQ9" s="345">
        <f>Production!BQ22*Assumptions!$C43</f>
        <v>42000</v>
      </c>
      <c r="BR9" s="345">
        <f>Production!BR22*Assumptions!$C43</f>
        <v>36000</v>
      </c>
      <c r="BS9" s="345">
        <f>Production!BS22*Assumptions!$C43</f>
        <v>36000</v>
      </c>
      <c r="BT9" s="345">
        <f>Production!BT22*Assumptions!$C43</f>
        <v>42000</v>
      </c>
      <c r="BU9" s="345">
        <f>Production!BU22*Assumptions!$C43</f>
        <v>36000</v>
      </c>
      <c r="BV9" s="345">
        <f>Production!BV22*Assumptions!$C43</f>
        <v>36000</v>
      </c>
      <c r="BW9" s="345">
        <f>Production!BW22*Assumptions!$C43</f>
        <v>42000</v>
      </c>
      <c r="BX9" s="697">
        <f>Production!BX22*Assumptions!$C43</f>
        <v>33000</v>
      </c>
      <c r="BY9" s="107">
        <f>Production!BY22*Assumptions!$C43</f>
        <v>39000</v>
      </c>
      <c r="BZ9" s="345">
        <f>Production!BZ22*Assumptions!$C43</f>
        <v>39000</v>
      </c>
      <c r="CA9" s="345">
        <f>Production!CA22*Assumptions!$C43</f>
        <v>39000</v>
      </c>
      <c r="CB9" s="345">
        <f>Production!CB22*Assumptions!$C43</f>
        <v>36000</v>
      </c>
      <c r="CC9" s="345">
        <f>Production!CC22*Assumptions!$C43</f>
        <v>42000</v>
      </c>
      <c r="CD9" s="345">
        <f>Production!CD22*Assumptions!$C43</f>
        <v>36000</v>
      </c>
      <c r="CE9" s="345">
        <f>Production!CE22*Assumptions!$C43</f>
        <v>39000</v>
      </c>
      <c r="CF9" s="345">
        <f>Production!CF22*Assumptions!$C43</f>
        <v>39000</v>
      </c>
      <c r="CG9" s="345">
        <f>Production!CG22*Assumptions!$C43</f>
        <v>36000</v>
      </c>
      <c r="CH9" s="345">
        <f>Production!CH22*Assumptions!$C43</f>
        <v>36000</v>
      </c>
      <c r="CI9" s="345">
        <f>Production!CI22*Assumptions!$C43</f>
        <v>42000</v>
      </c>
      <c r="CJ9" s="697">
        <f>Production!CJ22*Assumptions!$C43</f>
        <v>36000</v>
      </c>
      <c r="CK9" s="107">
        <f>Production!CK22*Assumptions!$C43</f>
        <v>36000</v>
      </c>
      <c r="CL9" s="345">
        <f>Production!CL22*Assumptions!$C43</f>
        <v>42000</v>
      </c>
      <c r="CM9" s="345">
        <f>Production!CM22*Assumptions!$C43</f>
        <v>36000</v>
      </c>
      <c r="CN9" s="345">
        <f>Production!CN22*Assumptions!$C43</f>
        <v>36000</v>
      </c>
      <c r="CO9" s="345">
        <f>Production!CO22*Assumptions!$C43</f>
        <v>42000</v>
      </c>
      <c r="CP9" s="345">
        <f>Production!CP22*Assumptions!$C43</f>
        <v>36000</v>
      </c>
      <c r="CQ9" s="345">
        <f>Production!CQ22*Assumptions!$C43</f>
        <v>39000</v>
      </c>
      <c r="CR9" s="345">
        <f>Production!CR22*Assumptions!$C43</f>
        <v>39000</v>
      </c>
      <c r="CS9" s="345">
        <f>Production!CS22*Assumptions!$C43</f>
        <v>36000</v>
      </c>
      <c r="CT9" s="345">
        <f>Production!CT22*Assumptions!$C43</f>
        <v>39000</v>
      </c>
      <c r="CU9" s="345">
        <f>Production!CU22*Assumptions!$C43</f>
        <v>39000</v>
      </c>
      <c r="CV9" s="697">
        <f>Production!CV22*Assumptions!$C43</f>
        <v>36000</v>
      </c>
      <c r="CW9" s="107">
        <f>Production!CW22*Assumptions!$C43</f>
        <v>36000</v>
      </c>
      <c r="CX9" s="345">
        <f>Production!CX22*Assumptions!$C43</f>
        <v>42000</v>
      </c>
      <c r="CY9" s="345">
        <f>Production!CY22*Assumptions!$C43</f>
        <v>36000</v>
      </c>
      <c r="CZ9" s="345">
        <f>Production!CZ22*Assumptions!$C43</f>
        <v>36000</v>
      </c>
      <c r="DA9" s="345">
        <f>Production!DA22*Assumptions!$C43</f>
        <v>42000</v>
      </c>
      <c r="DB9" s="345">
        <f>Production!DB22*Assumptions!$C43</f>
        <v>39000</v>
      </c>
      <c r="DC9" s="345">
        <f>Production!DC22*Assumptions!$C43</f>
        <v>36000</v>
      </c>
      <c r="DD9" s="345">
        <f>Production!DD22*Assumptions!$C43</f>
        <v>42000</v>
      </c>
      <c r="DE9" s="345">
        <f>Production!DE22*Assumptions!$C43</f>
        <v>36000</v>
      </c>
      <c r="DF9" s="345">
        <f>Production!DF22*Assumptions!$C43</f>
        <v>36000</v>
      </c>
      <c r="DG9" s="345">
        <f>Production!DG22*Assumptions!$C43</f>
        <v>39000</v>
      </c>
      <c r="DH9" s="697">
        <f>Production!DH22*Assumptions!$C43</f>
        <v>36000</v>
      </c>
      <c r="DI9" s="107">
        <f>Production!DI22*Assumptions!$C43</f>
        <v>36000</v>
      </c>
      <c r="DJ9" s="345">
        <f>Production!DJ22*Assumptions!$C43</f>
        <v>42000</v>
      </c>
      <c r="DK9" s="345">
        <f>Production!DK22*Assumptions!$C43</f>
        <v>36000</v>
      </c>
      <c r="DL9" s="345">
        <f>Production!DL22*Assumptions!$C43</f>
        <v>39000</v>
      </c>
      <c r="DM9" s="345">
        <f>Production!DM22*Assumptions!$C43</f>
        <v>42000</v>
      </c>
      <c r="DN9" s="345">
        <f>Production!DN22*Assumptions!$C43</f>
        <v>36000</v>
      </c>
      <c r="DO9" s="345">
        <f>Production!DO22*Assumptions!$C43</f>
        <v>36000</v>
      </c>
      <c r="DP9" s="345">
        <f>Production!DP22*Assumptions!$C43</f>
        <v>42000</v>
      </c>
      <c r="DQ9" s="345">
        <f>Production!DQ22*Assumptions!$C43</f>
        <v>36000</v>
      </c>
      <c r="DR9" s="345">
        <f>Production!DR22*Assumptions!$C43</f>
        <v>36000</v>
      </c>
      <c r="DS9" s="345">
        <f>Production!DS22*Assumptions!$C43</f>
        <v>39000</v>
      </c>
      <c r="DT9" s="697">
        <f>Production!DT22*Assumptions!$C43</f>
        <v>36000</v>
      </c>
    </row>
    <row r="10" spans="1:124" ht="17.25" hidden="1" customHeight="1" x14ac:dyDescent="0.25">
      <c r="A10" s="8"/>
      <c r="B10" s="245" t="s">
        <v>398</v>
      </c>
      <c r="C10" s="186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535"/>
      <c r="Q10" s="107">
        <f>Production!Q28*Assumptions!$C44</f>
        <v>0</v>
      </c>
      <c r="R10" s="345">
        <f>Production!R28*Assumptions!$C44</f>
        <v>0</v>
      </c>
      <c r="S10" s="345">
        <f>Production!S28*Assumptions!$C44</f>
        <v>0</v>
      </c>
      <c r="T10" s="345">
        <f>Production!T28*Assumptions!$C44</f>
        <v>0</v>
      </c>
      <c r="U10" s="345">
        <f>Production!U28*Assumptions!$C44</f>
        <v>0</v>
      </c>
      <c r="V10" s="345">
        <f>Production!V28*Assumptions!$C44</f>
        <v>0</v>
      </c>
      <c r="W10" s="345">
        <f>Production!W28*Assumptions!$C44</f>
        <v>0</v>
      </c>
      <c r="X10" s="345">
        <f>Production!X28*Assumptions!$C44</f>
        <v>0</v>
      </c>
      <c r="Y10" s="345">
        <f>Production!Y28*Assumptions!$C44</f>
        <v>0</v>
      </c>
      <c r="Z10" s="345">
        <f>Production!Z28*Assumptions!$C44</f>
        <v>0</v>
      </c>
      <c r="AA10" s="345">
        <f>Production!AA28*Assumptions!$C44</f>
        <v>0</v>
      </c>
      <c r="AB10" s="697">
        <f>Production!AB28*Assumptions!$C44</f>
        <v>0</v>
      </c>
      <c r="AC10" s="345">
        <f>Production!AC28*Assumptions!$C44</f>
        <v>0</v>
      </c>
      <c r="AD10" s="345">
        <f>Production!AD28*Assumptions!$C44</f>
        <v>0</v>
      </c>
      <c r="AE10" s="345">
        <f>Production!AE28*Assumptions!$C44</f>
        <v>0</v>
      </c>
      <c r="AF10" s="345">
        <f>Production!AF28*Assumptions!$C44</f>
        <v>0</v>
      </c>
      <c r="AG10" s="345">
        <f>Production!AG28*Assumptions!$C44</f>
        <v>0</v>
      </c>
      <c r="AH10" s="345">
        <f>Production!AH28*Assumptions!$C44</f>
        <v>0</v>
      </c>
      <c r="AI10" s="345">
        <f>Production!AI28*Assumptions!$C44</f>
        <v>0</v>
      </c>
      <c r="AJ10" s="345">
        <f>Production!AJ28*Assumptions!$C44</f>
        <v>0</v>
      </c>
      <c r="AK10" s="345">
        <f>Production!AK28*Assumptions!$C44</f>
        <v>0</v>
      </c>
      <c r="AL10" s="345">
        <f>Production!AL28*Assumptions!$C44</f>
        <v>0</v>
      </c>
      <c r="AM10" s="345">
        <f>Production!AM28*Assumptions!$C44</f>
        <v>0</v>
      </c>
      <c r="AN10" s="697">
        <f>Production!AN28*Assumptions!$C44</f>
        <v>0</v>
      </c>
      <c r="AO10" s="107">
        <f>Production!AO28*Assumptions!$C44</f>
        <v>0</v>
      </c>
      <c r="AP10" s="345">
        <f>Production!AP28*Assumptions!$C44</f>
        <v>0</v>
      </c>
      <c r="AQ10" s="345">
        <f>Production!AQ28*Assumptions!$C44</f>
        <v>0</v>
      </c>
      <c r="AR10" s="345">
        <f>Production!AR28*Assumptions!$C44</f>
        <v>0</v>
      </c>
      <c r="AS10" s="345">
        <f>Production!AS28*Assumptions!$C44</f>
        <v>0</v>
      </c>
      <c r="AT10" s="345">
        <f>Production!AT28*Assumptions!$C44</f>
        <v>0</v>
      </c>
      <c r="AU10" s="345">
        <f>Production!AU28*Assumptions!$C44</f>
        <v>0</v>
      </c>
      <c r="AV10" s="345">
        <f>Production!AV28*Assumptions!$C44</f>
        <v>0</v>
      </c>
      <c r="AW10" s="345">
        <f>Production!AW28*Assumptions!$C44</f>
        <v>0</v>
      </c>
      <c r="AX10" s="345">
        <f>Production!AX28*Assumptions!$C44</f>
        <v>0</v>
      </c>
      <c r="AY10" s="345">
        <f>Production!AY28*Assumptions!$C44</f>
        <v>0</v>
      </c>
      <c r="AZ10" s="697">
        <f>Production!AZ28*Assumptions!$C44</f>
        <v>0</v>
      </c>
      <c r="BA10" s="107">
        <f>Production!BA28*Assumptions!$C44</f>
        <v>0</v>
      </c>
      <c r="BB10" s="345">
        <f>Production!BB28*Assumptions!$C44</f>
        <v>0</v>
      </c>
      <c r="BC10" s="345">
        <f>Production!BC28*Assumptions!$C44</f>
        <v>0</v>
      </c>
      <c r="BD10" s="345">
        <f>Production!BD28*Assumptions!$C44</f>
        <v>0</v>
      </c>
      <c r="BE10" s="345">
        <f>Production!BE28*Assumptions!$C44</f>
        <v>0</v>
      </c>
      <c r="BF10" s="345">
        <f>Production!BF28*Assumptions!$C44</f>
        <v>0</v>
      </c>
      <c r="BG10" s="345">
        <f>Production!BG28*Assumptions!$C44</f>
        <v>0</v>
      </c>
      <c r="BH10" s="345">
        <f>Production!BH28*Assumptions!$C44</f>
        <v>0</v>
      </c>
      <c r="BI10" s="345">
        <f>Production!BI28*Assumptions!$C44</f>
        <v>0</v>
      </c>
      <c r="BJ10" s="345">
        <f>Production!BJ28*Assumptions!$C44</f>
        <v>0</v>
      </c>
      <c r="BK10" s="345">
        <f>Production!BK28*Assumptions!$C44</f>
        <v>0</v>
      </c>
      <c r="BL10" s="697">
        <f>Production!BL28*Assumptions!$C44</f>
        <v>0</v>
      </c>
      <c r="BM10" s="107">
        <f>Production!BM28*Assumptions!$C44</f>
        <v>0</v>
      </c>
      <c r="BN10" s="345">
        <f>Production!BN28*Assumptions!$C44</f>
        <v>0</v>
      </c>
      <c r="BO10" s="345">
        <f>Production!BO28*Assumptions!$C44</f>
        <v>0</v>
      </c>
      <c r="BP10" s="345">
        <f>Production!BP28*Assumptions!$C44</f>
        <v>0</v>
      </c>
      <c r="BQ10" s="345">
        <f>Production!BQ28*Assumptions!$C44</f>
        <v>0</v>
      </c>
      <c r="BR10" s="345">
        <f>Production!BR28*Assumptions!$C44</f>
        <v>0</v>
      </c>
      <c r="BS10" s="345">
        <f>Production!BS28*Assumptions!$C44</f>
        <v>0</v>
      </c>
      <c r="BT10" s="345">
        <f>Production!BT28*Assumptions!$C44</f>
        <v>0</v>
      </c>
      <c r="BU10" s="345">
        <f>Production!BU28*Assumptions!$C44</f>
        <v>0</v>
      </c>
      <c r="BV10" s="345">
        <f>Production!BV28*Assumptions!$C44</f>
        <v>0</v>
      </c>
      <c r="BW10" s="345">
        <f>Production!BW28*Assumptions!$C44</f>
        <v>0</v>
      </c>
      <c r="BX10" s="697">
        <f>Production!BX28*Assumptions!$C44</f>
        <v>0</v>
      </c>
      <c r="BY10" s="107">
        <f>Production!BY28*Assumptions!$C44</f>
        <v>0</v>
      </c>
      <c r="BZ10" s="345">
        <f>Production!BZ28*Assumptions!$C44</f>
        <v>0</v>
      </c>
      <c r="CA10" s="345">
        <f>Production!CA28*Assumptions!$C44</f>
        <v>0</v>
      </c>
      <c r="CB10" s="345">
        <f>Production!CB28*Assumptions!$C44</f>
        <v>0</v>
      </c>
      <c r="CC10" s="345">
        <f>Production!CC28*Assumptions!$C44</f>
        <v>0</v>
      </c>
      <c r="CD10" s="345">
        <f>Production!CD28*Assumptions!$C44</f>
        <v>0</v>
      </c>
      <c r="CE10" s="345">
        <f>Production!CE28*Assumptions!$C44</f>
        <v>0</v>
      </c>
      <c r="CF10" s="345">
        <f>Production!CF28*Assumptions!$C44</f>
        <v>0</v>
      </c>
      <c r="CG10" s="345">
        <f>Production!CG28*Assumptions!$C44</f>
        <v>0</v>
      </c>
      <c r="CH10" s="345">
        <f>Production!CH28*Assumptions!$C44</f>
        <v>0</v>
      </c>
      <c r="CI10" s="345">
        <f>Production!CI28*Assumptions!$C44</f>
        <v>0</v>
      </c>
      <c r="CJ10" s="697">
        <f>Production!CJ28*Assumptions!$C44</f>
        <v>0</v>
      </c>
      <c r="CK10" s="107">
        <f>Production!CK28*Assumptions!$C44</f>
        <v>0</v>
      </c>
      <c r="CL10" s="345">
        <f>Production!CL28*Assumptions!$C44</f>
        <v>0</v>
      </c>
      <c r="CM10" s="345">
        <f>Production!CM28*Assumptions!$C44</f>
        <v>0</v>
      </c>
      <c r="CN10" s="345">
        <f>Production!CN28*Assumptions!$C44</f>
        <v>0</v>
      </c>
      <c r="CO10" s="345">
        <f>Production!CO28*Assumptions!$C44</f>
        <v>0</v>
      </c>
      <c r="CP10" s="345">
        <f>Production!CP28*Assumptions!$C44</f>
        <v>0</v>
      </c>
      <c r="CQ10" s="345">
        <f>Production!CQ28*Assumptions!$C44</f>
        <v>0</v>
      </c>
      <c r="CR10" s="345">
        <f>Production!CR28*Assumptions!$C44</f>
        <v>0</v>
      </c>
      <c r="CS10" s="345">
        <f>Production!CS28*Assumptions!$C44</f>
        <v>0</v>
      </c>
      <c r="CT10" s="345">
        <f>Production!CT28*Assumptions!$C44</f>
        <v>0</v>
      </c>
      <c r="CU10" s="345">
        <f>Production!CU28*Assumptions!$C44</f>
        <v>0</v>
      </c>
      <c r="CV10" s="697">
        <f>Production!CV28*Assumptions!$C44</f>
        <v>0</v>
      </c>
      <c r="CW10" s="107">
        <f>Production!CW28*Assumptions!$C44</f>
        <v>0</v>
      </c>
      <c r="CX10" s="345">
        <f>Production!CX28*Assumptions!$C44</f>
        <v>0</v>
      </c>
      <c r="CY10" s="345">
        <f>Production!CY28*Assumptions!$C44</f>
        <v>0</v>
      </c>
      <c r="CZ10" s="345">
        <f>Production!CZ28*Assumptions!$C44</f>
        <v>0</v>
      </c>
      <c r="DA10" s="345">
        <f>Production!DA28*Assumptions!$C44</f>
        <v>0</v>
      </c>
      <c r="DB10" s="345">
        <f>Production!DB28*Assumptions!$C44</f>
        <v>0</v>
      </c>
      <c r="DC10" s="345">
        <f>Production!DC28*Assumptions!$C44</f>
        <v>0</v>
      </c>
      <c r="DD10" s="345">
        <f>Production!DD28*Assumptions!$C44</f>
        <v>0</v>
      </c>
      <c r="DE10" s="345">
        <f>Production!DE28*Assumptions!$C44</f>
        <v>0</v>
      </c>
      <c r="DF10" s="345">
        <f>Production!DF28*Assumptions!$C44</f>
        <v>0</v>
      </c>
      <c r="DG10" s="345">
        <f>Production!DG28*Assumptions!$C44</f>
        <v>0</v>
      </c>
      <c r="DH10" s="697">
        <f>Production!DH28*Assumptions!$C44</f>
        <v>0</v>
      </c>
      <c r="DI10" s="107">
        <f>Production!DI28*Assumptions!$C44</f>
        <v>0</v>
      </c>
      <c r="DJ10" s="345">
        <f>Production!DJ28*Assumptions!$C44</f>
        <v>0</v>
      </c>
      <c r="DK10" s="345">
        <f>Production!DK28*Assumptions!$C44</f>
        <v>0</v>
      </c>
      <c r="DL10" s="345">
        <f>Production!DL28*Assumptions!$C44</f>
        <v>0</v>
      </c>
      <c r="DM10" s="345">
        <f>Production!DM28*Assumptions!$C44</f>
        <v>0</v>
      </c>
      <c r="DN10" s="345">
        <f>Production!DN28*Assumptions!$C44</f>
        <v>0</v>
      </c>
      <c r="DO10" s="345">
        <f>Production!DO28*Assumptions!$C44</f>
        <v>0</v>
      </c>
      <c r="DP10" s="345">
        <f>Production!DP28*Assumptions!$C44</f>
        <v>0</v>
      </c>
      <c r="DQ10" s="345">
        <f>Production!DQ28*Assumptions!$C44</f>
        <v>0</v>
      </c>
      <c r="DR10" s="345">
        <f>Production!DR28*Assumptions!$C44</f>
        <v>0</v>
      </c>
      <c r="DS10" s="345">
        <f>Production!DS28*Assumptions!$C44</f>
        <v>0</v>
      </c>
      <c r="DT10" s="697">
        <f>Production!DT28*Assumptions!$C44</f>
        <v>0</v>
      </c>
    </row>
    <row r="11" spans="1:124" ht="15" x14ac:dyDescent="0.25">
      <c r="A11" s="8"/>
      <c r="B11" s="165"/>
      <c r="C11" s="9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595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595"/>
      <c r="AC11" s="1253"/>
      <c r="AD11" s="409"/>
      <c r="AE11" s="126"/>
      <c r="AF11" s="126"/>
      <c r="AG11" s="126"/>
      <c r="AH11" s="126"/>
      <c r="AI11" s="126"/>
      <c r="AJ11" s="126"/>
      <c r="AK11" s="126"/>
      <c r="AL11" s="126"/>
      <c r="AM11" s="126"/>
      <c r="AN11" s="595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595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595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595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595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595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595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595"/>
    </row>
    <row r="12" spans="1:124" ht="22.5" customHeight="1" x14ac:dyDescent="0.3">
      <c r="A12" s="123"/>
      <c r="B12" s="159" t="s">
        <v>134</v>
      </c>
      <c r="C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0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07"/>
      <c r="AC12" s="1249"/>
      <c r="AD12" s="198"/>
      <c r="AE12" s="887"/>
      <c r="AF12" s="887"/>
      <c r="AG12" s="887"/>
      <c r="AH12" s="887"/>
      <c r="AI12" s="887"/>
      <c r="AJ12" s="887"/>
      <c r="AK12" s="887"/>
      <c r="AL12" s="887"/>
      <c r="AM12" s="887"/>
      <c r="AN12" s="842"/>
      <c r="AO12" s="887"/>
      <c r="AP12" s="887"/>
      <c r="AQ12" s="887"/>
      <c r="AR12" s="887"/>
      <c r="AS12" s="887"/>
      <c r="AT12" s="887"/>
      <c r="AU12" s="887"/>
      <c r="AV12" s="887"/>
      <c r="AW12" s="887"/>
      <c r="AX12" s="887"/>
      <c r="AY12" s="887"/>
      <c r="AZ12" s="842"/>
      <c r="BA12" s="887"/>
      <c r="BB12" s="887"/>
      <c r="BC12" s="887"/>
      <c r="BD12" s="887"/>
      <c r="BE12" s="887"/>
      <c r="BF12" s="887"/>
      <c r="BG12" s="887"/>
      <c r="BH12" s="887"/>
      <c r="BI12" s="887"/>
      <c r="BJ12" s="887"/>
      <c r="BK12" s="887"/>
      <c r="BL12" s="842"/>
      <c r="BM12" s="887"/>
      <c r="BN12" s="887"/>
      <c r="BO12" s="887"/>
      <c r="BP12" s="887"/>
      <c r="BQ12" s="887"/>
      <c r="BR12" s="887"/>
      <c r="BS12" s="887"/>
      <c r="BT12" s="887"/>
      <c r="BU12" s="887"/>
      <c r="BV12" s="887"/>
      <c r="BW12" s="887"/>
      <c r="BX12" s="842"/>
      <c r="BY12" s="887"/>
      <c r="BZ12" s="887"/>
      <c r="CA12" s="887"/>
      <c r="CB12" s="887"/>
      <c r="CC12" s="887"/>
      <c r="CD12" s="887"/>
      <c r="CE12" s="887"/>
      <c r="CF12" s="887"/>
      <c r="CG12" s="887"/>
      <c r="CH12" s="887"/>
      <c r="CI12" s="887"/>
      <c r="CJ12" s="842"/>
      <c r="CK12" s="887"/>
      <c r="CL12" s="887"/>
      <c r="CM12" s="887"/>
      <c r="CN12" s="887"/>
      <c r="CO12" s="887"/>
      <c r="CP12" s="887"/>
      <c r="CQ12" s="887"/>
      <c r="CR12" s="887"/>
      <c r="CS12" s="887"/>
      <c r="CT12" s="887"/>
      <c r="CU12" s="887"/>
      <c r="CV12" s="842"/>
      <c r="CW12" s="887"/>
      <c r="CX12" s="887"/>
      <c r="CY12" s="887"/>
      <c r="CZ12" s="887"/>
      <c r="DA12" s="887"/>
      <c r="DB12" s="887"/>
      <c r="DC12" s="887"/>
      <c r="DD12" s="887"/>
      <c r="DE12" s="887"/>
      <c r="DF12" s="887"/>
      <c r="DG12" s="887"/>
      <c r="DH12" s="842"/>
      <c r="DI12" s="887"/>
      <c r="DJ12" s="887"/>
      <c r="DK12" s="887"/>
      <c r="DL12" s="887"/>
      <c r="DM12" s="887"/>
      <c r="DN12" s="887"/>
      <c r="DO12" s="887"/>
      <c r="DP12" s="887"/>
      <c r="DQ12" s="887"/>
      <c r="DR12" s="887"/>
      <c r="DS12" s="887"/>
      <c r="DT12" s="842"/>
    </row>
    <row r="13" spans="1:124" ht="15" hidden="1" x14ac:dyDescent="0.25">
      <c r="B13" s="247" t="s">
        <v>575</v>
      </c>
      <c r="C13" s="683"/>
      <c r="D13" s="7"/>
      <c r="E13" s="671">
        <f>Assumptions!$E31</f>
        <v>55</v>
      </c>
      <c r="F13" s="671">
        <f>Assumptions!$E31</f>
        <v>55</v>
      </c>
      <c r="G13" s="671">
        <f>Assumptions!$E31</f>
        <v>55</v>
      </c>
      <c r="H13" s="671">
        <f>Assumptions!$E31</f>
        <v>55</v>
      </c>
      <c r="I13" s="671">
        <f>Assumptions!$E31</f>
        <v>55</v>
      </c>
      <c r="J13" s="671">
        <f>Assumptions!$E31</f>
        <v>55</v>
      </c>
      <c r="K13" s="671">
        <f>Assumptions!$E31</f>
        <v>55</v>
      </c>
      <c r="L13" s="671">
        <f>Assumptions!$E31</f>
        <v>55</v>
      </c>
      <c r="M13" s="671">
        <f>Assumptions!$E31</f>
        <v>55</v>
      </c>
      <c r="N13" s="671">
        <f>Assumptions!$E31</f>
        <v>55</v>
      </c>
      <c r="O13" s="671">
        <f>Assumptions!$E31</f>
        <v>55</v>
      </c>
      <c r="P13" s="693">
        <f>Assumptions!$E31</f>
        <v>55</v>
      </c>
      <c r="Q13" s="691">
        <f>Assumptions!$F31</f>
        <v>58.464999999999996</v>
      </c>
      <c r="R13" s="672">
        <f>Assumptions!$F31</f>
        <v>58.464999999999996</v>
      </c>
      <c r="S13" s="672">
        <f>Assumptions!$F31</f>
        <v>58.464999999999996</v>
      </c>
      <c r="T13" s="672">
        <f>Assumptions!$F31</f>
        <v>58.464999999999996</v>
      </c>
      <c r="U13" s="672">
        <f>Assumptions!$F31</f>
        <v>58.464999999999996</v>
      </c>
      <c r="V13" s="672">
        <f>Assumptions!$F31</f>
        <v>58.464999999999996</v>
      </c>
      <c r="W13" s="672">
        <f>Assumptions!$F31</f>
        <v>58.464999999999996</v>
      </c>
      <c r="X13" s="672">
        <f>Assumptions!$F31</f>
        <v>58.464999999999996</v>
      </c>
      <c r="Y13" s="672">
        <f>Assumptions!$F31</f>
        <v>58.464999999999996</v>
      </c>
      <c r="Z13" s="672">
        <f>Assumptions!$F31</f>
        <v>58.464999999999996</v>
      </c>
      <c r="AA13" s="672">
        <f>Assumptions!$F31</f>
        <v>58.464999999999996</v>
      </c>
      <c r="AB13" s="698">
        <f>Assumptions!$F31</f>
        <v>58.464999999999996</v>
      </c>
      <c r="AC13" s="672">
        <f>Assumptions!$G31</f>
        <v>62.14829499999999</v>
      </c>
      <c r="AD13" s="672">
        <f>Assumptions!$G31</f>
        <v>62.14829499999999</v>
      </c>
      <c r="AE13" s="672">
        <f>Assumptions!$G31</f>
        <v>62.14829499999999</v>
      </c>
      <c r="AF13" s="672">
        <f>Assumptions!$G31</f>
        <v>62.14829499999999</v>
      </c>
      <c r="AG13" s="672">
        <f>Assumptions!$G31</f>
        <v>62.14829499999999</v>
      </c>
      <c r="AH13" s="672">
        <f>Assumptions!$G31</f>
        <v>62.14829499999999</v>
      </c>
      <c r="AI13" s="672">
        <f>Assumptions!$G31</f>
        <v>62.14829499999999</v>
      </c>
      <c r="AJ13" s="672">
        <f>Assumptions!$G31</f>
        <v>62.14829499999999</v>
      </c>
      <c r="AK13" s="672">
        <f>Assumptions!$G31</f>
        <v>62.14829499999999</v>
      </c>
      <c r="AL13" s="672">
        <f>Assumptions!$G31</f>
        <v>62.14829499999999</v>
      </c>
      <c r="AM13" s="672">
        <f>Assumptions!$G31</f>
        <v>62.14829499999999</v>
      </c>
      <c r="AN13" s="698">
        <f>Assumptions!$G31</f>
        <v>62.14829499999999</v>
      </c>
      <c r="AO13" s="691">
        <f>Assumptions!$H31</f>
        <v>66.063637584999981</v>
      </c>
      <c r="AP13" s="672">
        <f>Assumptions!$H31</f>
        <v>66.063637584999981</v>
      </c>
      <c r="AQ13" s="672">
        <f>Assumptions!$H31</f>
        <v>66.063637584999981</v>
      </c>
      <c r="AR13" s="672">
        <f>Assumptions!$H31</f>
        <v>66.063637584999981</v>
      </c>
      <c r="AS13" s="672">
        <f>Assumptions!$H31</f>
        <v>66.063637584999981</v>
      </c>
      <c r="AT13" s="672">
        <f>Assumptions!$H31</f>
        <v>66.063637584999981</v>
      </c>
      <c r="AU13" s="672">
        <f>Assumptions!$H31</f>
        <v>66.063637584999981</v>
      </c>
      <c r="AV13" s="672">
        <f>Assumptions!$H31</f>
        <v>66.063637584999981</v>
      </c>
      <c r="AW13" s="672">
        <f>Assumptions!$H31</f>
        <v>66.063637584999981</v>
      </c>
      <c r="AX13" s="672">
        <f>Assumptions!$H31</f>
        <v>66.063637584999981</v>
      </c>
      <c r="AY13" s="672">
        <f>Assumptions!$H31</f>
        <v>66.063637584999981</v>
      </c>
      <c r="AZ13" s="698">
        <f>Assumptions!$H31</f>
        <v>66.063637584999981</v>
      </c>
      <c r="BA13" s="691">
        <f>Assumptions!$I31</f>
        <v>70.225646752854971</v>
      </c>
      <c r="BB13" s="672">
        <f>Assumptions!$I31</f>
        <v>70.225646752854971</v>
      </c>
      <c r="BC13" s="672">
        <f>Assumptions!$I31</f>
        <v>70.225646752854971</v>
      </c>
      <c r="BD13" s="672">
        <f>Assumptions!$I31</f>
        <v>70.225646752854971</v>
      </c>
      <c r="BE13" s="672">
        <f>Assumptions!$I31</f>
        <v>70.225646752854971</v>
      </c>
      <c r="BF13" s="672">
        <f>Assumptions!$I31</f>
        <v>70.225646752854971</v>
      </c>
      <c r="BG13" s="672">
        <f>Assumptions!$I31</f>
        <v>70.225646752854971</v>
      </c>
      <c r="BH13" s="672">
        <f>Assumptions!$I31</f>
        <v>70.225646752854971</v>
      </c>
      <c r="BI13" s="672">
        <f>Assumptions!$I31</f>
        <v>70.225646752854971</v>
      </c>
      <c r="BJ13" s="672">
        <f>Assumptions!$I31</f>
        <v>70.225646752854971</v>
      </c>
      <c r="BK13" s="672">
        <f>Assumptions!$I31</f>
        <v>70.225646752854971</v>
      </c>
      <c r="BL13" s="698">
        <f>Assumptions!$I31</f>
        <v>70.225646752854971</v>
      </c>
      <c r="BM13" s="691">
        <f>Assumptions!$J31</f>
        <v>74.649862498284833</v>
      </c>
      <c r="BN13" s="672">
        <f>Assumptions!$J31</f>
        <v>74.649862498284833</v>
      </c>
      <c r="BO13" s="672">
        <f>Assumptions!$J31</f>
        <v>74.649862498284833</v>
      </c>
      <c r="BP13" s="672">
        <f>Assumptions!$J31</f>
        <v>74.649862498284833</v>
      </c>
      <c r="BQ13" s="672">
        <f>Assumptions!$J31</f>
        <v>74.649862498284833</v>
      </c>
      <c r="BR13" s="672">
        <f>Assumptions!$J31</f>
        <v>74.649862498284833</v>
      </c>
      <c r="BS13" s="672">
        <f>Assumptions!$J31</f>
        <v>74.649862498284833</v>
      </c>
      <c r="BT13" s="672">
        <f>Assumptions!$J31</f>
        <v>74.649862498284833</v>
      </c>
      <c r="BU13" s="672">
        <f>Assumptions!$J31</f>
        <v>74.649862498284833</v>
      </c>
      <c r="BV13" s="672">
        <f>Assumptions!$J31</f>
        <v>74.649862498284833</v>
      </c>
      <c r="BW13" s="672">
        <f>Assumptions!$J31</f>
        <v>74.649862498284833</v>
      </c>
      <c r="BX13" s="698">
        <f>Assumptions!$J31</f>
        <v>74.649862498284833</v>
      </c>
      <c r="BY13" s="691">
        <f>Assumptions!$K31</f>
        <v>79.352803835676781</v>
      </c>
      <c r="BZ13" s="672">
        <f>Assumptions!$K31</f>
        <v>79.352803835676781</v>
      </c>
      <c r="CA13" s="672">
        <f>Assumptions!$K31</f>
        <v>79.352803835676781</v>
      </c>
      <c r="CB13" s="672">
        <f>Assumptions!$K31</f>
        <v>79.352803835676781</v>
      </c>
      <c r="CC13" s="672">
        <f>Assumptions!$K31</f>
        <v>79.352803835676781</v>
      </c>
      <c r="CD13" s="672">
        <f>Assumptions!$K31</f>
        <v>79.352803835676781</v>
      </c>
      <c r="CE13" s="672">
        <f>Assumptions!$K31</f>
        <v>79.352803835676781</v>
      </c>
      <c r="CF13" s="672">
        <f>Assumptions!$K31</f>
        <v>79.352803835676781</v>
      </c>
      <c r="CG13" s="672">
        <f>Assumptions!$K31</f>
        <v>79.352803835676781</v>
      </c>
      <c r="CH13" s="672">
        <f>Assumptions!$K31</f>
        <v>79.352803835676781</v>
      </c>
      <c r="CI13" s="672">
        <f>Assumptions!$K31</f>
        <v>79.352803835676781</v>
      </c>
      <c r="CJ13" s="698">
        <f>Assumptions!$K31</f>
        <v>79.352803835676781</v>
      </c>
      <c r="CK13" s="691">
        <f>Assumptions!$L31</f>
        <v>84.352030477324419</v>
      </c>
      <c r="CL13" s="672">
        <f>Assumptions!$L31</f>
        <v>84.352030477324419</v>
      </c>
      <c r="CM13" s="672">
        <f>Assumptions!$L31</f>
        <v>84.352030477324419</v>
      </c>
      <c r="CN13" s="672">
        <f>Assumptions!$L31</f>
        <v>84.352030477324419</v>
      </c>
      <c r="CO13" s="672">
        <f>Assumptions!$L31</f>
        <v>84.352030477324419</v>
      </c>
      <c r="CP13" s="672">
        <f>Assumptions!$L31</f>
        <v>84.352030477324419</v>
      </c>
      <c r="CQ13" s="672">
        <f>Assumptions!$L31</f>
        <v>84.352030477324419</v>
      </c>
      <c r="CR13" s="672">
        <f>Assumptions!$L31</f>
        <v>84.352030477324419</v>
      </c>
      <c r="CS13" s="672">
        <f>Assumptions!$L31</f>
        <v>84.352030477324419</v>
      </c>
      <c r="CT13" s="672">
        <f>Assumptions!$L31</f>
        <v>84.352030477324419</v>
      </c>
      <c r="CU13" s="672">
        <f>Assumptions!$L31</f>
        <v>84.352030477324419</v>
      </c>
      <c r="CV13" s="698">
        <f>Assumptions!$L31</f>
        <v>84.352030477324419</v>
      </c>
      <c r="CW13" s="691">
        <f>Assumptions!$M31</f>
        <v>89.666208397395849</v>
      </c>
      <c r="CX13" s="672">
        <f>Assumptions!$M31</f>
        <v>89.666208397395849</v>
      </c>
      <c r="CY13" s="672">
        <f>Assumptions!$M31</f>
        <v>89.666208397395849</v>
      </c>
      <c r="CZ13" s="672">
        <f>Assumptions!$M31</f>
        <v>89.666208397395849</v>
      </c>
      <c r="DA13" s="672">
        <f>Assumptions!$M31</f>
        <v>89.666208397395849</v>
      </c>
      <c r="DB13" s="672">
        <f>Assumptions!$M31</f>
        <v>89.666208397395849</v>
      </c>
      <c r="DC13" s="672">
        <f>Assumptions!$M31</f>
        <v>89.666208397395849</v>
      </c>
      <c r="DD13" s="672">
        <f>Assumptions!$M31</f>
        <v>89.666208397395849</v>
      </c>
      <c r="DE13" s="672">
        <f>Assumptions!$M31</f>
        <v>89.666208397395849</v>
      </c>
      <c r="DF13" s="672">
        <f>Assumptions!$M31</f>
        <v>89.666208397395849</v>
      </c>
      <c r="DG13" s="672">
        <f>Assumptions!$M31</f>
        <v>89.666208397395849</v>
      </c>
      <c r="DH13" s="698">
        <f>Assumptions!$M31</f>
        <v>89.666208397395849</v>
      </c>
      <c r="DI13" s="691">
        <f>Assumptions!$N31</f>
        <v>95.315179526431777</v>
      </c>
      <c r="DJ13" s="672">
        <f>Assumptions!$N31</f>
        <v>95.315179526431777</v>
      </c>
      <c r="DK13" s="672">
        <f>Assumptions!$N31</f>
        <v>95.315179526431777</v>
      </c>
      <c r="DL13" s="672">
        <f>Assumptions!$N31</f>
        <v>95.315179526431777</v>
      </c>
      <c r="DM13" s="672">
        <f>Assumptions!$N31</f>
        <v>95.315179526431777</v>
      </c>
      <c r="DN13" s="672">
        <f>Assumptions!$N31</f>
        <v>95.315179526431777</v>
      </c>
      <c r="DO13" s="672">
        <f>Assumptions!$N31</f>
        <v>95.315179526431777</v>
      </c>
      <c r="DP13" s="672">
        <f>Assumptions!$N31</f>
        <v>95.315179526431777</v>
      </c>
      <c r="DQ13" s="672">
        <f>Assumptions!$N31</f>
        <v>95.315179526431777</v>
      </c>
      <c r="DR13" s="672">
        <f>Assumptions!$N31</f>
        <v>95.315179526431777</v>
      </c>
      <c r="DS13" s="672">
        <f>Assumptions!$N31</f>
        <v>95.315179526431777</v>
      </c>
      <c r="DT13" s="698">
        <f>Assumptions!$N31</f>
        <v>95.315179526431777</v>
      </c>
    </row>
    <row r="14" spans="1:124" ht="15" x14ac:dyDescent="0.25">
      <c r="B14" s="247" t="s">
        <v>701</v>
      </c>
      <c r="C14" s="683"/>
      <c r="D14" s="7"/>
      <c r="E14" s="940">
        <f>Assumptions!$E32</f>
        <v>80</v>
      </c>
      <c r="F14" s="940">
        <f>Assumptions!$E32</f>
        <v>80</v>
      </c>
      <c r="G14" s="940">
        <f>Assumptions!$E32</f>
        <v>80</v>
      </c>
      <c r="H14" s="940">
        <f>Assumptions!$E32</f>
        <v>80</v>
      </c>
      <c r="I14" s="940">
        <f>Assumptions!$E32</f>
        <v>80</v>
      </c>
      <c r="J14" s="940">
        <f>Assumptions!$E32</f>
        <v>80</v>
      </c>
      <c r="K14" s="940">
        <f>Assumptions!$E32</f>
        <v>80</v>
      </c>
      <c r="L14" s="940">
        <f>Assumptions!$E32</f>
        <v>80</v>
      </c>
      <c r="M14" s="940">
        <f>Assumptions!$E32</f>
        <v>80</v>
      </c>
      <c r="N14" s="940">
        <f>Assumptions!$E32</f>
        <v>80</v>
      </c>
      <c r="O14" s="940">
        <f>Assumptions!$E32</f>
        <v>80</v>
      </c>
      <c r="P14" s="941">
        <f>Assumptions!$E32</f>
        <v>80</v>
      </c>
      <c r="Q14" s="691">
        <f>Assumptions!$F32</f>
        <v>85.039999999999992</v>
      </c>
      <c r="R14" s="671">
        <f>Assumptions!$F32</f>
        <v>85.039999999999992</v>
      </c>
      <c r="S14" s="671">
        <f>Assumptions!$F32</f>
        <v>85.039999999999992</v>
      </c>
      <c r="T14" s="671">
        <f>Assumptions!$F32</f>
        <v>85.039999999999992</v>
      </c>
      <c r="U14" s="671">
        <f>Assumptions!$F32</f>
        <v>85.039999999999992</v>
      </c>
      <c r="V14" s="671">
        <f>Assumptions!$F32</f>
        <v>85.039999999999992</v>
      </c>
      <c r="W14" s="671">
        <f>Assumptions!$F32</f>
        <v>85.039999999999992</v>
      </c>
      <c r="X14" s="671">
        <f>Assumptions!$F32</f>
        <v>85.039999999999992</v>
      </c>
      <c r="Y14" s="671">
        <f>Assumptions!$F32</f>
        <v>85.039999999999992</v>
      </c>
      <c r="Z14" s="671">
        <f>Assumptions!$F32</f>
        <v>85.039999999999992</v>
      </c>
      <c r="AA14" s="671">
        <f>Assumptions!$F32</f>
        <v>85.039999999999992</v>
      </c>
      <c r="AB14" s="693">
        <f>Assumptions!$F32</f>
        <v>85.039999999999992</v>
      </c>
      <c r="AC14" s="672">
        <f>Assumptions!$G32</f>
        <v>90.397519999999986</v>
      </c>
      <c r="AD14" s="671">
        <f>Assumptions!$G32</f>
        <v>90.397519999999986</v>
      </c>
      <c r="AE14" s="671">
        <f>Assumptions!$G32</f>
        <v>90.397519999999986</v>
      </c>
      <c r="AF14" s="671">
        <f>Assumptions!$G32</f>
        <v>90.397519999999986</v>
      </c>
      <c r="AG14" s="671">
        <f>Assumptions!$G32</f>
        <v>90.397519999999986</v>
      </c>
      <c r="AH14" s="671">
        <f>Assumptions!$G32</f>
        <v>90.397519999999986</v>
      </c>
      <c r="AI14" s="671">
        <f>Assumptions!$G32</f>
        <v>90.397519999999986</v>
      </c>
      <c r="AJ14" s="671">
        <f>Assumptions!$G32</f>
        <v>90.397519999999986</v>
      </c>
      <c r="AK14" s="671">
        <f>Assumptions!$G32</f>
        <v>90.397519999999986</v>
      </c>
      <c r="AL14" s="671">
        <f>Assumptions!$G32</f>
        <v>90.397519999999986</v>
      </c>
      <c r="AM14" s="671">
        <f>Assumptions!$G32</f>
        <v>90.397519999999986</v>
      </c>
      <c r="AN14" s="693">
        <f>Assumptions!$G32</f>
        <v>90.397519999999986</v>
      </c>
      <c r="AO14" s="691">
        <f>Assumptions!$H32</f>
        <v>96.092563759999976</v>
      </c>
      <c r="AP14" s="671">
        <f>Assumptions!$H32</f>
        <v>96.092563759999976</v>
      </c>
      <c r="AQ14" s="671">
        <f>Assumptions!$H32</f>
        <v>96.092563759999976</v>
      </c>
      <c r="AR14" s="671">
        <f>Assumptions!$H32</f>
        <v>96.092563759999976</v>
      </c>
      <c r="AS14" s="671">
        <f>Assumptions!$H32</f>
        <v>96.092563759999976</v>
      </c>
      <c r="AT14" s="671">
        <f>Assumptions!$H32</f>
        <v>96.092563759999976</v>
      </c>
      <c r="AU14" s="671">
        <f>Assumptions!$H32</f>
        <v>96.092563759999976</v>
      </c>
      <c r="AV14" s="671">
        <f>Assumptions!$H32</f>
        <v>96.092563759999976</v>
      </c>
      <c r="AW14" s="671">
        <f>Assumptions!$H32</f>
        <v>96.092563759999976</v>
      </c>
      <c r="AX14" s="671">
        <f>Assumptions!$H32</f>
        <v>96.092563759999976</v>
      </c>
      <c r="AY14" s="671">
        <f>Assumptions!$H32</f>
        <v>96.092563759999976</v>
      </c>
      <c r="AZ14" s="693">
        <f>Assumptions!$H32</f>
        <v>96.092563759999976</v>
      </c>
      <c r="BA14" s="691">
        <f>Assumptions!$I32</f>
        <v>102.14639527687996</v>
      </c>
      <c r="BB14" s="671">
        <f>Assumptions!$I32</f>
        <v>102.14639527687996</v>
      </c>
      <c r="BC14" s="671">
        <f>Assumptions!$I32</f>
        <v>102.14639527687996</v>
      </c>
      <c r="BD14" s="671">
        <f>Assumptions!$I32</f>
        <v>102.14639527687996</v>
      </c>
      <c r="BE14" s="671">
        <f>Assumptions!$I32</f>
        <v>102.14639527687996</v>
      </c>
      <c r="BF14" s="671">
        <f>Assumptions!$I32</f>
        <v>102.14639527687996</v>
      </c>
      <c r="BG14" s="671">
        <f>Assumptions!$I32</f>
        <v>102.14639527687996</v>
      </c>
      <c r="BH14" s="671">
        <f>Assumptions!$I32</f>
        <v>102.14639527687996</v>
      </c>
      <c r="BI14" s="671">
        <f>Assumptions!$I32</f>
        <v>102.14639527687996</v>
      </c>
      <c r="BJ14" s="671">
        <f>Assumptions!$I32</f>
        <v>102.14639527687996</v>
      </c>
      <c r="BK14" s="671">
        <f>Assumptions!$I32</f>
        <v>102.14639527687996</v>
      </c>
      <c r="BL14" s="693">
        <f>Assumptions!$I32</f>
        <v>102.14639527687996</v>
      </c>
      <c r="BM14" s="691">
        <f>Assumptions!$J32</f>
        <v>108.5816181793234</v>
      </c>
      <c r="BN14" s="671">
        <f>Assumptions!$J32</f>
        <v>108.5816181793234</v>
      </c>
      <c r="BO14" s="671">
        <f>Assumptions!$J32</f>
        <v>108.5816181793234</v>
      </c>
      <c r="BP14" s="671">
        <f>Assumptions!$J32</f>
        <v>108.5816181793234</v>
      </c>
      <c r="BQ14" s="671">
        <f>Assumptions!$J32</f>
        <v>108.5816181793234</v>
      </c>
      <c r="BR14" s="671">
        <f>Assumptions!$J32</f>
        <v>108.5816181793234</v>
      </c>
      <c r="BS14" s="671">
        <f>Assumptions!$J32</f>
        <v>108.5816181793234</v>
      </c>
      <c r="BT14" s="671">
        <f>Assumptions!$J32</f>
        <v>108.5816181793234</v>
      </c>
      <c r="BU14" s="671">
        <f>Assumptions!$J32</f>
        <v>108.5816181793234</v>
      </c>
      <c r="BV14" s="671">
        <f>Assumptions!$J32</f>
        <v>108.5816181793234</v>
      </c>
      <c r="BW14" s="671">
        <f>Assumptions!$J32</f>
        <v>108.5816181793234</v>
      </c>
      <c r="BX14" s="693">
        <f>Assumptions!$J32</f>
        <v>108.5816181793234</v>
      </c>
      <c r="BY14" s="691">
        <f>Assumptions!$K32</f>
        <v>115.42226012462078</v>
      </c>
      <c r="BZ14" s="671">
        <f>Assumptions!$K32</f>
        <v>115.42226012462078</v>
      </c>
      <c r="CA14" s="671">
        <f>Assumptions!$K32</f>
        <v>115.42226012462078</v>
      </c>
      <c r="CB14" s="671">
        <f>Assumptions!$K32</f>
        <v>115.42226012462078</v>
      </c>
      <c r="CC14" s="671">
        <f>Assumptions!$K32</f>
        <v>115.42226012462078</v>
      </c>
      <c r="CD14" s="671">
        <f>Assumptions!$K32</f>
        <v>115.42226012462078</v>
      </c>
      <c r="CE14" s="671">
        <f>Assumptions!$K32</f>
        <v>115.42226012462078</v>
      </c>
      <c r="CF14" s="671">
        <f>Assumptions!$K32</f>
        <v>115.42226012462078</v>
      </c>
      <c r="CG14" s="671">
        <f>Assumptions!$K32</f>
        <v>115.42226012462078</v>
      </c>
      <c r="CH14" s="671">
        <f>Assumptions!$K32</f>
        <v>115.42226012462078</v>
      </c>
      <c r="CI14" s="671">
        <f>Assumptions!$K32</f>
        <v>115.42226012462078</v>
      </c>
      <c r="CJ14" s="693">
        <f>Assumptions!$K32</f>
        <v>115.42226012462078</v>
      </c>
      <c r="CK14" s="691">
        <f>Assumptions!$L32</f>
        <v>122.69386251247187</v>
      </c>
      <c r="CL14" s="671">
        <f>Assumptions!$L32</f>
        <v>122.69386251247187</v>
      </c>
      <c r="CM14" s="671">
        <f>Assumptions!$L32</f>
        <v>122.69386251247187</v>
      </c>
      <c r="CN14" s="671">
        <f>Assumptions!$L32</f>
        <v>122.69386251247187</v>
      </c>
      <c r="CO14" s="671">
        <f>Assumptions!$L32</f>
        <v>122.69386251247187</v>
      </c>
      <c r="CP14" s="671">
        <f>Assumptions!$L32</f>
        <v>122.69386251247187</v>
      </c>
      <c r="CQ14" s="671">
        <f>Assumptions!$L32</f>
        <v>122.69386251247187</v>
      </c>
      <c r="CR14" s="671">
        <f>Assumptions!$L32</f>
        <v>122.69386251247187</v>
      </c>
      <c r="CS14" s="671">
        <f>Assumptions!$L32</f>
        <v>122.69386251247187</v>
      </c>
      <c r="CT14" s="671">
        <f>Assumptions!$L32</f>
        <v>122.69386251247187</v>
      </c>
      <c r="CU14" s="671">
        <f>Assumptions!$L32</f>
        <v>122.69386251247187</v>
      </c>
      <c r="CV14" s="693">
        <f>Assumptions!$L32</f>
        <v>122.69386251247187</v>
      </c>
      <c r="CW14" s="691">
        <f>Assumptions!$M32</f>
        <v>130.4235758507576</v>
      </c>
      <c r="CX14" s="671">
        <f>Assumptions!$M32</f>
        <v>130.4235758507576</v>
      </c>
      <c r="CY14" s="671">
        <f>Assumptions!$M32</f>
        <v>130.4235758507576</v>
      </c>
      <c r="CZ14" s="671">
        <f>Assumptions!$M32</f>
        <v>130.4235758507576</v>
      </c>
      <c r="DA14" s="671">
        <f>Assumptions!$M32</f>
        <v>130.4235758507576</v>
      </c>
      <c r="DB14" s="671">
        <f>Assumptions!$M32</f>
        <v>130.4235758507576</v>
      </c>
      <c r="DC14" s="671">
        <f>Assumptions!$M32</f>
        <v>130.4235758507576</v>
      </c>
      <c r="DD14" s="671">
        <f>Assumptions!$M32</f>
        <v>130.4235758507576</v>
      </c>
      <c r="DE14" s="671">
        <f>Assumptions!$M32</f>
        <v>130.4235758507576</v>
      </c>
      <c r="DF14" s="671">
        <f>Assumptions!$M32</f>
        <v>130.4235758507576</v>
      </c>
      <c r="DG14" s="671">
        <f>Assumptions!$M32</f>
        <v>130.4235758507576</v>
      </c>
      <c r="DH14" s="693">
        <f>Assumptions!$M32</f>
        <v>130.4235758507576</v>
      </c>
      <c r="DI14" s="691">
        <f>Assumptions!$N32</f>
        <v>138.64026112935531</v>
      </c>
      <c r="DJ14" s="671">
        <f>Assumptions!$N32</f>
        <v>138.64026112935531</v>
      </c>
      <c r="DK14" s="671">
        <f>Assumptions!$N32</f>
        <v>138.64026112935531</v>
      </c>
      <c r="DL14" s="671">
        <f>Assumptions!$N32</f>
        <v>138.64026112935531</v>
      </c>
      <c r="DM14" s="671">
        <f>Assumptions!$N32</f>
        <v>138.64026112935531</v>
      </c>
      <c r="DN14" s="671">
        <f>Assumptions!$N32</f>
        <v>138.64026112935531</v>
      </c>
      <c r="DO14" s="671">
        <f>Assumptions!$N32</f>
        <v>138.64026112935531</v>
      </c>
      <c r="DP14" s="671">
        <f>Assumptions!$N32</f>
        <v>138.64026112935531</v>
      </c>
      <c r="DQ14" s="671">
        <f>Assumptions!$N32</f>
        <v>138.64026112935531</v>
      </c>
      <c r="DR14" s="671">
        <f>Assumptions!$N32</f>
        <v>138.64026112935531</v>
      </c>
      <c r="DS14" s="671">
        <f>Assumptions!$N32</f>
        <v>138.64026112935531</v>
      </c>
      <c r="DT14" s="693">
        <f>Assumptions!$N32</f>
        <v>138.64026112935531</v>
      </c>
    </row>
    <row r="15" spans="1:124" ht="15" x14ac:dyDescent="0.25">
      <c r="B15" s="247" t="s">
        <v>702</v>
      </c>
      <c r="C15" s="683"/>
      <c r="D15" s="7"/>
      <c r="E15" s="940">
        <f>Assumptions!$E33</f>
        <v>65</v>
      </c>
      <c r="F15" s="940">
        <f>Assumptions!$E33</f>
        <v>65</v>
      </c>
      <c r="G15" s="940">
        <f>Assumptions!$E33</f>
        <v>65</v>
      </c>
      <c r="H15" s="940">
        <f>Assumptions!$E33</f>
        <v>65</v>
      </c>
      <c r="I15" s="940">
        <f>Assumptions!$E33</f>
        <v>65</v>
      </c>
      <c r="J15" s="940">
        <f>Assumptions!$E33</f>
        <v>65</v>
      </c>
      <c r="K15" s="940">
        <f>Assumptions!$E33</f>
        <v>65</v>
      </c>
      <c r="L15" s="940">
        <f>Assumptions!$E33</f>
        <v>65</v>
      </c>
      <c r="M15" s="940">
        <f>Assumptions!$E33</f>
        <v>65</v>
      </c>
      <c r="N15" s="940">
        <f>Assumptions!$E33</f>
        <v>65</v>
      </c>
      <c r="O15" s="940">
        <f>Assumptions!$E33</f>
        <v>65</v>
      </c>
      <c r="P15" s="941">
        <f>Assumptions!$E33</f>
        <v>65</v>
      </c>
      <c r="Q15" s="691">
        <f>Assumptions!$F33</f>
        <v>69.094999999999999</v>
      </c>
      <c r="R15" s="671">
        <f>Assumptions!$F33</f>
        <v>69.094999999999999</v>
      </c>
      <c r="S15" s="671">
        <f>Assumptions!$F33</f>
        <v>69.094999999999999</v>
      </c>
      <c r="T15" s="671">
        <f>Assumptions!$F33</f>
        <v>69.094999999999999</v>
      </c>
      <c r="U15" s="671">
        <f>Assumptions!$F33</f>
        <v>69.094999999999999</v>
      </c>
      <c r="V15" s="671">
        <f>Assumptions!$F33</f>
        <v>69.094999999999999</v>
      </c>
      <c r="W15" s="671">
        <f>Assumptions!$F33</f>
        <v>69.094999999999999</v>
      </c>
      <c r="X15" s="671">
        <f>Assumptions!$F33</f>
        <v>69.094999999999999</v>
      </c>
      <c r="Y15" s="671">
        <f>Assumptions!$F33</f>
        <v>69.094999999999999</v>
      </c>
      <c r="Z15" s="671">
        <f>Assumptions!$F33</f>
        <v>69.094999999999999</v>
      </c>
      <c r="AA15" s="671">
        <f>Assumptions!$F33</f>
        <v>69.094999999999999</v>
      </c>
      <c r="AB15" s="693">
        <f>Assumptions!$F33</f>
        <v>69.094999999999999</v>
      </c>
      <c r="AC15" s="672">
        <f>Assumptions!$G33</f>
        <v>73.447984999999989</v>
      </c>
      <c r="AD15" s="671">
        <f>Assumptions!$G33</f>
        <v>73.447984999999989</v>
      </c>
      <c r="AE15" s="671">
        <f>Assumptions!$G33</f>
        <v>73.447984999999989</v>
      </c>
      <c r="AF15" s="671">
        <f>Assumptions!$G33</f>
        <v>73.447984999999989</v>
      </c>
      <c r="AG15" s="671">
        <f>Assumptions!$G33</f>
        <v>73.447984999999989</v>
      </c>
      <c r="AH15" s="671">
        <f>Assumptions!$G33</f>
        <v>73.447984999999989</v>
      </c>
      <c r="AI15" s="671">
        <f>Assumptions!$G33</f>
        <v>73.447984999999989</v>
      </c>
      <c r="AJ15" s="671">
        <f>Assumptions!$G33</f>
        <v>73.447984999999989</v>
      </c>
      <c r="AK15" s="671">
        <f>Assumptions!$G33</f>
        <v>73.447984999999989</v>
      </c>
      <c r="AL15" s="671">
        <f>Assumptions!$G33</f>
        <v>73.447984999999989</v>
      </c>
      <c r="AM15" s="671">
        <f>Assumptions!$G33</f>
        <v>73.447984999999989</v>
      </c>
      <c r="AN15" s="693">
        <f>Assumptions!$G33</f>
        <v>73.447984999999989</v>
      </c>
      <c r="AO15" s="691">
        <f>Assumptions!$H33</f>
        <v>78.075208054999976</v>
      </c>
      <c r="AP15" s="671">
        <f>Assumptions!$H33</f>
        <v>78.075208054999976</v>
      </c>
      <c r="AQ15" s="671">
        <f>Assumptions!$H33</f>
        <v>78.075208054999976</v>
      </c>
      <c r="AR15" s="671">
        <f>Assumptions!$H33</f>
        <v>78.075208054999976</v>
      </c>
      <c r="AS15" s="671">
        <f>Assumptions!$H33</f>
        <v>78.075208054999976</v>
      </c>
      <c r="AT15" s="671">
        <f>Assumptions!$H33</f>
        <v>78.075208054999976</v>
      </c>
      <c r="AU15" s="671">
        <f>Assumptions!$H33</f>
        <v>78.075208054999976</v>
      </c>
      <c r="AV15" s="671">
        <f>Assumptions!$H33</f>
        <v>78.075208054999976</v>
      </c>
      <c r="AW15" s="671">
        <f>Assumptions!$H33</f>
        <v>78.075208054999976</v>
      </c>
      <c r="AX15" s="671">
        <f>Assumptions!$H33</f>
        <v>78.075208054999976</v>
      </c>
      <c r="AY15" s="671">
        <f>Assumptions!$H33</f>
        <v>78.075208054999976</v>
      </c>
      <c r="AZ15" s="693">
        <f>Assumptions!$H33</f>
        <v>78.075208054999976</v>
      </c>
      <c r="BA15" s="691">
        <f>Assumptions!$I33</f>
        <v>82.993946162464965</v>
      </c>
      <c r="BB15" s="671">
        <f>Assumptions!$I33</f>
        <v>82.993946162464965</v>
      </c>
      <c r="BC15" s="671">
        <f>Assumptions!$I33</f>
        <v>82.993946162464965</v>
      </c>
      <c r="BD15" s="671">
        <f>Assumptions!$I33</f>
        <v>82.993946162464965</v>
      </c>
      <c r="BE15" s="671">
        <f>Assumptions!$I33</f>
        <v>82.993946162464965</v>
      </c>
      <c r="BF15" s="671">
        <f>Assumptions!$I33</f>
        <v>82.993946162464965</v>
      </c>
      <c r="BG15" s="671">
        <f>Assumptions!$I33</f>
        <v>82.993946162464965</v>
      </c>
      <c r="BH15" s="671">
        <f>Assumptions!$I33</f>
        <v>82.993946162464965</v>
      </c>
      <c r="BI15" s="671">
        <f>Assumptions!$I33</f>
        <v>82.993946162464965</v>
      </c>
      <c r="BJ15" s="671">
        <f>Assumptions!$I33</f>
        <v>82.993946162464965</v>
      </c>
      <c r="BK15" s="671">
        <f>Assumptions!$I33</f>
        <v>82.993946162464965</v>
      </c>
      <c r="BL15" s="693">
        <f>Assumptions!$I33</f>
        <v>82.993946162464965</v>
      </c>
      <c r="BM15" s="691">
        <f>Assumptions!$J33</f>
        <v>88.222564770700259</v>
      </c>
      <c r="BN15" s="671">
        <f>Assumptions!$J33</f>
        <v>88.222564770700259</v>
      </c>
      <c r="BO15" s="671">
        <f>Assumptions!$J33</f>
        <v>88.222564770700259</v>
      </c>
      <c r="BP15" s="671">
        <f>Assumptions!$J33</f>
        <v>88.222564770700259</v>
      </c>
      <c r="BQ15" s="671">
        <f>Assumptions!$J33</f>
        <v>88.222564770700259</v>
      </c>
      <c r="BR15" s="671">
        <f>Assumptions!$J33</f>
        <v>88.222564770700259</v>
      </c>
      <c r="BS15" s="671">
        <f>Assumptions!$J33</f>
        <v>88.222564770700259</v>
      </c>
      <c r="BT15" s="671">
        <f>Assumptions!$J33</f>
        <v>88.222564770700259</v>
      </c>
      <c r="BU15" s="671">
        <f>Assumptions!$J33</f>
        <v>88.222564770700259</v>
      </c>
      <c r="BV15" s="671">
        <f>Assumptions!$J33</f>
        <v>88.222564770700259</v>
      </c>
      <c r="BW15" s="671">
        <f>Assumptions!$J33</f>
        <v>88.222564770700259</v>
      </c>
      <c r="BX15" s="693">
        <f>Assumptions!$J33</f>
        <v>88.222564770700259</v>
      </c>
      <c r="BY15" s="691">
        <f>Assumptions!$K33</f>
        <v>93.780586351254371</v>
      </c>
      <c r="BZ15" s="671">
        <f>Assumptions!$K33</f>
        <v>93.780586351254371</v>
      </c>
      <c r="CA15" s="671">
        <f>Assumptions!$K33</f>
        <v>93.780586351254371</v>
      </c>
      <c r="CB15" s="671">
        <f>Assumptions!$K33</f>
        <v>93.780586351254371</v>
      </c>
      <c r="CC15" s="671">
        <f>Assumptions!$K33</f>
        <v>93.780586351254371</v>
      </c>
      <c r="CD15" s="671">
        <f>Assumptions!$K33</f>
        <v>93.780586351254371</v>
      </c>
      <c r="CE15" s="671">
        <f>Assumptions!$K33</f>
        <v>93.780586351254371</v>
      </c>
      <c r="CF15" s="671">
        <f>Assumptions!$K33</f>
        <v>93.780586351254371</v>
      </c>
      <c r="CG15" s="671">
        <f>Assumptions!$K33</f>
        <v>93.780586351254371</v>
      </c>
      <c r="CH15" s="671">
        <f>Assumptions!$K33</f>
        <v>93.780586351254371</v>
      </c>
      <c r="CI15" s="671">
        <f>Assumptions!$K33</f>
        <v>93.780586351254371</v>
      </c>
      <c r="CJ15" s="693">
        <f>Assumptions!$K33</f>
        <v>93.780586351254371</v>
      </c>
      <c r="CK15" s="691">
        <f>Assumptions!$L33</f>
        <v>99.688763291383395</v>
      </c>
      <c r="CL15" s="671">
        <f>Assumptions!$L33</f>
        <v>99.688763291383395</v>
      </c>
      <c r="CM15" s="671">
        <f>Assumptions!$L33</f>
        <v>99.688763291383395</v>
      </c>
      <c r="CN15" s="671">
        <f>Assumptions!$L33</f>
        <v>99.688763291383395</v>
      </c>
      <c r="CO15" s="671">
        <f>Assumptions!$L33</f>
        <v>99.688763291383395</v>
      </c>
      <c r="CP15" s="671">
        <f>Assumptions!$L33</f>
        <v>99.688763291383395</v>
      </c>
      <c r="CQ15" s="671">
        <f>Assumptions!$L33</f>
        <v>99.688763291383395</v>
      </c>
      <c r="CR15" s="671">
        <f>Assumptions!$L33</f>
        <v>99.688763291383395</v>
      </c>
      <c r="CS15" s="671">
        <f>Assumptions!$L33</f>
        <v>99.688763291383395</v>
      </c>
      <c r="CT15" s="671">
        <f>Assumptions!$L33</f>
        <v>99.688763291383395</v>
      </c>
      <c r="CU15" s="671">
        <f>Assumptions!$L33</f>
        <v>99.688763291383395</v>
      </c>
      <c r="CV15" s="693">
        <f>Assumptions!$L33</f>
        <v>99.688763291383395</v>
      </c>
      <c r="CW15" s="691">
        <f>Assumptions!$M33</f>
        <v>105.96915537874054</v>
      </c>
      <c r="CX15" s="671">
        <f>Assumptions!$M33</f>
        <v>105.96915537874054</v>
      </c>
      <c r="CY15" s="671">
        <f>Assumptions!$M33</f>
        <v>105.96915537874054</v>
      </c>
      <c r="CZ15" s="671">
        <f>Assumptions!$M33</f>
        <v>105.96915537874054</v>
      </c>
      <c r="DA15" s="671">
        <f>Assumptions!$M33</f>
        <v>105.96915537874054</v>
      </c>
      <c r="DB15" s="671">
        <f>Assumptions!$M33</f>
        <v>105.96915537874054</v>
      </c>
      <c r="DC15" s="671">
        <f>Assumptions!$M33</f>
        <v>105.96915537874054</v>
      </c>
      <c r="DD15" s="671">
        <f>Assumptions!$M33</f>
        <v>105.96915537874054</v>
      </c>
      <c r="DE15" s="671">
        <f>Assumptions!$M33</f>
        <v>105.96915537874054</v>
      </c>
      <c r="DF15" s="671">
        <f>Assumptions!$M33</f>
        <v>105.96915537874054</v>
      </c>
      <c r="DG15" s="671">
        <f>Assumptions!$M33</f>
        <v>105.96915537874054</v>
      </c>
      <c r="DH15" s="693">
        <f>Assumptions!$M33</f>
        <v>105.96915537874054</v>
      </c>
      <c r="DI15" s="691">
        <f>Assumptions!$N33</f>
        <v>112.6452121676012</v>
      </c>
      <c r="DJ15" s="671">
        <f>Assumptions!$N33</f>
        <v>112.6452121676012</v>
      </c>
      <c r="DK15" s="671">
        <f>Assumptions!$N33</f>
        <v>112.6452121676012</v>
      </c>
      <c r="DL15" s="671">
        <f>Assumptions!$N33</f>
        <v>112.6452121676012</v>
      </c>
      <c r="DM15" s="671">
        <f>Assumptions!$N33</f>
        <v>112.6452121676012</v>
      </c>
      <c r="DN15" s="671">
        <f>Assumptions!$N33</f>
        <v>112.6452121676012</v>
      </c>
      <c r="DO15" s="671">
        <f>Assumptions!$N33</f>
        <v>112.6452121676012</v>
      </c>
      <c r="DP15" s="671">
        <f>Assumptions!$N33</f>
        <v>112.6452121676012</v>
      </c>
      <c r="DQ15" s="671">
        <f>Assumptions!$N33</f>
        <v>112.6452121676012</v>
      </c>
      <c r="DR15" s="671">
        <f>Assumptions!$N33</f>
        <v>112.6452121676012</v>
      </c>
      <c r="DS15" s="671">
        <f>Assumptions!$N33</f>
        <v>112.6452121676012</v>
      </c>
      <c r="DT15" s="693">
        <f>Assumptions!$N33</f>
        <v>112.6452121676012</v>
      </c>
    </row>
    <row r="16" spans="1:124" ht="15" hidden="1" customHeight="1" x14ac:dyDescent="0.3">
      <c r="A16" s="123"/>
      <c r="B16" s="245" t="s">
        <v>538</v>
      </c>
      <c r="C16" s="683"/>
      <c r="E16" s="671">
        <f>Assumptions!$E34</f>
        <v>100</v>
      </c>
      <c r="F16" s="671">
        <f>Assumptions!$E34</f>
        <v>100</v>
      </c>
      <c r="G16" s="671">
        <f>Assumptions!$E34</f>
        <v>100</v>
      </c>
      <c r="H16" s="671">
        <f>Assumptions!$E34</f>
        <v>100</v>
      </c>
      <c r="I16" s="671">
        <f>Assumptions!$E34</f>
        <v>100</v>
      </c>
      <c r="J16" s="671">
        <f>Assumptions!$E34</f>
        <v>100</v>
      </c>
      <c r="K16" s="671">
        <f>Assumptions!$E34</f>
        <v>100</v>
      </c>
      <c r="L16" s="671">
        <f>Assumptions!$E34</f>
        <v>100</v>
      </c>
      <c r="M16" s="671">
        <f>Assumptions!$E34</f>
        <v>100</v>
      </c>
      <c r="N16" s="671">
        <f>Assumptions!$E34</f>
        <v>100</v>
      </c>
      <c r="O16" s="671">
        <f>Assumptions!$E34</f>
        <v>100</v>
      </c>
      <c r="P16" s="693">
        <f>Assumptions!$E34</f>
        <v>100</v>
      </c>
      <c r="Q16" s="691">
        <f>Assumptions!$F34</f>
        <v>106.3</v>
      </c>
      <c r="R16" s="671">
        <f>Assumptions!$F34</f>
        <v>106.3</v>
      </c>
      <c r="S16" s="671">
        <f>Assumptions!$F34</f>
        <v>106.3</v>
      </c>
      <c r="T16" s="671">
        <f>Assumptions!$F34</f>
        <v>106.3</v>
      </c>
      <c r="U16" s="671">
        <f>Assumptions!$F34</f>
        <v>106.3</v>
      </c>
      <c r="V16" s="671">
        <f>Assumptions!$F34</f>
        <v>106.3</v>
      </c>
      <c r="W16" s="671">
        <f>Assumptions!$F34</f>
        <v>106.3</v>
      </c>
      <c r="X16" s="671">
        <f>Assumptions!$F34</f>
        <v>106.3</v>
      </c>
      <c r="Y16" s="671">
        <f>Assumptions!$F34</f>
        <v>106.3</v>
      </c>
      <c r="Z16" s="671">
        <f>Assumptions!$F34</f>
        <v>106.3</v>
      </c>
      <c r="AA16" s="671">
        <f>Assumptions!$F34</f>
        <v>106.3</v>
      </c>
      <c r="AB16" s="693">
        <f>Assumptions!$F34</f>
        <v>106.3</v>
      </c>
      <c r="AC16" s="672">
        <f>Assumptions!$G34</f>
        <v>112.99689999999998</v>
      </c>
      <c r="AD16" s="671">
        <f>Assumptions!$G34</f>
        <v>112.99689999999998</v>
      </c>
      <c r="AE16" s="671">
        <f>Assumptions!$G34</f>
        <v>112.99689999999998</v>
      </c>
      <c r="AF16" s="671">
        <f>Assumptions!$G34</f>
        <v>112.99689999999998</v>
      </c>
      <c r="AG16" s="671">
        <f>Assumptions!$G34</f>
        <v>112.99689999999998</v>
      </c>
      <c r="AH16" s="671">
        <f>Assumptions!$G34</f>
        <v>112.99689999999998</v>
      </c>
      <c r="AI16" s="671">
        <f>Assumptions!$G34</f>
        <v>112.99689999999998</v>
      </c>
      <c r="AJ16" s="671">
        <f>Assumptions!$G34</f>
        <v>112.99689999999998</v>
      </c>
      <c r="AK16" s="671">
        <f>Assumptions!$G34</f>
        <v>112.99689999999998</v>
      </c>
      <c r="AL16" s="671">
        <f>Assumptions!$G34</f>
        <v>112.99689999999998</v>
      </c>
      <c r="AM16" s="671">
        <f>Assumptions!$G34</f>
        <v>112.99689999999998</v>
      </c>
      <c r="AN16" s="693">
        <f>Assumptions!$G34</f>
        <v>112.99689999999998</v>
      </c>
      <c r="AO16" s="691">
        <f>Assumptions!$H34</f>
        <v>120.11570469999997</v>
      </c>
      <c r="AP16" s="671">
        <f>Assumptions!$H34</f>
        <v>120.11570469999997</v>
      </c>
      <c r="AQ16" s="671">
        <f>Assumptions!$H34</f>
        <v>120.11570469999997</v>
      </c>
      <c r="AR16" s="671">
        <f>Assumptions!$H34</f>
        <v>120.11570469999997</v>
      </c>
      <c r="AS16" s="671">
        <f>Assumptions!$H34</f>
        <v>120.11570469999997</v>
      </c>
      <c r="AT16" s="671">
        <f>Assumptions!$H34</f>
        <v>120.11570469999997</v>
      </c>
      <c r="AU16" s="671">
        <f>Assumptions!$H34</f>
        <v>120.11570469999997</v>
      </c>
      <c r="AV16" s="671">
        <f>Assumptions!$H34</f>
        <v>120.11570469999997</v>
      </c>
      <c r="AW16" s="671">
        <f>Assumptions!$H34</f>
        <v>120.11570469999997</v>
      </c>
      <c r="AX16" s="671">
        <f>Assumptions!$H34</f>
        <v>120.11570469999997</v>
      </c>
      <c r="AY16" s="671">
        <f>Assumptions!$H34</f>
        <v>120.11570469999997</v>
      </c>
      <c r="AZ16" s="693">
        <f>Assumptions!$H34</f>
        <v>120.11570469999997</v>
      </c>
      <c r="BA16" s="691">
        <f>Assumptions!$I34</f>
        <v>127.68299409609996</v>
      </c>
      <c r="BB16" s="671">
        <f>Assumptions!$I34</f>
        <v>127.68299409609996</v>
      </c>
      <c r="BC16" s="671">
        <f>Assumptions!$I34</f>
        <v>127.68299409609996</v>
      </c>
      <c r="BD16" s="671">
        <f>Assumptions!$I34</f>
        <v>127.68299409609996</v>
      </c>
      <c r="BE16" s="671">
        <f>Assumptions!$I34</f>
        <v>127.68299409609996</v>
      </c>
      <c r="BF16" s="671">
        <f>Assumptions!$I34</f>
        <v>127.68299409609996</v>
      </c>
      <c r="BG16" s="671">
        <f>Assumptions!$I34</f>
        <v>127.68299409609996</v>
      </c>
      <c r="BH16" s="671">
        <f>Assumptions!$I34</f>
        <v>127.68299409609996</v>
      </c>
      <c r="BI16" s="671">
        <f>Assumptions!$I34</f>
        <v>127.68299409609996</v>
      </c>
      <c r="BJ16" s="671">
        <f>Assumptions!$I34</f>
        <v>127.68299409609996</v>
      </c>
      <c r="BK16" s="671">
        <f>Assumptions!$I34</f>
        <v>127.68299409609996</v>
      </c>
      <c r="BL16" s="693">
        <f>Assumptions!$I34</f>
        <v>127.68299409609996</v>
      </c>
      <c r="BM16" s="691">
        <f>Assumptions!$J34</f>
        <v>135.72702272415424</v>
      </c>
      <c r="BN16" s="671">
        <f>Assumptions!$J34</f>
        <v>135.72702272415424</v>
      </c>
      <c r="BO16" s="671">
        <f>Assumptions!$J34</f>
        <v>135.72702272415424</v>
      </c>
      <c r="BP16" s="671">
        <f>Assumptions!$J34</f>
        <v>135.72702272415424</v>
      </c>
      <c r="BQ16" s="671">
        <f>Assumptions!$J34</f>
        <v>135.72702272415424</v>
      </c>
      <c r="BR16" s="671">
        <f>Assumptions!$J34</f>
        <v>135.72702272415424</v>
      </c>
      <c r="BS16" s="671">
        <f>Assumptions!$J34</f>
        <v>135.72702272415424</v>
      </c>
      <c r="BT16" s="671">
        <f>Assumptions!$J34</f>
        <v>135.72702272415424</v>
      </c>
      <c r="BU16" s="671">
        <f>Assumptions!$J34</f>
        <v>135.72702272415424</v>
      </c>
      <c r="BV16" s="671">
        <f>Assumptions!$J34</f>
        <v>135.72702272415424</v>
      </c>
      <c r="BW16" s="671">
        <f>Assumptions!$J34</f>
        <v>135.72702272415424</v>
      </c>
      <c r="BX16" s="693">
        <f>Assumptions!$J34</f>
        <v>135.72702272415424</v>
      </c>
      <c r="BY16" s="691">
        <f>Assumptions!$K34</f>
        <v>144.27782515577596</v>
      </c>
      <c r="BZ16" s="671">
        <f>Assumptions!$K34</f>
        <v>144.27782515577596</v>
      </c>
      <c r="CA16" s="671">
        <f>Assumptions!$K34</f>
        <v>144.27782515577596</v>
      </c>
      <c r="CB16" s="671">
        <f>Assumptions!$K34</f>
        <v>144.27782515577596</v>
      </c>
      <c r="CC16" s="671">
        <f>Assumptions!$K34</f>
        <v>144.27782515577596</v>
      </c>
      <c r="CD16" s="671">
        <f>Assumptions!$K34</f>
        <v>144.27782515577596</v>
      </c>
      <c r="CE16" s="671">
        <f>Assumptions!$K34</f>
        <v>144.27782515577596</v>
      </c>
      <c r="CF16" s="671">
        <f>Assumptions!$K34</f>
        <v>144.27782515577596</v>
      </c>
      <c r="CG16" s="671">
        <f>Assumptions!$K34</f>
        <v>144.27782515577596</v>
      </c>
      <c r="CH16" s="671">
        <f>Assumptions!$K34</f>
        <v>144.27782515577596</v>
      </c>
      <c r="CI16" s="671">
        <f>Assumptions!$K34</f>
        <v>144.27782515577596</v>
      </c>
      <c r="CJ16" s="693">
        <f>Assumptions!$K34</f>
        <v>144.27782515577596</v>
      </c>
      <c r="CK16" s="691">
        <f>Assumptions!$L34</f>
        <v>153.36732814058985</v>
      </c>
      <c r="CL16" s="671">
        <f>Assumptions!$L34</f>
        <v>153.36732814058985</v>
      </c>
      <c r="CM16" s="671">
        <f>Assumptions!$L34</f>
        <v>153.36732814058985</v>
      </c>
      <c r="CN16" s="671">
        <f>Assumptions!$L34</f>
        <v>153.36732814058985</v>
      </c>
      <c r="CO16" s="671">
        <f>Assumptions!$L34</f>
        <v>153.36732814058985</v>
      </c>
      <c r="CP16" s="671">
        <f>Assumptions!$L34</f>
        <v>153.36732814058985</v>
      </c>
      <c r="CQ16" s="671">
        <f>Assumptions!$L34</f>
        <v>153.36732814058985</v>
      </c>
      <c r="CR16" s="671">
        <f>Assumptions!$L34</f>
        <v>153.36732814058985</v>
      </c>
      <c r="CS16" s="671">
        <f>Assumptions!$L34</f>
        <v>153.36732814058985</v>
      </c>
      <c r="CT16" s="671">
        <f>Assumptions!$L34</f>
        <v>153.36732814058985</v>
      </c>
      <c r="CU16" s="671">
        <f>Assumptions!$L34</f>
        <v>153.36732814058985</v>
      </c>
      <c r="CV16" s="693">
        <f>Assumptions!$L34</f>
        <v>153.36732814058985</v>
      </c>
      <c r="CW16" s="691">
        <f>Assumptions!$M34</f>
        <v>163.02946981344698</v>
      </c>
      <c r="CX16" s="671">
        <f>Assumptions!$M34</f>
        <v>163.02946981344698</v>
      </c>
      <c r="CY16" s="671">
        <f>Assumptions!$M34</f>
        <v>163.02946981344698</v>
      </c>
      <c r="CZ16" s="671">
        <f>Assumptions!$M34</f>
        <v>163.02946981344698</v>
      </c>
      <c r="DA16" s="671">
        <f>Assumptions!$M34</f>
        <v>163.02946981344698</v>
      </c>
      <c r="DB16" s="671">
        <f>Assumptions!$M34</f>
        <v>163.02946981344698</v>
      </c>
      <c r="DC16" s="671">
        <f>Assumptions!$M34</f>
        <v>163.02946981344698</v>
      </c>
      <c r="DD16" s="671">
        <f>Assumptions!$M34</f>
        <v>163.02946981344698</v>
      </c>
      <c r="DE16" s="671">
        <f>Assumptions!$M34</f>
        <v>163.02946981344698</v>
      </c>
      <c r="DF16" s="671">
        <f>Assumptions!$M34</f>
        <v>163.02946981344698</v>
      </c>
      <c r="DG16" s="671">
        <f>Assumptions!$M34</f>
        <v>163.02946981344698</v>
      </c>
      <c r="DH16" s="693">
        <f>Assumptions!$M34</f>
        <v>163.02946981344698</v>
      </c>
      <c r="DI16" s="691">
        <f>Assumptions!$N34</f>
        <v>173.30032641169416</v>
      </c>
      <c r="DJ16" s="671">
        <f>Assumptions!$N34</f>
        <v>173.30032641169416</v>
      </c>
      <c r="DK16" s="671">
        <f>Assumptions!$N34</f>
        <v>173.30032641169416</v>
      </c>
      <c r="DL16" s="671">
        <f>Assumptions!$N34</f>
        <v>173.30032641169416</v>
      </c>
      <c r="DM16" s="671">
        <f>Assumptions!$N34</f>
        <v>173.30032641169416</v>
      </c>
      <c r="DN16" s="671">
        <f>Assumptions!$N34</f>
        <v>173.30032641169416</v>
      </c>
      <c r="DO16" s="671">
        <f>Assumptions!$N34</f>
        <v>173.30032641169416</v>
      </c>
      <c r="DP16" s="671">
        <f>Assumptions!$N34</f>
        <v>173.30032641169416</v>
      </c>
      <c r="DQ16" s="671">
        <f>Assumptions!$N34</f>
        <v>173.30032641169416</v>
      </c>
      <c r="DR16" s="671">
        <f>Assumptions!$N34</f>
        <v>173.30032641169416</v>
      </c>
      <c r="DS16" s="671">
        <f>Assumptions!$N34</f>
        <v>173.30032641169416</v>
      </c>
      <c r="DT16" s="693">
        <f>Assumptions!$N34</f>
        <v>173.30032641169416</v>
      </c>
    </row>
    <row r="17" spans="1:124" ht="15" hidden="1" x14ac:dyDescent="0.25">
      <c r="A17" s="164"/>
      <c r="B17" s="245" t="s">
        <v>539</v>
      </c>
      <c r="C17" s="683"/>
      <c r="E17" s="671">
        <f>Assumptions!$E35</f>
        <v>120</v>
      </c>
      <c r="F17" s="671">
        <f>Assumptions!$E35</f>
        <v>120</v>
      </c>
      <c r="G17" s="671">
        <f>Assumptions!$E35</f>
        <v>120</v>
      </c>
      <c r="H17" s="671">
        <f>Assumptions!$E35</f>
        <v>120</v>
      </c>
      <c r="I17" s="671">
        <f>Assumptions!$E35</f>
        <v>120</v>
      </c>
      <c r="J17" s="671">
        <f>Assumptions!$E35</f>
        <v>120</v>
      </c>
      <c r="K17" s="671">
        <f>Assumptions!$E35</f>
        <v>120</v>
      </c>
      <c r="L17" s="671">
        <f>Assumptions!$E35</f>
        <v>120</v>
      </c>
      <c r="M17" s="671">
        <f>Assumptions!$E35</f>
        <v>120</v>
      </c>
      <c r="N17" s="671">
        <f>Assumptions!$E35</f>
        <v>120</v>
      </c>
      <c r="O17" s="671">
        <f>Assumptions!$E35</f>
        <v>120</v>
      </c>
      <c r="P17" s="693">
        <f>Assumptions!$E35</f>
        <v>120</v>
      </c>
      <c r="Q17" s="691">
        <f>Assumptions!$F35</f>
        <v>127.55999999999999</v>
      </c>
      <c r="R17" s="671">
        <f>Assumptions!$F35</f>
        <v>127.55999999999999</v>
      </c>
      <c r="S17" s="671">
        <f>Assumptions!$F35</f>
        <v>127.55999999999999</v>
      </c>
      <c r="T17" s="671">
        <f>Assumptions!$F35</f>
        <v>127.55999999999999</v>
      </c>
      <c r="U17" s="671">
        <f>Assumptions!$F35</f>
        <v>127.55999999999999</v>
      </c>
      <c r="V17" s="671">
        <f>Assumptions!$F35</f>
        <v>127.55999999999999</v>
      </c>
      <c r="W17" s="671">
        <f>Assumptions!$F35</f>
        <v>127.55999999999999</v>
      </c>
      <c r="X17" s="671">
        <f>Assumptions!$F35</f>
        <v>127.55999999999999</v>
      </c>
      <c r="Y17" s="671">
        <f>Assumptions!$F35</f>
        <v>127.55999999999999</v>
      </c>
      <c r="Z17" s="671">
        <f>Assumptions!$F35</f>
        <v>127.55999999999999</v>
      </c>
      <c r="AA17" s="671">
        <f>Assumptions!$F35</f>
        <v>127.55999999999999</v>
      </c>
      <c r="AB17" s="693">
        <f>Assumptions!$F35</f>
        <v>127.55999999999999</v>
      </c>
      <c r="AC17" s="672">
        <f>Assumptions!$G35</f>
        <v>135.59627999999998</v>
      </c>
      <c r="AD17" s="671">
        <f>Assumptions!$G35</f>
        <v>135.59627999999998</v>
      </c>
      <c r="AE17" s="671">
        <f>Assumptions!$G35</f>
        <v>135.59627999999998</v>
      </c>
      <c r="AF17" s="671">
        <f>Assumptions!$G35</f>
        <v>135.59627999999998</v>
      </c>
      <c r="AG17" s="671">
        <f>Assumptions!$G35</f>
        <v>135.59627999999998</v>
      </c>
      <c r="AH17" s="671">
        <f>Assumptions!$G35</f>
        <v>135.59627999999998</v>
      </c>
      <c r="AI17" s="671">
        <f>Assumptions!$G35</f>
        <v>135.59627999999998</v>
      </c>
      <c r="AJ17" s="671">
        <f>Assumptions!$G35</f>
        <v>135.59627999999998</v>
      </c>
      <c r="AK17" s="671">
        <f>Assumptions!$G35</f>
        <v>135.59627999999998</v>
      </c>
      <c r="AL17" s="671">
        <f>Assumptions!$G35</f>
        <v>135.59627999999998</v>
      </c>
      <c r="AM17" s="671">
        <f>Assumptions!$G35</f>
        <v>135.59627999999998</v>
      </c>
      <c r="AN17" s="693">
        <f>Assumptions!$G35</f>
        <v>135.59627999999998</v>
      </c>
      <c r="AO17" s="691">
        <f>Assumptions!$H35</f>
        <v>144.13884563999997</v>
      </c>
      <c r="AP17" s="671">
        <f>Assumptions!$H35</f>
        <v>144.13884563999997</v>
      </c>
      <c r="AQ17" s="671">
        <f>Assumptions!$H35</f>
        <v>144.13884563999997</v>
      </c>
      <c r="AR17" s="671">
        <f>Assumptions!$H35</f>
        <v>144.13884563999997</v>
      </c>
      <c r="AS17" s="671">
        <f>Assumptions!$H35</f>
        <v>144.13884563999997</v>
      </c>
      <c r="AT17" s="671">
        <f>Assumptions!$H35</f>
        <v>144.13884563999997</v>
      </c>
      <c r="AU17" s="671">
        <f>Assumptions!$H35</f>
        <v>144.13884563999997</v>
      </c>
      <c r="AV17" s="671">
        <f>Assumptions!$H35</f>
        <v>144.13884563999997</v>
      </c>
      <c r="AW17" s="671">
        <f>Assumptions!$H35</f>
        <v>144.13884563999997</v>
      </c>
      <c r="AX17" s="671">
        <f>Assumptions!$H35</f>
        <v>144.13884563999997</v>
      </c>
      <c r="AY17" s="671">
        <f>Assumptions!$H35</f>
        <v>144.13884563999997</v>
      </c>
      <c r="AZ17" s="693">
        <f>Assumptions!$H35</f>
        <v>144.13884563999997</v>
      </c>
      <c r="BA17" s="691">
        <f>Assumptions!$I35</f>
        <v>153.21959291531994</v>
      </c>
      <c r="BB17" s="671">
        <f>Assumptions!$I35</f>
        <v>153.21959291531994</v>
      </c>
      <c r="BC17" s="671">
        <f>Assumptions!$I35</f>
        <v>153.21959291531994</v>
      </c>
      <c r="BD17" s="671">
        <f>Assumptions!$I35</f>
        <v>153.21959291531994</v>
      </c>
      <c r="BE17" s="671">
        <f>Assumptions!$I35</f>
        <v>153.21959291531994</v>
      </c>
      <c r="BF17" s="671">
        <f>Assumptions!$I35</f>
        <v>153.21959291531994</v>
      </c>
      <c r="BG17" s="671">
        <f>Assumptions!$I35</f>
        <v>153.21959291531994</v>
      </c>
      <c r="BH17" s="671">
        <f>Assumptions!$I35</f>
        <v>153.21959291531994</v>
      </c>
      <c r="BI17" s="671">
        <f>Assumptions!$I35</f>
        <v>153.21959291531994</v>
      </c>
      <c r="BJ17" s="671">
        <f>Assumptions!$I35</f>
        <v>153.21959291531994</v>
      </c>
      <c r="BK17" s="671">
        <f>Assumptions!$I35</f>
        <v>153.21959291531994</v>
      </c>
      <c r="BL17" s="693">
        <f>Assumptions!$I35</f>
        <v>153.21959291531994</v>
      </c>
      <c r="BM17" s="691">
        <f>Assumptions!$J35</f>
        <v>162.87242726898509</v>
      </c>
      <c r="BN17" s="671">
        <f>Assumptions!$J35</f>
        <v>162.87242726898509</v>
      </c>
      <c r="BO17" s="671">
        <f>Assumptions!$J35</f>
        <v>162.87242726898509</v>
      </c>
      <c r="BP17" s="671">
        <f>Assumptions!$J35</f>
        <v>162.87242726898509</v>
      </c>
      <c r="BQ17" s="671">
        <f>Assumptions!$J35</f>
        <v>162.87242726898509</v>
      </c>
      <c r="BR17" s="671">
        <f>Assumptions!$J35</f>
        <v>162.87242726898509</v>
      </c>
      <c r="BS17" s="671">
        <f>Assumptions!$J35</f>
        <v>162.87242726898509</v>
      </c>
      <c r="BT17" s="671">
        <f>Assumptions!$J35</f>
        <v>162.87242726898509</v>
      </c>
      <c r="BU17" s="671">
        <f>Assumptions!$J35</f>
        <v>162.87242726898509</v>
      </c>
      <c r="BV17" s="671">
        <f>Assumptions!$J35</f>
        <v>162.87242726898509</v>
      </c>
      <c r="BW17" s="671">
        <f>Assumptions!$J35</f>
        <v>162.87242726898509</v>
      </c>
      <c r="BX17" s="693">
        <f>Assumptions!$J35</f>
        <v>162.87242726898509</v>
      </c>
      <c r="BY17" s="691">
        <f>Assumptions!$K35</f>
        <v>173.13339018693117</v>
      </c>
      <c r="BZ17" s="671">
        <f>Assumptions!$K35</f>
        <v>173.13339018693117</v>
      </c>
      <c r="CA17" s="671">
        <f>Assumptions!$K35</f>
        <v>173.13339018693117</v>
      </c>
      <c r="CB17" s="671">
        <f>Assumptions!$K35</f>
        <v>173.13339018693117</v>
      </c>
      <c r="CC17" s="671">
        <f>Assumptions!$K35</f>
        <v>173.13339018693117</v>
      </c>
      <c r="CD17" s="671">
        <f>Assumptions!$K35</f>
        <v>173.13339018693117</v>
      </c>
      <c r="CE17" s="671">
        <f>Assumptions!$K35</f>
        <v>173.13339018693117</v>
      </c>
      <c r="CF17" s="671">
        <f>Assumptions!$K35</f>
        <v>173.13339018693117</v>
      </c>
      <c r="CG17" s="671">
        <f>Assumptions!$K35</f>
        <v>173.13339018693117</v>
      </c>
      <c r="CH17" s="671">
        <f>Assumptions!$K35</f>
        <v>173.13339018693117</v>
      </c>
      <c r="CI17" s="671">
        <f>Assumptions!$K35</f>
        <v>173.13339018693117</v>
      </c>
      <c r="CJ17" s="693">
        <f>Assumptions!$K35</f>
        <v>173.13339018693117</v>
      </c>
      <c r="CK17" s="691">
        <f>Assumptions!$L35</f>
        <v>184.0407937687078</v>
      </c>
      <c r="CL17" s="671">
        <f>Assumptions!$L35</f>
        <v>184.0407937687078</v>
      </c>
      <c r="CM17" s="671">
        <f>Assumptions!$L35</f>
        <v>184.0407937687078</v>
      </c>
      <c r="CN17" s="671">
        <f>Assumptions!$L35</f>
        <v>184.0407937687078</v>
      </c>
      <c r="CO17" s="671">
        <f>Assumptions!$L35</f>
        <v>184.0407937687078</v>
      </c>
      <c r="CP17" s="671">
        <f>Assumptions!$L35</f>
        <v>184.0407937687078</v>
      </c>
      <c r="CQ17" s="671">
        <f>Assumptions!$L35</f>
        <v>184.0407937687078</v>
      </c>
      <c r="CR17" s="671">
        <f>Assumptions!$L35</f>
        <v>184.0407937687078</v>
      </c>
      <c r="CS17" s="671">
        <f>Assumptions!$L35</f>
        <v>184.0407937687078</v>
      </c>
      <c r="CT17" s="671">
        <f>Assumptions!$L35</f>
        <v>184.0407937687078</v>
      </c>
      <c r="CU17" s="671">
        <f>Assumptions!$L35</f>
        <v>184.0407937687078</v>
      </c>
      <c r="CV17" s="693">
        <f>Assumptions!$L35</f>
        <v>184.0407937687078</v>
      </c>
      <c r="CW17" s="691">
        <f>Assumptions!$M35</f>
        <v>195.63536377613639</v>
      </c>
      <c r="CX17" s="671">
        <f>Assumptions!$M35</f>
        <v>195.63536377613639</v>
      </c>
      <c r="CY17" s="671">
        <f>Assumptions!$M35</f>
        <v>195.63536377613639</v>
      </c>
      <c r="CZ17" s="671">
        <f>Assumptions!$M35</f>
        <v>195.63536377613639</v>
      </c>
      <c r="DA17" s="671">
        <f>Assumptions!$M35</f>
        <v>195.63536377613639</v>
      </c>
      <c r="DB17" s="671">
        <f>Assumptions!$M35</f>
        <v>195.63536377613639</v>
      </c>
      <c r="DC17" s="671">
        <f>Assumptions!$M35</f>
        <v>195.63536377613639</v>
      </c>
      <c r="DD17" s="671">
        <f>Assumptions!$M35</f>
        <v>195.63536377613639</v>
      </c>
      <c r="DE17" s="671">
        <f>Assumptions!$M35</f>
        <v>195.63536377613639</v>
      </c>
      <c r="DF17" s="671">
        <f>Assumptions!$M35</f>
        <v>195.63536377613639</v>
      </c>
      <c r="DG17" s="671">
        <f>Assumptions!$M35</f>
        <v>195.63536377613639</v>
      </c>
      <c r="DH17" s="693">
        <f>Assumptions!$M35</f>
        <v>195.63536377613639</v>
      </c>
      <c r="DI17" s="691">
        <f>Assumptions!$N35</f>
        <v>207.96039169403298</v>
      </c>
      <c r="DJ17" s="671">
        <f>Assumptions!$N35</f>
        <v>207.96039169403298</v>
      </c>
      <c r="DK17" s="671">
        <f>Assumptions!$N35</f>
        <v>207.96039169403298</v>
      </c>
      <c r="DL17" s="671">
        <f>Assumptions!$N35</f>
        <v>207.96039169403298</v>
      </c>
      <c r="DM17" s="671">
        <f>Assumptions!$N35</f>
        <v>207.96039169403298</v>
      </c>
      <c r="DN17" s="671">
        <f>Assumptions!$N35</f>
        <v>207.96039169403298</v>
      </c>
      <c r="DO17" s="671">
        <f>Assumptions!$N35</f>
        <v>207.96039169403298</v>
      </c>
      <c r="DP17" s="671">
        <f>Assumptions!$N35</f>
        <v>207.96039169403298</v>
      </c>
      <c r="DQ17" s="671">
        <f>Assumptions!$N35</f>
        <v>207.96039169403298</v>
      </c>
      <c r="DR17" s="671">
        <f>Assumptions!$N35</f>
        <v>207.96039169403298</v>
      </c>
      <c r="DS17" s="671">
        <f>Assumptions!$N35</f>
        <v>207.96039169403298</v>
      </c>
      <c r="DT17" s="693">
        <f>Assumptions!$N35</f>
        <v>207.96039169403298</v>
      </c>
    </row>
    <row r="18" spans="1:124" ht="15" hidden="1" x14ac:dyDescent="0.25">
      <c r="A18" s="164"/>
      <c r="B18" s="245" t="s">
        <v>540</v>
      </c>
      <c r="C18" s="683"/>
      <c r="E18" s="671">
        <f>Assumptions!$E36</f>
        <v>80</v>
      </c>
      <c r="F18" s="671">
        <f>Assumptions!$E36</f>
        <v>80</v>
      </c>
      <c r="G18" s="671">
        <f>Assumptions!$E36</f>
        <v>80</v>
      </c>
      <c r="H18" s="671">
        <f>Assumptions!$E36</f>
        <v>80</v>
      </c>
      <c r="I18" s="671">
        <f>Assumptions!$E36</f>
        <v>80</v>
      </c>
      <c r="J18" s="671">
        <f>Assumptions!$E36</f>
        <v>80</v>
      </c>
      <c r="K18" s="671">
        <f>Assumptions!$E36</f>
        <v>80</v>
      </c>
      <c r="L18" s="671">
        <f>Assumptions!$E36</f>
        <v>80</v>
      </c>
      <c r="M18" s="671">
        <f>Assumptions!$E36</f>
        <v>80</v>
      </c>
      <c r="N18" s="671">
        <f>Assumptions!$E36</f>
        <v>80</v>
      </c>
      <c r="O18" s="671">
        <f>Assumptions!$E36</f>
        <v>80</v>
      </c>
      <c r="P18" s="693">
        <f>Assumptions!$E36</f>
        <v>80</v>
      </c>
      <c r="Q18" s="691">
        <f>Assumptions!$F36</f>
        <v>85.039999999999992</v>
      </c>
      <c r="R18" s="671">
        <f>Assumptions!$F36</f>
        <v>85.039999999999992</v>
      </c>
      <c r="S18" s="671">
        <f>Assumptions!$F36</f>
        <v>85.039999999999992</v>
      </c>
      <c r="T18" s="671">
        <f>Assumptions!$F36</f>
        <v>85.039999999999992</v>
      </c>
      <c r="U18" s="671">
        <f>Assumptions!$F36</f>
        <v>85.039999999999992</v>
      </c>
      <c r="V18" s="671">
        <f>Assumptions!$F36</f>
        <v>85.039999999999992</v>
      </c>
      <c r="W18" s="671">
        <f>Assumptions!$F36</f>
        <v>85.039999999999992</v>
      </c>
      <c r="X18" s="671">
        <f>Assumptions!$F36</f>
        <v>85.039999999999992</v>
      </c>
      <c r="Y18" s="671">
        <f>Assumptions!$F36</f>
        <v>85.039999999999992</v>
      </c>
      <c r="Z18" s="671">
        <f>Assumptions!$F36</f>
        <v>85.039999999999992</v>
      </c>
      <c r="AA18" s="671">
        <f>Assumptions!$F36</f>
        <v>85.039999999999992</v>
      </c>
      <c r="AB18" s="693">
        <f>Assumptions!$F36</f>
        <v>85.039999999999992</v>
      </c>
      <c r="AC18" s="672">
        <f>Assumptions!$G36</f>
        <v>90.397519999999986</v>
      </c>
      <c r="AD18" s="671">
        <f>Assumptions!$G36</f>
        <v>90.397519999999986</v>
      </c>
      <c r="AE18" s="671">
        <f>Assumptions!$G36</f>
        <v>90.397519999999986</v>
      </c>
      <c r="AF18" s="671">
        <f>Assumptions!$G36</f>
        <v>90.397519999999986</v>
      </c>
      <c r="AG18" s="671">
        <f>Assumptions!$G36</f>
        <v>90.397519999999986</v>
      </c>
      <c r="AH18" s="671">
        <f>Assumptions!$G36</f>
        <v>90.397519999999986</v>
      </c>
      <c r="AI18" s="671">
        <f>Assumptions!$G36</f>
        <v>90.397519999999986</v>
      </c>
      <c r="AJ18" s="671">
        <f>Assumptions!$G36</f>
        <v>90.397519999999986</v>
      </c>
      <c r="AK18" s="671">
        <f>Assumptions!$G36</f>
        <v>90.397519999999986</v>
      </c>
      <c r="AL18" s="671">
        <f>Assumptions!$G36</f>
        <v>90.397519999999986</v>
      </c>
      <c r="AM18" s="671">
        <f>Assumptions!$G36</f>
        <v>90.397519999999986</v>
      </c>
      <c r="AN18" s="693">
        <f>Assumptions!$G36</f>
        <v>90.397519999999986</v>
      </c>
      <c r="AO18" s="691">
        <f>Assumptions!$H36</f>
        <v>96.092563759999976</v>
      </c>
      <c r="AP18" s="671">
        <f>Assumptions!$H36</f>
        <v>96.092563759999976</v>
      </c>
      <c r="AQ18" s="671">
        <f>Assumptions!$H36</f>
        <v>96.092563759999976</v>
      </c>
      <c r="AR18" s="671">
        <f>Assumptions!$H36</f>
        <v>96.092563759999976</v>
      </c>
      <c r="AS18" s="671">
        <f>Assumptions!$H36</f>
        <v>96.092563759999976</v>
      </c>
      <c r="AT18" s="671">
        <f>Assumptions!$H36</f>
        <v>96.092563759999976</v>
      </c>
      <c r="AU18" s="671">
        <f>Assumptions!$H36</f>
        <v>96.092563759999976</v>
      </c>
      <c r="AV18" s="671">
        <f>Assumptions!$H36</f>
        <v>96.092563759999976</v>
      </c>
      <c r="AW18" s="671">
        <f>Assumptions!$H36</f>
        <v>96.092563759999976</v>
      </c>
      <c r="AX18" s="671">
        <f>Assumptions!$H36</f>
        <v>96.092563759999976</v>
      </c>
      <c r="AY18" s="671">
        <f>Assumptions!$H36</f>
        <v>96.092563759999976</v>
      </c>
      <c r="AZ18" s="693">
        <f>Assumptions!$H36</f>
        <v>96.092563759999976</v>
      </c>
      <c r="BA18" s="691">
        <f>Assumptions!$I36</f>
        <v>102.14639527687996</v>
      </c>
      <c r="BB18" s="671">
        <f>Assumptions!$I36</f>
        <v>102.14639527687996</v>
      </c>
      <c r="BC18" s="671">
        <f>Assumptions!$I36</f>
        <v>102.14639527687996</v>
      </c>
      <c r="BD18" s="671">
        <f>Assumptions!$I36</f>
        <v>102.14639527687996</v>
      </c>
      <c r="BE18" s="671">
        <f>Assumptions!$I36</f>
        <v>102.14639527687996</v>
      </c>
      <c r="BF18" s="671">
        <f>Assumptions!$I36</f>
        <v>102.14639527687996</v>
      </c>
      <c r="BG18" s="671">
        <f>Assumptions!$I36</f>
        <v>102.14639527687996</v>
      </c>
      <c r="BH18" s="671">
        <f>Assumptions!$I36</f>
        <v>102.14639527687996</v>
      </c>
      <c r="BI18" s="671">
        <f>Assumptions!$I36</f>
        <v>102.14639527687996</v>
      </c>
      <c r="BJ18" s="671">
        <f>Assumptions!$I36</f>
        <v>102.14639527687996</v>
      </c>
      <c r="BK18" s="671">
        <f>Assumptions!$I36</f>
        <v>102.14639527687996</v>
      </c>
      <c r="BL18" s="693">
        <f>Assumptions!$I36</f>
        <v>102.14639527687996</v>
      </c>
      <c r="BM18" s="691">
        <f>Assumptions!$J36</f>
        <v>108.5816181793234</v>
      </c>
      <c r="BN18" s="671">
        <f>Assumptions!$J36</f>
        <v>108.5816181793234</v>
      </c>
      <c r="BO18" s="671">
        <f>Assumptions!$J36</f>
        <v>108.5816181793234</v>
      </c>
      <c r="BP18" s="671">
        <f>Assumptions!$J36</f>
        <v>108.5816181793234</v>
      </c>
      <c r="BQ18" s="671">
        <f>Assumptions!$J36</f>
        <v>108.5816181793234</v>
      </c>
      <c r="BR18" s="671">
        <f>Assumptions!$J36</f>
        <v>108.5816181793234</v>
      </c>
      <c r="BS18" s="671">
        <f>Assumptions!$J36</f>
        <v>108.5816181793234</v>
      </c>
      <c r="BT18" s="671">
        <f>Assumptions!$J36</f>
        <v>108.5816181793234</v>
      </c>
      <c r="BU18" s="671">
        <f>Assumptions!$J36</f>
        <v>108.5816181793234</v>
      </c>
      <c r="BV18" s="671">
        <f>Assumptions!$J36</f>
        <v>108.5816181793234</v>
      </c>
      <c r="BW18" s="671">
        <f>Assumptions!$J36</f>
        <v>108.5816181793234</v>
      </c>
      <c r="BX18" s="693">
        <f>Assumptions!$J36</f>
        <v>108.5816181793234</v>
      </c>
      <c r="BY18" s="691">
        <f>Assumptions!$K36</f>
        <v>115.42226012462078</v>
      </c>
      <c r="BZ18" s="671">
        <f>Assumptions!$K36</f>
        <v>115.42226012462078</v>
      </c>
      <c r="CA18" s="671">
        <f>Assumptions!$K36</f>
        <v>115.42226012462078</v>
      </c>
      <c r="CB18" s="671">
        <f>Assumptions!$K36</f>
        <v>115.42226012462078</v>
      </c>
      <c r="CC18" s="671">
        <f>Assumptions!$K36</f>
        <v>115.42226012462078</v>
      </c>
      <c r="CD18" s="671">
        <f>Assumptions!$K36</f>
        <v>115.42226012462078</v>
      </c>
      <c r="CE18" s="671">
        <f>Assumptions!$K36</f>
        <v>115.42226012462078</v>
      </c>
      <c r="CF18" s="671">
        <f>Assumptions!$K36</f>
        <v>115.42226012462078</v>
      </c>
      <c r="CG18" s="671">
        <f>Assumptions!$K36</f>
        <v>115.42226012462078</v>
      </c>
      <c r="CH18" s="671">
        <f>Assumptions!$K36</f>
        <v>115.42226012462078</v>
      </c>
      <c r="CI18" s="671">
        <f>Assumptions!$K36</f>
        <v>115.42226012462078</v>
      </c>
      <c r="CJ18" s="693">
        <f>Assumptions!$K36</f>
        <v>115.42226012462078</v>
      </c>
      <c r="CK18" s="691">
        <f>Assumptions!$L36</f>
        <v>122.69386251247187</v>
      </c>
      <c r="CL18" s="671">
        <f>Assumptions!$L36</f>
        <v>122.69386251247187</v>
      </c>
      <c r="CM18" s="671">
        <f>Assumptions!$L36</f>
        <v>122.69386251247187</v>
      </c>
      <c r="CN18" s="671">
        <f>Assumptions!$L36</f>
        <v>122.69386251247187</v>
      </c>
      <c r="CO18" s="671">
        <f>Assumptions!$L36</f>
        <v>122.69386251247187</v>
      </c>
      <c r="CP18" s="671">
        <f>Assumptions!$L36</f>
        <v>122.69386251247187</v>
      </c>
      <c r="CQ18" s="671">
        <f>Assumptions!$L36</f>
        <v>122.69386251247187</v>
      </c>
      <c r="CR18" s="671">
        <f>Assumptions!$L36</f>
        <v>122.69386251247187</v>
      </c>
      <c r="CS18" s="671">
        <f>Assumptions!$L36</f>
        <v>122.69386251247187</v>
      </c>
      <c r="CT18" s="671">
        <f>Assumptions!$L36</f>
        <v>122.69386251247187</v>
      </c>
      <c r="CU18" s="671">
        <f>Assumptions!$L36</f>
        <v>122.69386251247187</v>
      </c>
      <c r="CV18" s="693">
        <f>Assumptions!$L36</f>
        <v>122.69386251247187</v>
      </c>
      <c r="CW18" s="691">
        <f>Assumptions!$M36</f>
        <v>130.4235758507576</v>
      </c>
      <c r="CX18" s="671">
        <f>Assumptions!$M36</f>
        <v>130.4235758507576</v>
      </c>
      <c r="CY18" s="671">
        <f>Assumptions!$M36</f>
        <v>130.4235758507576</v>
      </c>
      <c r="CZ18" s="671">
        <f>Assumptions!$M36</f>
        <v>130.4235758507576</v>
      </c>
      <c r="DA18" s="671">
        <f>Assumptions!$M36</f>
        <v>130.4235758507576</v>
      </c>
      <c r="DB18" s="671">
        <f>Assumptions!$M36</f>
        <v>130.4235758507576</v>
      </c>
      <c r="DC18" s="671">
        <f>Assumptions!$M36</f>
        <v>130.4235758507576</v>
      </c>
      <c r="DD18" s="671">
        <f>Assumptions!$M36</f>
        <v>130.4235758507576</v>
      </c>
      <c r="DE18" s="671">
        <f>Assumptions!$M36</f>
        <v>130.4235758507576</v>
      </c>
      <c r="DF18" s="671">
        <f>Assumptions!$M36</f>
        <v>130.4235758507576</v>
      </c>
      <c r="DG18" s="671">
        <f>Assumptions!$M36</f>
        <v>130.4235758507576</v>
      </c>
      <c r="DH18" s="693">
        <f>Assumptions!$M36</f>
        <v>130.4235758507576</v>
      </c>
      <c r="DI18" s="691">
        <f>Assumptions!$N36</f>
        <v>138.64026112935531</v>
      </c>
      <c r="DJ18" s="671">
        <f>Assumptions!$N36</f>
        <v>138.64026112935531</v>
      </c>
      <c r="DK18" s="671">
        <f>Assumptions!$N36</f>
        <v>138.64026112935531</v>
      </c>
      <c r="DL18" s="671">
        <f>Assumptions!$N36</f>
        <v>138.64026112935531</v>
      </c>
      <c r="DM18" s="671">
        <f>Assumptions!$N36</f>
        <v>138.64026112935531</v>
      </c>
      <c r="DN18" s="671">
        <f>Assumptions!$N36</f>
        <v>138.64026112935531</v>
      </c>
      <c r="DO18" s="671">
        <f>Assumptions!$N36</f>
        <v>138.64026112935531</v>
      </c>
      <c r="DP18" s="671">
        <f>Assumptions!$N36</f>
        <v>138.64026112935531</v>
      </c>
      <c r="DQ18" s="671">
        <f>Assumptions!$N36</f>
        <v>138.64026112935531</v>
      </c>
      <c r="DR18" s="671">
        <f>Assumptions!$N36</f>
        <v>138.64026112935531</v>
      </c>
      <c r="DS18" s="671">
        <f>Assumptions!$N36</f>
        <v>138.64026112935531</v>
      </c>
      <c r="DT18" s="693">
        <f>Assumptions!$N36</f>
        <v>138.64026112935531</v>
      </c>
    </row>
    <row r="19" spans="1:124" ht="15" hidden="1" x14ac:dyDescent="0.25">
      <c r="A19" s="164"/>
      <c r="B19" s="245" t="s">
        <v>541</v>
      </c>
      <c r="C19" s="683"/>
      <c r="E19" s="671">
        <f>Assumptions!$E37</f>
        <v>85</v>
      </c>
      <c r="F19" s="671">
        <f>Assumptions!$E37</f>
        <v>85</v>
      </c>
      <c r="G19" s="671">
        <f>Assumptions!$E37</f>
        <v>85</v>
      </c>
      <c r="H19" s="671">
        <f>Assumptions!$E37</f>
        <v>85</v>
      </c>
      <c r="I19" s="671">
        <f>Assumptions!$E37</f>
        <v>85</v>
      </c>
      <c r="J19" s="671">
        <f>Assumptions!$E37</f>
        <v>85</v>
      </c>
      <c r="K19" s="671">
        <f>Assumptions!$E37</f>
        <v>85</v>
      </c>
      <c r="L19" s="671">
        <f>Assumptions!$E37</f>
        <v>85</v>
      </c>
      <c r="M19" s="671">
        <f>Assumptions!$E37</f>
        <v>85</v>
      </c>
      <c r="N19" s="671">
        <f>Assumptions!$E37</f>
        <v>85</v>
      </c>
      <c r="O19" s="671">
        <f>Assumptions!$E37</f>
        <v>85</v>
      </c>
      <c r="P19" s="693">
        <f>Assumptions!$E37</f>
        <v>85</v>
      </c>
      <c r="Q19" s="691">
        <f>Assumptions!$F37</f>
        <v>90.35499999999999</v>
      </c>
      <c r="R19" s="671">
        <f>Assumptions!$F37</f>
        <v>90.35499999999999</v>
      </c>
      <c r="S19" s="671">
        <f>Assumptions!$F37</f>
        <v>90.35499999999999</v>
      </c>
      <c r="T19" s="671">
        <f>Assumptions!$F37</f>
        <v>90.35499999999999</v>
      </c>
      <c r="U19" s="671">
        <f>Assumptions!$F37</f>
        <v>90.35499999999999</v>
      </c>
      <c r="V19" s="671">
        <f>Assumptions!$F37</f>
        <v>90.35499999999999</v>
      </c>
      <c r="W19" s="671">
        <f>Assumptions!$F37</f>
        <v>90.35499999999999</v>
      </c>
      <c r="X19" s="671">
        <f>Assumptions!$F37</f>
        <v>90.35499999999999</v>
      </c>
      <c r="Y19" s="671">
        <f>Assumptions!$F37</f>
        <v>90.35499999999999</v>
      </c>
      <c r="Z19" s="671">
        <f>Assumptions!$F37</f>
        <v>90.35499999999999</v>
      </c>
      <c r="AA19" s="671">
        <f>Assumptions!$F37</f>
        <v>90.35499999999999</v>
      </c>
      <c r="AB19" s="693">
        <f>Assumptions!$F37</f>
        <v>90.35499999999999</v>
      </c>
      <c r="AC19" s="672">
        <f>Assumptions!$G37</f>
        <v>96.047364999999985</v>
      </c>
      <c r="AD19" s="671">
        <f>Assumptions!$G37</f>
        <v>96.047364999999985</v>
      </c>
      <c r="AE19" s="671">
        <f>Assumptions!$G37</f>
        <v>96.047364999999985</v>
      </c>
      <c r="AF19" s="671">
        <f>Assumptions!$G37</f>
        <v>96.047364999999985</v>
      </c>
      <c r="AG19" s="671">
        <f>Assumptions!$G37</f>
        <v>96.047364999999985</v>
      </c>
      <c r="AH19" s="671">
        <f>Assumptions!$G37</f>
        <v>96.047364999999985</v>
      </c>
      <c r="AI19" s="671">
        <f>Assumptions!$G37</f>
        <v>96.047364999999985</v>
      </c>
      <c r="AJ19" s="671">
        <f>Assumptions!$G37</f>
        <v>96.047364999999985</v>
      </c>
      <c r="AK19" s="671">
        <f>Assumptions!$G37</f>
        <v>96.047364999999985</v>
      </c>
      <c r="AL19" s="671">
        <f>Assumptions!$G37</f>
        <v>96.047364999999985</v>
      </c>
      <c r="AM19" s="671">
        <f>Assumptions!$G37</f>
        <v>96.047364999999985</v>
      </c>
      <c r="AN19" s="693">
        <f>Assumptions!$G37</f>
        <v>96.047364999999985</v>
      </c>
      <c r="AO19" s="691">
        <f>Assumptions!$H37</f>
        <v>102.09834899499998</v>
      </c>
      <c r="AP19" s="671">
        <f>Assumptions!$H37</f>
        <v>102.09834899499998</v>
      </c>
      <c r="AQ19" s="671">
        <f>Assumptions!$H37</f>
        <v>102.09834899499998</v>
      </c>
      <c r="AR19" s="671">
        <f>Assumptions!$H37</f>
        <v>102.09834899499998</v>
      </c>
      <c r="AS19" s="671">
        <f>Assumptions!$H37</f>
        <v>102.09834899499998</v>
      </c>
      <c r="AT19" s="671">
        <f>Assumptions!$H37</f>
        <v>102.09834899499998</v>
      </c>
      <c r="AU19" s="671">
        <f>Assumptions!$H37</f>
        <v>102.09834899499998</v>
      </c>
      <c r="AV19" s="671">
        <f>Assumptions!$H37</f>
        <v>102.09834899499998</v>
      </c>
      <c r="AW19" s="671">
        <f>Assumptions!$H37</f>
        <v>102.09834899499998</v>
      </c>
      <c r="AX19" s="671">
        <f>Assumptions!$H37</f>
        <v>102.09834899499998</v>
      </c>
      <c r="AY19" s="671">
        <f>Assumptions!$H37</f>
        <v>102.09834899499998</v>
      </c>
      <c r="AZ19" s="693">
        <f>Assumptions!$H37</f>
        <v>102.09834899499998</v>
      </c>
      <c r="BA19" s="691">
        <f>Assumptions!$I37</f>
        <v>108.53054498168497</v>
      </c>
      <c r="BB19" s="671">
        <f>Assumptions!$I37</f>
        <v>108.53054498168497</v>
      </c>
      <c r="BC19" s="671">
        <f>Assumptions!$I37</f>
        <v>108.53054498168497</v>
      </c>
      <c r="BD19" s="671">
        <f>Assumptions!$I37</f>
        <v>108.53054498168497</v>
      </c>
      <c r="BE19" s="671">
        <f>Assumptions!$I37</f>
        <v>108.53054498168497</v>
      </c>
      <c r="BF19" s="671">
        <f>Assumptions!$I37</f>
        <v>108.53054498168497</v>
      </c>
      <c r="BG19" s="671">
        <f>Assumptions!$I37</f>
        <v>108.53054498168497</v>
      </c>
      <c r="BH19" s="671">
        <f>Assumptions!$I37</f>
        <v>108.53054498168497</v>
      </c>
      <c r="BI19" s="671">
        <f>Assumptions!$I37</f>
        <v>108.53054498168497</v>
      </c>
      <c r="BJ19" s="671">
        <f>Assumptions!$I37</f>
        <v>108.53054498168497</v>
      </c>
      <c r="BK19" s="671">
        <f>Assumptions!$I37</f>
        <v>108.53054498168497</v>
      </c>
      <c r="BL19" s="693">
        <f>Assumptions!$I37</f>
        <v>108.53054498168497</v>
      </c>
      <c r="BM19" s="691">
        <f>Assumptions!$J37</f>
        <v>115.36796931553111</v>
      </c>
      <c r="BN19" s="671">
        <f>Assumptions!$J37</f>
        <v>115.36796931553111</v>
      </c>
      <c r="BO19" s="671">
        <f>Assumptions!$J37</f>
        <v>115.36796931553111</v>
      </c>
      <c r="BP19" s="671">
        <f>Assumptions!$J37</f>
        <v>115.36796931553111</v>
      </c>
      <c r="BQ19" s="671">
        <f>Assumptions!$J37</f>
        <v>115.36796931553111</v>
      </c>
      <c r="BR19" s="671">
        <f>Assumptions!$J37</f>
        <v>115.36796931553111</v>
      </c>
      <c r="BS19" s="671">
        <f>Assumptions!$J37</f>
        <v>115.36796931553111</v>
      </c>
      <c r="BT19" s="671">
        <f>Assumptions!$J37</f>
        <v>115.36796931553111</v>
      </c>
      <c r="BU19" s="671">
        <f>Assumptions!$J37</f>
        <v>115.36796931553111</v>
      </c>
      <c r="BV19" s="671">
        <f>Assumptions!$J37</f>
        <v>115.36796931553111</v>
      </c>
      <c r="BW19" s="671">
        <f>Assumptions!$J37</f>
        <v>115.36796931553111</v>
      </c>
      <c r="BX19" s="693">
        <f>Assumptions!$J37</f>
        <v>115.36796931553111</v>
      </c>
      <c r="BY19" s="691">
        <f>Assumptions!$K37</f>
        <v>122.63615138240957</v>
      </c>
      <c r="BZ19" s="671">
        <f>Assumptions!$K37</f>
        <v>122.63615138240957</v>
      </c>
      <c r="CA19" s="671">
        <f>Assumptions!$K37</f>
        <v>122.63615138240957</v>
      </c>
      <c r="CB19" s="671">
        <f>Assumptions!$K37</f>
        <v>122.63615138240957</v>
      </c>
      <c r="CC19" s="671">
        <f>Assumptions!$K37</f>
        <v>122.63615138240957</v>
      </c>
      <c r="CD19" s="671">
        <f>Assumptions!$K37</f>
        <v>122.63615138240957</v>
      </c>
      <c r="CE19" s="671">
        <f>Assumptions!$K37</f>
        <v>122.63615138240957</v>
      </c>
      <c r="CF19" s="671">
        <f>Assumptions!$K37</f>
        <v>122.63615138240957</v>
      </c>
      <c r="CG19" s="671">
        <f>Assumptions!$K37</f>
        <v>122.63615138240957</v>
      </c>
      <c r="CH19" s="671">
        <f>Assumptions!$K37</f>
        <v>122.63615138240957</v>
      </c>
      <c r="CI19" s="671">
        <f>Assumptions!$K37</f>
        <v>122.63615138240957</v>
      </c>
      <c r="CJ19" s="693">
        <f>Assumptions!$K37</f>
        <v>122.63615138240957</v>
      </c>
      <c r="CK19" s="691">
        <f>Assumptions!$L37</f>
        <v>130.36222891950138</v>
      </c>
      <c r="CL19" s="671">
        <f>Assumptions!$L37</f>
        <v>130.36222891950138</v>
      </c>
      <c r="CM19" s="671">
        <f>Assumptions!$L37</f>
        <v>130.36222891950138</v>
      </c>
      <c r="CN19" s="671">
        <f>Assumptions!$L37</f>
        <v>130.36222891950138</v>
      </c>
      <c r="CO19" s="671">
        <f>Assumptions!$L37</f>
        <v>130.36222891950138</v>
      </c>
      <c r="CP19" s="671">
        <f>Assumptions!$L37</f>
        <v>130.36222891950138</v>
      </c>
      <c r="CQ19" s="671">
        <f>Assumptions!$L37</f>
        <v>130.36222891950138</v>
      </c>
      <c r="CR19" s="671">
        <f>Assumptions!$L37</f>
        <v>130.36222891950138</v>
      </c>
      <c r="CS19" s="671">
        <f>Assumptions!$L37</f>
        <v>130.36222891950138</v>
      </c>
      <c r="CT19" s="671">
        <f>Assumptions!$L37</f>
        <v>130.36222891950138</v>
      </c>
      <c r="CU19" s="671">
        <f>Assumptions!$L37</f>
        <v>130.36222891950138</v>
      </c>
      <c r="CV19" s="693">
        <f>Assumptions!$L37</f>
        <v>130.36222891950138</v>
      </c>
      <c r="CW19" s="691">
        <f>Assumptions!$M37</f>
        <v>138.57504934142995</v>
      </c>
      <c r="CX19" s="671">
        <f>Assumptions!$M37</f>
        <v>138.57504934142995</v>
      </c>
      <c r="CY19" s="671">
        <f>Assumptions!$M37</f>
        <v>138.57504934142995</v>
      </c>
      <c r="CZ19" s="671">
        <f>Assumptions!$M37</f>
        <v>138.57504934142995</v>
      </c>
      <c r="DA19" s="671">
        <f>Assumptions!$M37</f>
        <v>138.57504934142995</v>
      </c>
      <c r="DB19" s="671">
        <f>Assumptions!$M37</f>
        <v>138.57504934142995</v>
      </c>
      <c r="DC19" s="671">
        <f>Assumptions!$M37</f>
        <v>138.57504934142995</v>
      </c>
      <c r="DD19" s="671">
        <f>Assumptions!$M37</f>
        <v>138.57504934142995</v>
      </c>
      <c r="DE19" s="671">
        <f>Assumptions!$M37</f>
        <v>138.57504934142995</v>
      </c>
      <c r="DF19" s="671">
        <f>Assumptions!$M37</f>
        <v>138.57504934142995</v>
      </c>
      <c r="DG19" s="671">
        <f>Assumptions!$M37</f>
        <v>138.57504934142995</v>
      </c>
      <c r="DH19" s="693">
        <f>Assumptions!$M37</f>
        <v>138.57504934142995</v>
      </c>
      <c r="DI19" s="691">
        <f>Assumptions!$N37</f>
        <v>147.30527744994004</v>
      </c>
      <c r="DJ19" s="671">
        <f>Assumptions!$N37</f>
        <v>147.30527744994004</v>
      </c>
      <c r="DK19" s="671">
        <f>Assumptions!$N37</f>
        <v>147.30527744994004</v>
      </c>
      <c r="DL19" s="671">
        <f>Assumptions!$N37</f>
        <v>147.30527744994004</v>
      </c>
      <c r="DM19" s="671">
        <f>Assumptions!$N37</f>
        <v>147.30527744994004</v>
      </c>
      <c r="DN19" s="671">
        <f>Assumptions!$N37</f>
        <v>147.30527744994004</v>
      </c>
      <c r="DO19" s="671">
        <f>Assumptions!$N37</f>
        <v>147.30527744994004</v>
      </c>
      <c r="DP19" s="671">
        <f>Assumptions!$N37</f>
        <v>147.30527744994004</v>
      </c>
      <c r="DQ19" s="671">
        <f>Assumptions!$N37</f>
        <v>147.30527744994004</v>
      </c>
      <c r="DR19" s="671">
        <f>Assumptions!$N37</f>
        <v>147.30527744994004</v>
      </c>
      <c r="DS19" s="671">
        <f>Assumptions!$N37</f>
        <v>147.30527744994004</v>
      </c>
      <c r="DT19" s="693">
        <f>Assumptions!$N37</f>
        <v>147.30527744994004</v>
      </c>
    </row>
    <row r="20" spans="1:124" ht="15" hidden="1" x14ac:dyDescent="0.25">
      <c r="A20" s="164"/>
      <c r="B20" s="245" t="s">
        <v>542</v>
      </c>
      <c r="C20" s="683"/>
      <c r="E20" s="671">
        <f>Assumptions!$E38</f>
        <v>120</v>
      </c>
      <c r="F20" s="671">
        <f>Assumptions!$E38</f>
        <v>120</v>
      </c>
      <c r="G20" s="671">
        <f>Assumptions!$E38</f>
        <v>120</v>
      </c>
      <c r="H20" s="671">
        <f>Assumptions!$E38</f>
        <v>120</v>
      </c>
      <c r="I20" s="671">
        <f>Assumptions!$E38</f>
        <v>120</v>
      </c>
      <c r="J20" s="671">
        <f>Assumptions!$E38</f>
        <v>120</v>
      </c>
      <c r="K20" s="671">
        <f>Assumptions!$E38</f>
        <v>120</v>
      </c>
      <c r="L20" s="671">
        <f>Assumptions!$E38</f>
        <v>120</v>
      </c>
      <c r="M20" s="671">
        <f>Assumptions!$E38</f>
        <v>120</v>
      </c>
      <c r="N20" s="671">
        <f>Assumptions!$E38</f>
        <v>120</v>
      </c>
      <c r="O20" s="671">
        <f>Assumptions!$E38</f>
        <v>120</v>
      </c>
      <c r="P20" s="693">
        <f>Assumptions!$E38</f>
        <v>120</v>
      </c>
      <c r="Q20" s="691">
        <f>Assumptions!$F38</f>
        <v>127.55999999999999</v>
      </c>
      <c r="R20" s="671">
        <f>Assumptions!$F38</f>
        <v>127.55999999999999</v>
      </c>
      <c r="S20" s="671">
        <f>Assumptions!$F38</f>
        <v>127.55999999999999</v>
      </c>
      <c r="T20" s="671">
        <f>Assumptions!$F38</f>
        <v>127.55999999999999</v>
      </c>
      <c r="U20" s="671">
        <f>Assumptions!$F38</f>
        <v>127.55999999999999</v>
      </c>
      <c r="V20" s="671">
        <f>Assumptions!$F38</f>
        <v>127.55999999999999</v>
      </c>
      <c r="W20" s="671">
        <f>Assumptions!$F38</f>
        <v>127.55999999999999</v>
      </c>
      <c r="X20" s="671">
        <f>Assumptions!$F38</f>
        <v>127.55999999999999</v>
      </c>
      <c r="Y20" s="671">
        <f>Assumptions!$F38</f>
        <v>127.55999999999999</v>
      </c>
      <c r="Z20" s="671">
        <f>Assumptions!$F38</f>
        <v>127.55999999999999</v>
      </c>
      <c r="AA20" s="671">
        <f>Assumptions!$F38</f>
        <v>127.55999999999999</v>
      </c>
      <c r="AB20" s="693">
        <f>Assumptions!$F38</f>
        <v>127.55999999999999</v>
      </c>
      <c r="AC20" s="672">
        <f>Assumptions!$G38</f>
        <v>135.59627999999998</v>
      </c>
      <c r="AD20" s="671">
        <f>Assumptions!$G38</f>
        <v>135.59627999999998</v>
      </c>
      <c r="AE20" s="671">
        <f>Assumptions!$G38</f>
        <v>135.59627999999998</v>
      </c>
      <c r="AF20" s="671">
        <f>Assumptions!$G38</f>
        <v>135.59627999999998</v>
      </c>
      <c r="AG20" s="671">
        <f>Assumptions!$G38</f>
        <v>135.59627999999998</v>
      </c>
      <c r="AH20" s="671">
        <f>Assumptions!$G38</f>
        <v>135.59627999999998</v>
      </c>
      <c r="AI20" s="671">
        <f>Assumptions!$G38</f>
        <v>135.59627999999998</v>
      </c>
      <c r="AJ20" s="671">
        <f>Assumptions!$G38</f>
        <v>135.59627999999998</v>
      </c>
      <c r="AK20" s="671">
        <f>Assumptions!$G38</f>
        <v>135.59627999999998</v>
      </c>
      <c r="AL20" s="671">
        <f>Assumptions!$G38</f>
        <v>135.59627999999998</v>
      </c>
      <c r="AM20" s="671">
        <f>Assumptions!$G38</f>
        <v>135.59627999999998</v>
      </c>
      <c r="AN20" s="693">
        <f>Assumptions!$G38</f>
        <v>135.59627999999998</v>
      </c>
      <c r="AO20" s="691">
        <f>Assumptions!$H38</f>
        <v>144.13884563999997</v>
      </c>
      <c r="AP20" s="671">
        <f>Assumptions!$H38</f>
        <v>144.13884563999997</v>
      </c>
      <c r="AQ20" s="671">
        <f>Assumptions!$H38</f>
        <v>144.13884563999997</v>
      </c>
      <c r="AR20" s="671">
        <f>Assumptions!$H38</f>
        <v>144.13884563999997</v>
      </c>
      <c r="AS20" s="671">
        <f>Assumptions!$H38</f>
        <v>144.13884563999997</v>
      </c>
      <c r="AT20" s="671">
        <f>Assumptions!$H38</f>
        <v>144.13884563999997</v>
      </c>
      <c r="AU20" s="671">
        <f>Assumptions!$H38</f>
        <v>144.13884563999997</v>
      </c>
      <c r="AV20" s="671">
        <f>Assumptions!$H38</f>
        <v>144.13884563999997</v>
      </c>
      <c r="AW20" s="671">
        <f>Assumptions!$H38</f>
        <v>144.13884563999997</v>
      </c>
      <c r="AX20" s="671">
        <f>Assumptions!$H38</f>
        <v>144.13884563999997</v>
      </c>
      <c r="AY20" s="671">
        <f>Assumptions!$H38</f>
        <v>144.13884563999997</v>
      </c>
      <c r="AZ20" s="693">
        <f>Assumptions!$H38</f>
        <v>144.13884563999997</v>
      </c>
      <c r="BA20" s="691">
        <f>Assumptions!$I38</f>
        <v>153.21959291531994</v>
      </c>
      <c r="BB20" s="671">
        <f>Assumptions!$I38</f>
        <v>153.21959291531994</v>
      </c>
      <c r="BC20" s="671">
        <f>Assumptions!$I38</f>
        <v>153.21959291531994</v>
      </c>
      <c r="BD20" s="671">
        <f>Assumptions!$I38</f>
        <v>153.21959291531994</v>
      </c>
      <c r="BE20" s="671">
        <f>Assumptions!$I38</f>
        <v>153.21959291531994</v>
      </c>
      <c r="BF20" s="671">
        <f>Assumptions!$I38</f>
        <v>153.21959291531994</v>
      </c>
      <c r="BG20" s="671">
        <f>Assumptions!$I38</f>
        <v>153.21959291531994</v>
      </c>
      <c r="BH20" s="671">
        <f>Assumptions!$I38</f>
        <v>153.21959291531994</v>
      </c>
      <c r="BI20" s="671">
        <f>Assumptions!$I38</f>
        <v>153.21959291531994</v>
      </c>
      <c r="BJ20" s="671">
        <f>Assumptions!$I38</f>
        <v>153.21959291531994</v>
      </c>
      <c r="BK20" s="671">
        <f>Assumptions!$I38</f>
        <v>153.21959291531994</v>
      </c>
      <c r="BL20" s="693">
        <f>Assumptions!$I38</f>
        <v>153.21959291531994</v>
      </c>
      <c r="BM20" s="691">
        <f>Assumptions!$J38</f>
        <v>162.87242726898509</v>
      </c>
      <c r="BN20" s="671">
        <f>Assumptions!$J38</f>
        <v>162.87242726898509</v>
      </c>
      <c r="BO20" s="671">
        <f>Assumptions!$J38</f>
        <v>162.87242726898509</v>
      </c>
      <c r="BP20" s="671">
        <f>Assumptions!$J38</f>
        <v>162.87242726898509</v>
      </c>
      <c r="BQ20" s="671">
        <f>Assumptions!$J38</f>
        <v>162.87242726898509</v>
      </c>
      <c r="BR20" s="671">
        <f>Assumptions!$J38</f>
        <v>162.87242726898509</v>
      </c>
      <c r="BS20" s="671">
        <f>Assumptions!$J38</f>
        <v>162.87242726898509</v>
      </c>
      <c r="BT20" s="671">
        <f>Assumptions!$J38</f>
        <v>162.87242726898509</v>
      </c>
      <c r="BU20" s="671">
        <f>Assumptions!$J38</f>
        <v>162.87242726898509</v>
      </c>
      <c r="BV20" s="671">
        <f>Assumptions!$J38</f>
        <v>162.87242726898509</v>
      </c>
      <c r="BW20" s="671">
        <f>Assumptions!$J38</f>
        <v>162.87242726898509</v>
      </c>
      <c r="BX20" s="693">
        <f>Assumptions!$J38</f>
        <v>162.87242726898509</v>
      </c>
      <c r="BY20" s="691">
        <f>Assumptions!$K38</f>
        <v>173.13339018693117</v>
      </c>
      <c r="BZ20" s="671">
        <f>Assumptions!$K38</f>
        <v>173.13339018693117</v>
      </c>
      <c r="CA20" s="671">
        <f>Assumptions!$K38</f>
        <v>173.13339018693117</v>
      </c>
      <c r="CB20" s="671">
        <f>Assumptions!$K38</f>
        <v>173.13339018693117</v>
      </c>
      <c r="CC20" s="671">
        <f>Assumptions!$K38</f>
        <v>173.13339018693117</v>
      </c>
      <c r="CD20" s="671">
        <f>Assumptions!$K38</f>
        <v>173.13339018693117</v>
      </c>
      <c r="CE20" s="671">
        <f>Assumptions!$K38</f>
        <v>173.13339018693117</v>
      </c>
      <c r="CF20" s="671">
        <f>Assumptions!$K38</f>
        <v>173.13339018693117</v>
      </c>
      <c r="CG20" s="671">
        <f>Assumptions!$K38</f>
        <v>173.13339018693117</v>
      </c>
      <c r="CH20" s="671">
        <f>Assumptions!$K38</f>
        <v>173.13339018693117</v>
      </c>
      <c r="CI20" s="671">
        <f>Assumptions!$K38</f>
        <v>173.13339018693117</v>
      </c>
      <c r="CJ20" s="693">
        <f>Assumptions!$K38</f>
        <v>173.13339018693117</v>
      </c>
      <c r="CK20" s="691">
        <f>Assumptions!$L38</f>
        <v>184.0407937687078</v>
      </c>
      <c r="CL20" s="671">
        <f>Assumptions!$L38</f>
        <v>184.0407937687078</v>
      </c>
      <c r="CM20" s="671">
        <f>Assumptions!$L38</f>
        <v>184.0407937687078</v>
      </c>
      <c r="CN20" s="671">
        <f>Assumptions!$L38</f>
        <v>184.0407937687078</v>
      </c>
      <c r="CO20" s="671">
        <f>Assumptions!$L38</f>
        <v>184.0407937687078</v>
      </c>
      <c r="CP20" s="671">
        <f>Assumptions!$L38</f>
        <v>184.0407937687078</v>
      </c>
      <c r="CQ20" s="671">
        <f>Assumptions!$L38</f>
        <v>184.0407937687078</v>
      </c>
      <c r="CR20" s="671">
        <f>Assumptions!$L38</f>
        <v>184.0407937687078</v>
      </c>
      <c r="CS20" s="671">
        <f>Assumptions!$L38</f>
        <v>184.0407937687078</v>
      </c>
      <c r="CT20" s="671">
        <f>Assumptions!$L38</f>
        <v>184.0407937687078</v>
      </c>
      <c r="CU20" s="671">
        <f>Assumptions!$L38</f>
        <v>184.0407937687078</v>
      </c>
      <c r="CV20" s="693">
        <f>Assumptions!$L38</f>
        <v>184.0407937687078</v>
      </c>
      <c r="CW20" s="691">
        <f>Assumptions!$M38</f>
        <v>195.63536377613639</v>
      </c>
      <c r="CX20" s="671">
        <f>Assumptions!$M38</f>
        <v>195.63536377613639</v>
      </c>
      <c r="CY20" s="671">
        <f>Assumptions!$M38</f>
        <v>195.63536377613639</v>
      </c>
      <c r="CZ20" s="671">
        <f>Assumptions!$M38</f>
        <v>195.63536377613639</v>
      </c>
      <c r="DA20" s="671">
        <f>Assumptions!$M38</f>
        <v>195.63536377613639</v>
      </c>
      <c r="DB20" s="671">
        <f>Assumptions!$M38</f>
        <v>195.63536377613639</v>
      </c>
      <c r="DC20" s="671">
        <f>Assumptions!$M38</f>
        <v>195.63536377613639</v>
      </c>
      <c r="DD20" s="671">
        <f>Assumptions!$M38</f>
        <v>195.63536377613639</v>
      </c>
      <c r="DE20" s="671">
        <f>Assumptions!$M38</f>
        <v>195.63536377613639</v>
      </c>
      <c r="DF20" s="671">
        <f>Assumptions!$M38</f>
        <v>195.63536377613639</v>
      </c>
      <c r="DG20" s="671">
        <f>Assumptions!$M38</f>
        <v>195.63536377613639</v>
      </c>
      <c r="DH20" s="693">
        <f>Assumptions!$M38</f>
        <v>195.63536377613639</v>
      </c>
      <c r="DI20" s="691">
        <f>Assumptions!$N38</f>
        <v>207.96039169403298</v>
      </c>
      <c r="DJ20" s="671">
        <f>Assumptions!$N38</f>
        <v>207.96039169403298</v>
      </c>
      <c r="DK20" s="671">
        <f>Assumptions!$N38</f>
        <v>207.96039169403298</v>
      </c>
      <c r="DL20" s="671">
        <f>Assumptions!$N38</f>
        <v>207.96039169403298</v>
      </c>
      <c r="DM20" s="671">
        <f>Assumptions!$N38</f>
        <v>207.96039169403298</v>
      </c>
      <c r="DN20" s="671">
        <f>Assumptions!$N38</f>
        <v>207.96039169403298</v>
      </c>
      <c r="DO20" s="671">
        <f>Assumptions!$N38</f>
        <v>207.96039169403298</v>
      </c>
      <c r="DP20" s="671">
        <f>Assumptions!$N38</f>
        <v>207.96039169403298</v>
      </c>
      <c r="DQ20" s="671">
        <f>Assumptions!$N38</f>
        <v>207.96039169403298</v>
      </c>
      <c r="DR20" s="671">
        <f>Assumptions!$N38</f>
        <v>207.96039169403298</v>
      </c>
      <c r="DS20" s="671">
        <f>Assumptions!$N38</f>
        <v>207.96039169403298</v>
      </c>
      <c r="DT20" s="693">
        <f>Assumptions!$N38</f>
        <v>207.96039169403298</v>
      </c>
    </row>
    <row r="21" spans="1:124" ht="14.25" hidden="1" customHeight="1" x14ac:dyDescent="0.3">
      <c r="A21" s="123"/>
      <c r="B21" s="245" t="s">
        <v>543</v>
      </c>
      <c r="C21" s="683"/>
      <c r="E21" s="671">
        <f>Assumptions!$E39</f>
        <v>150</v>
      </c>
      <c r="F21" s="671">
        <f>Assumptions!$E39</f>
        <v>150</v>
      </c>
      <c r="G21" s="671">
        <f>Assumptions!$E39</f>
        <v>150</v>
      </c>
      <c r="H21" s="671">
        <f>Assumptions!$E39</f>
        <v>150</v>
      </c>
      <c r="I21" s="671">
        <f>Assumptions!$E39</f>
        <v>150</v>
      </c>
      <c r="J21" s="671">
        <f>Assumptions!$E39</f>
        <v>150</v>
      </c>
      <c r="K21" s="671">
        <f>Assumptions!$E39</f>
        <v>150</v>
      </c>
      <c r="L21" s="671">
        <f>Assumptions!$E39</f>
        <v>150</v>
      </c>
      <c r="M21" s="671">
        <f>Assumptions!$E39</f>
        <v>150</v>
      </c>
      <c r="N21" s="671">
        <f>Assumptions!$E39</f>
        <v>150</v>
      </c>
      <c r="O21" s="671">
        <f>Assumptions!$E39</f>
        <v>150</v>
      </c>
      <c r="P21" s="693">
        <f>Assumptions!$E39</f>
        <v>150</v>
      </c>
      <c r="Q21" s="691">
        <f>Assumptions!$F39</f>
        <v>159.44999999999999</v>
      </c>
      <c r="R21" s="671">
        <f>Assumptions!$F39</f>
        <v>159.44999999999999</v>
      </c>
      <c r="S21" s="671">
        <f>Assumptions!$F39</f>
        <v>159.44999999999999</v>
      </c>
      <c r="T21" s="671">
        <f>Assumptions!$F39</f>
        <v>159.44999999999999</v>
      </c>
      <c r="U21" s="671">
        <f>Assumptions!$F39</f>
        <v>159.44999999999999</v>
      </c>
      <c r="V21" s="671">
        <f>Assumptions!$F39</f>
        <v>159.44999999999999</v>
      </c>
      <c r="W21" s="671">
        <f>Assumptions!$F39</f>
        <v>159.44999999999999</v>
      </c>
      <c r="X21" s="671">
        <f>Assumptions!$F39</f>
        <v>159.44999999999999</v>
      </c>
      <c r="Y21" s="671">
        <f>Assumptions!$F39</f>
        <v>159.44999999999999</v>
      </c>
      <c r="Z21" s="671">
        <f>Assumptions!$F39</f>
        <v>159.44999999999999</v>
      </c>
      <c r="AA21" s="671">
        <f>Assumptions!$F39</f>
        <v>159.44999999999999</v>
      </c>
      <c r="AB21" s="693">
        <f>Assumptions!$F39</f>
        <v>159.44999999999999</v>
      </c>
      <c r="AC21" s="672">
        <f>Assumptions!$G39</f>
        <v>169.49534999999997</v>
      </c>
      <c r="AD21" s="671">
        <f>Assumptions!$G39</f>
        <v>169.49534999999997</v>
      </c>
      <c r="AE21" s="671">
        <f>Assumptions!$G39</f>
        <v>169.49534999999997</v>
      </c>
      <c r="AF21" s="671">
        <f>Assumptions!$G39</f>
        <v>169.49534999999997</v>
      </c>
      <c r="AG21" s="671">
        <f>Assumptions!$G39</f>
        <v>169.49534999999997</v>
      </c>
      <c r="AH21" s="671">
        <f>Assumptions!$G39</f>
        <v>169.49534999999997</v>
      </c>
      <c r="AI21" s="671">
        <f>Assumptions!$G39</f>
        <v>169.49534999999997</v>
      </c>
      <c r="AJ21" s="671">
        <f>Assumptions!$G39</f>
        <v>169.49534999999997</v>
      </c>
      <c r="AK21" s="671">
        <f>Assumptions!$G39</f>
        <v>169.49534999999997</v>
      </c>
      <c r="AL21" s="671">
        <f>Assumptions!$G39</f>
        <v>169.49534999999997</v>
      </c>
      <c r="AM21" s="671">
        <f>Assumptions!$G39</f>
        <v>169.49534999999997</v>
      </c>
      <c r="AN21" s="693">
        <f>Assumptions!$G39</f>
        <v>169.49534999999997</v>
      </c>
      <c r="AO21" s="691">
        <f>Assumptions!$H39</f>
        <v>180.17355704999994</v>
      </c>
      <c r="AP21" s="671">
        <f>Assumptions!$H39</f>
        <v>180.17355704999994</v>
      </c>
      <c r="AQ21" s="671">
        <f>Assumptions!$H39</f>
        <v>180.17355704999994</v>
      </c>
      <c r="AR21" s="671">
        <f>Assumptions!$H39</f>
        <v>180.17355704999994</v>
      </c>
      <c r="AS21" s="671">
        <f>Assumptions!$H39</f>
        <v>180.17355704999994</v>
      </c>
      <c r="AT21" s="671">
        <f>Assumptions!$H39</f>
        <v>180.17355704999994</v>
      </c>
      <c r="AU21" s="671">
        <f>Assumptions!$H39</f>
        <v>180.17355704999994</v>
      </c>
      <c r="AV21" s="671">
        <f>Assumptions!$H39</f>
        <v>180.17355704999994</v>
      </c>
      <c r="AW21" s="671">
        <f>Assumptions!$H39</f>
        <v>180.17355704999994</v>
      </c>
      <c r="AX21" s="671">
        <f>Assumptions!$H39</f>
        <v>180.17355704999994</v>
      </c>
      <c r="AY21" s="671">
        <f>Assumptions!$H39</f>
        <v>180.17355704999994</v>
      </c>
      <c r="AZ21" s="693">
        <f>Assumptions!$H39</f>
        <v>180.17355704999994</v>
      </c>
      <c r="BA21" s="691">
        <f>Assumptions!$I39</f>
        <v>191.52449114414992</v>
      </c>
      <c r="BB21" s="671">
        <f>Assumptions!$I39</f>
        <v>191.52449114414992</v>
      </c>
      <c r="BC21" s="671">
        <f>Assumptions!$I39</f>
        <v>191.52449114414992</v>
      </c>
      <c r="BD21" s="671">
        <f>Assumptions!$I39</f>
        <v>191.52449114414992</v>
      </c>
      <c r="BE21" s="671">
        <f>Assumptions!$I39</f>
        <v>191.52449114414992</v>
      </c>
      <c r="BF21" s="671">
        <f>Assumptions!$I39</f>
        <v>191.52449114414992</v>
      </c>
      <c r="BG21" s="671">
        <f>Assumptions!$I39</f>
        <v>191.52449114414992</v>
      </c>
      <c r="BH21" s="671">
        <f>Assumptions!$I39</f>
        <v>191.52449114414992</v>
      </c>
      <c r="BI21" s="671">
        <f>Assumptions!$I39</f>
        <v>191.52449114414992</v>
      </c>
      <c r="BJ21" s="671">
        <f>Assumptions!$I39</f>
        <v>191.52449114414992</v>
      </c>
      <c r="BK21" s="671">
        <f>Assumptions!$I39</f>
        <v>191.52449114414992</v>
      </c>
      <c r="BL21" s="693">
        <f>Assumptions!$I39</f>
        <v>191.52449114414992</v>
      </c>
      <c r="BM21" s="691">
        <f>Assumptions!$J39</f>
        <v>203.59053408623137</v>
      </c>
      <c r="BN21" s="671">
        <f>Assumptions!$J39</f>
        <v>203.59053408623137</v>
      </c>
      <c r="BO21" s="671">
        <f>Assumptions!$J39</f>
        <v>203.59053408623137</v>
      </c>
      <c r="BP21" s="671">
        <f>Assumptions!$J39</f>
        <v>203.59053408623137</v>
      </c>
      <c r="BQ21" s="671">
        <f>Assumptions!$J39</f>
        <v>203.59053408623137</v>
      </c>
      <c r="BR21" s="671">
        <f>Assumptions!$J39</f>
        <v>203.59053408623137</v>
      </c>
      <c r="BS21" s="671">
        <f>Assumptions!$J39</f>
        <v>203.59053408623137</v>
      </c>
      <c r="BT21" s="671">
        <f>Assumptions!$J39</f>
        <v>203.59053408623137</v>
      </c>
      <c r="BU21" s="671">
        <f>Assumptions!$J39</f>
        <v>203.59053408623137</v>
      </c>
      <c r="BV21" s="671">
        <f>Assumptions!$J39</f>
        <v>203.59053408623137</v>
      </c>
      <c r="BW21" s="671">
        <f>Assumptions!$J39</f>
        <v>203.59053408623137</v>
      </c>
      <c r="BX21" s="693">
        <f>Assumptions!$J39</f>
        <v>203.59053408623137</v>
      </c>
      <c r="BY21" s="691">
        <f>Assumptions!$K39</f>
        <v>216.41673773366395</v>
      </c>
      <c r="BZ21" s="671">
        <f>Assumptions!$K39</f>
        <v>216.41673773366395</v>
      </c>
      <c r="CA21" s="671">
        <f>Assumptions!$K39</f>
        <v>216.41673773366395</v>
      </c>
      <c r="CB21" s="671">
        <f>Assumptions!$K39</f>
        <v>216.41673773366395</v>
      </c>
      <c r="CC21" s="671">
        <f>Assumptions!$K39</f>
        <v>216.41673773366395</v>
      </c>
      <c r="CD21" s="671">
        <f>Assumptions!$K39</f>
        <v>216.41673773366395</v>
      </c>
      <c r="CE21" s="671">
        <f>Assumptions!$K39</f>
        <v>216.41673773366395</v>
      </c>
      <c r="CF21" s="671">
        <f>Assumptions!$K39</f>
        <v>216.41673773366395</v>
      </c>
      <c r="CG21" s="671">
        <f>Assumptions!$K39</f>
        <v>216.41673773366395</v>
      </c>
      <c r="CH21" s="671">
        <f>Assumptions!$K39</f>
        <v>216.41673773366395</v>
      </c>
      <c r="CI21" s="671">
        <f>Assumptions!$K39</f>
        <v>216.41673773366395</v>
      </c>
      <c r="CJ21" s="693">
        <f>Assumptions!$K39</f>
        <v>216.41673773366395</v>
      </c>
      <c r="CK21" s="691">
        <f>Assumptions!$L39</f>
        <v>230.05099221088477</v>
      </c>
      <c r="CL21" s="671">
        <f>Assumptions!$L39</f>
        <v>230.05099221088477</v>
      </c>
      <c r="CM21" s="671">
        <f>Assumptions!$L39</f>
        <v>230.05099221088477</v>
      </c>
      <c r="CN21" s="671">
        <f>Assumptions!$L39</f>
        <v>230.05099221088477</v>
      </c>
      <c r="CO21" s="671">
        <f>Assumptions!$L39</f>
        <v>230.05099221088477</v>
      </c>
      <c r="CP21" s="671">
        <f>Assumptions!$L39</f>
        <v>230.05099221088477</v>
      </c>
      <c r="CQ21" s="671">
        <f>Assumptions!$L39</f>
        <v>230.05099221088477</v>
      </c>
      <c r="CR21" s="671">
        <f>Assumptions!$L39</f>
        <v>230.05099221088477</v>
      </c>
      <c r="CS21" s="671">
        <f>Assumptions!$L39</f>
        <v>230.05099221088477</v>
      </c>
      <c r="CT21" s="671">
        <f>Assumptions!$L39</f>
        <v>230.05099221088477</v>
      </c>
      <c r="CU21" s="671">
        <f>Assumptions!$L39</f>
        <v>230.05099221088477</v>
      </c>
      <c r="CV21" s="693">
        <f>Assumptions!$L39</f>
        <v>230.05099221088477</v>
      </c>
      <c r="CW21" s="691">
        <f>Assumptions!$M39</f>
        <v>244.54420472017048</v>
      </c>
      <c r="CX21" s="671">
        <f>Assumptions!$M39</f>
        <v>244.54420472017048</v>
      </c>
      <c r="CY21" s="671">
        <f>Assumptions!$M39</f>
        <v>244.54420472017048</v>
      </c>
      <c r="CZ21" s="671">
        <f>Assumptions!$M39</f>
        <v>244.54420472017048</v>
      </c>
      <c r="DA21" s="671">
        <f>Assumptions!$M39</f>
        <v>244.54420472017048</v>
      </c>
      <c r="DB21" s="671">
        <f>Assumptions!$M39</f>
        <v>244.54420472017048</v>
      </c>
      <c r="DC21" s="671">
        <f>Assumptions!$M39</f>
        <v>244.54420472017048</v>
      </c>
      <c r="DD21" s="671">
        <f>Assumptions!$M39</f>
        <v>244.54420472017048</v>
      </c>
      <c r="DE21" s="671">
        <f>Assumptions!$M39</f>
        <v>244.54420472017048</v>
      </c>
      <c r="DF21" s="671">
        <f>Assumptions!$M39</f>
        <v>244.54420472017048</v>
      </c>
      <c r="DG21" s="671">
        <f>Assumptions!$M39</f>
        <v>244.54420472017048</v>
      </c>
      <c r="DH21" s="693">
        <f>Assumptions!$M39</f>
        <v>244.54420472017048</v>
      </c>
      <c r="DI21" s="691">
        <f>Assumptions!$N39</f>
        <v>259.95048961754122</v>
      </c>
      <c r="DJ21" s="671">
        <f>Assumptions!$N39</f>
        <v>259.95048961754122</v>
      </c>
      <c r="DK21" s="671">
        <f>Assumptions!$N39</f>
        <v>259.95048961754122</v>
      </c>
      <c r="DL21" s="671">
        <f>Assumptions!$N39</f>
        <v>259.95048961754122</v>
      </c>
      <c r="DM21" s="671">
        <f>Assumptions!$N39</f>
        <v>259.95048961754122</v>
      </c>
      <c r="DN21" s="671">
        <f>Assumptions!$N39</f>
        <v>259.95048961754122</v>
      </c>
      <c r="DO21" s="671">
        <f>Assumptions!$N39</f>
        <v>259.95048961754122</v>
      </c>
      <c r="DP21" s="671">
        <f>Assumptions!$N39</f>
        <v>259.95048961754122</v>
      </c>
      <c r="DQ21" s="671">
        <f>Assumptions!$N39</f>
        <v>259.95048961754122</v>
      </c>
      <c r="DR21" s="671">
        <f>Assumptions!$N39</f>
        <v>259.95048961754122</v>
      </c>
      <c r="DS21" s="671">
        <f>Assumptions!$N39</f>
        <v>259.95048961754122</v>
      </c>
      <c r="DT21" s="693">
        <f>Assumptions!$N39</f>
        <v>259.95048961754122</v>
      </c>
    </row>
    <row r="22" spans="1:124" ht="16.5" x14ac:dyDescent="0.3">
      <c r="A22" s="164"/>
      <c r="B22" s="160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9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94"/>
      <c r="AC22" s="1254"/>
      <c r="AD22" s="685"/>
      <c r="AE22" s="684"/>
      <c r="AF22" s="684"/>
      <c r="AG22" s="684"/>
      <c r="AH22" s="684"/>
      <c r="AI22" s="684"/>
      <c r="AJ22" s="684"/>
      <c r="AK22" s="684"/>
      <c r="AL22" s="684"/>
      <c r="AM22" s="684"/>
      <c r="AN22" s="69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9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94"/>
      <c r="BM22" s="684"/>
      <c r="BN22" s="684"/>
      <c r="BO22" s="684"/>
      <c r="BP22" s="684"/>
      <c r="BQ22" s="684"/>
      <c r="BR22" s="684"/>
      <c r="BS22" s="684"/>
      <c r="BT22" s="684"/>
      <c r="BU22" s="684"/>
      <c r="BV22" s="684"/>
      <c r="BW22" s="684"/>
      <c r="BX22" s="694"/>
      <c r="BY22" s="684"/>
      <c r="BZ22" s="684"/>
      <c r="CA22" s="684"/>
      <c r="CB22" s="684"/>
      <c r="CC22" s="684"/>
      <c r="CD22" s="684"/>
      <c r="CE22" s="684"/>
      <c r="CF22" s="684"/>
      <c r="CG22" s="684"/>
      <c r="CH22" s="684"/>
      <c r="CI22" s="684"/>
      <c r="CJ22" s="694"/>
      <c r="CK22" s="684"/>
      <c r="CL22" s="684"/>
      <c r="CM22" s="684"/>
      <c r="CN22" s="684"/>
      <c r="CO22" s="684"/>
      <c r="CP22" s="684"/>
      <c r="CQ22" s="684"/>
      <c r="CR22" s="684"/>
      <c r="CS22" s="684"/>
      <c r="CT22" s="684"/>
      <c r="CU22" s="684"/>
      <c r="CV22" s="694"/>
      <c r="CW22" s="684"/>
      <c r="CX22" s="684"/>
      <c r="CY22" s="684"/>
      <c r="CZ22" s="684"/>
      <c r="DA22" s="684"/>
      <c r="DB22" s="684"/>
      <c r="DC22" s="684"/>
      <c r="DD22" s="684"/>
      <c r="DE22" s="684"/>
      <c r="DF22" s="684"/>
      <c r="DG22" s="684"/>
      <c r="DH22" s="694"/>
      <c r="DI22" s="684"/>
      <c r="DJ22" s="684"/>
      <c r="DK22" s="684"/>
      <c r="DL22" s="684"/>
      <c r="DM22" s="684"/>
      <c r="DN22" s="684"/>
      <c r="DO22" s="684"/>
      <c r="DP22" s="684"/>
      <c r="DQ22" s="684"/>
      <c r="DR22" s="684"/>
      <c r="DS22" s="684"/>
      <c r="DT22" s="694"/>
    </row>
    <row r="23" spans="1:124" ht="22.5" customHeight="1" x14ac:dyDescent="0.3">
      <c r="A23" s="123"/>
      <c r="B23" s="159" t="s">
        <v>0</v>
      </c>
      <c r="C23" s="1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0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507"/>
      <c r="AC23" s="1249"/>
      <c r="AD23" s="198"/>
      <c r="AE23" s="887"/>
      <c r="AF23" s="887"/>
      <c r="AG23" s="887"/>
      <c r="AH23" s="887"/>
      <c r="AI23" s="887"/>
      <c r="AJ23" s="887"/>
      <c r="AK23" s="887"/>
      <c r="AL23" s="887"/>
      <c r="AM23" s="887"/>
      <c r="AN23" s="842"/>
      <c r="AO23" s="887"/>
      <c r="AP23" s="887"/>
      <c r="AQ23" s="887"/>
      <c r="AR23" s="887"/>
      <c r="AS23" s="887"/>
      <c r="AT23" s="887"/>
      <c r="AU23" s="887"/>
      <c r="AV23" s="887"/>
      <c r="AW23" s="887"/>
      <c r="AX23" s="887"/>
      <c r="AY23" s="887"/>
      <c r="AZ23" s="842"/>
      <c r="BA23" s="887"/>
      <c r="BB23" s="887"/>
      <c r="BC23" s="887"/>
      <c r="BD23" s="887"/>
      <c r="BE23" s="887"/>
      <c r="BF23" s="887"/>
      <c r="BG23" s="887"/>
      <c r="BH23" s="887"/>
      <c r="BI23" s="887"/>
      <c r="BJ23" s="887"/>
      <c r="BK23" s="887"/>
      <c r="BL23" s="842"/>
      <c r="BM23" s="887"/>
      <c r="BN23" s="887"/>
      <c r="BO23" s="887"/>
      <c r="BP23" s="887"/>
      <c r="BQ23" s="887"/>
      <c r="BR23" s="887"/>
      <c r="BS23" s="887"/>
      <c r="BT23" s="887"/>
      <c r="BU23" s="887"/>
      <c r="BV23" s="887"/>
      <c r="BW23" s="887"/>
      <c r="BX23" s="842"/>
      <c r="BY23" s="887"/>
      <c r="BZ23" s="887"/>
      <c r="CA23" s="887"/>
      <c r="CB23" s="887"/>
      <c r="CC23" s="887"/>
      <c r="CD23" s="887"/>
      <c r="CE23" s="887"/>
      <c r="CF23" s="887"/>
      <c r="CG23" s="887"/>
      <c r="CH23" s="887"/>
      <c r="CI23" s="887"/>
      <c r="CJ23" s="842"/>
      <c r="CK23" s="887"/>
      <c r="CL23" s="887"/>
      <c r="CM23" s="887"/>
      <c r="CN23" s="887"/>
      <c r="CO23" s="887"/>
      <c r="CP23" s="887"/>
      <c r="CQ23" s="887"/>
      <c r="CR23" s="887"/>
      <c r="CS23" s="887"/>
      <c r="CT23" s="887"/>
      <c r="CU23" s="887"/>
      <c r="CV23" s="842"/>
      <c r="CW23" s="887"/>
      <c r="CX23" s="887"/>
      <c r="CY23" s="887"/>
      <c r="CZ23" s="887"/>
      <c r="DA23" s="887"/>
      <c r="DB23" s="887"/>
      <c r="DC23" s="887"/>
      <c r="DD23" s="887"/>
      <c r="DE23" s="887"/>
      <c r="DF23" s="887"/>
      <c r="DG23" s="887"/>
      <c r="DH23" s="842"/>
      <c r="DI23" s="887"/>
      <c r="DJ23" s="887"/>
      <c r="DK23" s="887"/>
      <c r="DL23" s="887"/>
      <c r="DM23" s="887"/>
      <c r="DN23" s="887"/>
      <c r="DO23" s="887"/>
      <c r="DP23" s="887"/>
      <c r="DQ23" s="887"/>
      <c r="DR23" s="887"/>
      <c r="DS23" s="887"/>
      <c r="DT23" s="842"/>
    </row>
    <row r="24" spans="1:124" ht="15" hidden="1" x14ac:dyDescent="0.25">
      <c r="A24" s="164"/>
      <c r="B24" s="245" t="s">
        <v>302</v>
      </c>
      <c r="C24" s="683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95"/>
      <c r="Q24" s="107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8">
        <v>0</v>
      </c>
      <c r="AC24" s="483">
        <v>0</v>
      </c>
      <c r="AD24" s="312">
        <v>0</v>
      </c>
      <c r="AE24" s="106">
        <v>0</v>
      </c>
      <c r="AF24" s="106">
        <v>0</v>
      </c>
      <c r="AG24" s="106">
        <v>0</v>
      </c>
      <c r="AH24" s="106">
        <v>0</v>
      </c>
      <c r="AI24" s="106">
        <v>0</v>
      </c>
      <c r="AJ24" s="106">
        <v>0</v>
      </c>
      <c r="AK24" s="106">
        <v>0</v>
      </c>
      <c r="AL24" s="106">
        <v>0</v>
      </c>
      <c r="AM24" s="106">
        <v>0</v>
      </c>
      <c r="AN24" s="108">
        <v>0</v>
      </c>
      <c r="AO24" s="107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8">
        <v>0</v>
      </c>
      <c r="BA24" s="107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8">
        <v>0</v>
      </c>
      <c r="BM24" s="107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8">
        <v>0</v>
      </c>
      <c r="BY24" s="107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8">
        <v>0</v>
      </c>
      <c r="CK24" s="107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8">
        <v>0</v>
      </c>
      <c r="CW24" s="107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8">
        <v>0</v>
      </c>
      <c r="DI24" s="107">
        <v>0</v>
      </c>
      <c r="DJ24" s="106">
        <v>0</v>
      </c>
      <c r="DK24" s="106">
        <v>0</v>
      </c>
      <c r="DL24" s="106">
        <v>0</v>
      </c>
      <c r="DM24" s="106">
        <v>0</v>
      </c>
      <c r="DN24" s="106">
        <v>0</v>
      </c>
      <c r="DO24" s="106">
        <v>0</v>
      </c>
      <c r="DP24" s="106">
        <v>0</v>
      </c>
      <c r="DQ24" s="106">
        <v>0</v>
      </c>
      <c r="DR24" s="106">
        <v>0</v>
      </c>
      <c r="DS24" s="106">
        <v>0</v>
      </c>
      <c r="DT24" s="108">
        <v>0</v>
      </c>
    </row>
    <row r="25" spans="1:124" ht="15" x14ac:dyDescent="0.25">
      <c r="B25" s="245" t="s">
        <v>546</v>
      </c>
      <c r="C25" s="683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535"/>
      <c r="Q25" s="107">
        <v>0</v>
      </c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8"/>
      <c r="AC25" s="483"/>
      <c r="AD25" s="670"/>
      <c r="AE25" s="670"/>
      <c r="AF25" s="670"/>
      <c r="AG25" s="670"/>
      <c r="AH25" s="670">
        <f>(Production!AH8*'1.Revenue'!AH14)+(Production!AH9*'1.Revenue'!AH15)</f>
        <v>0</v>
      </c>
      <c r="AI25" s="670">
        <f>(Production!AI8*'1.Revenue'!AI14)+(Production!AI9*'1.Revenue'!AI15)</f>
        <v>0</v>
      </c>
      <c r="AJ25" s="670">
        <f>(Production!AJ8*'1.Revenue'!AJ14)+(Production!AJ9*'1.Revenue'!AJ15)</f>
        <v>0</v>
      </c>
      <c r="AK25" s="670">
        <f>(Production!AK8*'1.Revenue'!AK14)+(Production!AK9*'1.Revenue'!AK15)</f>
        <v>0</v>
      </c>
      <c r="AL25" s="670">
        <f>(Production!AL8*'1.Revenue'!AL14)+(Production!AL9*'1.Revenue'!AL15)</f>
        <v>3267700.3772194642</v>
      </c>
      <c r="AM25" s="670">
        <f>(Production!AM8*'1.Revenue'!AM14)+(Production!AM9*'1.Revenue'!AM15)</f>
        <v>3646429.7786309803</v>
      </c>
      <c r="AN25" s="677">
        <f>(Production!AN8*'1.Revenue'!AN14)+(Production!AN9*'1.Revenue'!AN15)</f>
        <v>3208589.6299624974</v>
      </c>
      <c r="AO25" s="387">
        <f>(Production!AO8*'1.Revenue'!AO14)+(Production!AO9*'1.Revenue'!AO15)</f>
        <v>3554456.6224380853</v>
      </c>
      <c r="AP25" s="670">
        <f>(Production!AP8*'1.Revenue'!AP14)+(Production!AP9*'1.Revenue'!AP15)</f>
        <v>3966421.3295893148</v>
      </c>
      <c r="AQ25" s="670">
        <f>(Production!AQ8*'1.Revenue'!AQ14)+(Production!AQ9*'1.Revenue'!AQ15)</f>
        <v>3477223.3551709107</v>
      </c>
      <c r="AR25" s="670">
        <f>(Production!AR8*'1.Revenue'!AR14)+(Production!AR9*'1.Revenue'!AR15)</f>
        <v>3613363.6858760333</v>
      </c>
      <c r="AS25" s="670">
        <f>(Production!AS8*'1.Revenue'!AS14)+(Production!AS9*'1.Revenue'!AS15)</f>
        <v>4017917.2800960834</v>
      </c>
      <c r="AT25" s="670">
        <f>(Production!AT8*'1.Revenue'!AT14)+(Production!AT9*'1.Revenue'!AT15)</f>
        <v>3535471.2695999169</v>
      </c>
      <c r="AU25" s="670">
        <f>(Production!AU8*'1.Revenue'!AU14)+(Production!AU9*'1.Revenue'!AU15)</f>
        <v>3542760.1789279147</v>
      </c>
      <c r="AV25" s="670">
        <f>(Production!AV8*'1.Revenue'!AV14)+(Production!AV9*'1.Revenue'!AV15)</f>
        <v>3939408.9772338294</v>
      </c>
      <c r="AW25" s="670">
        <f>(Production!AW8*'1.Revenue'!AW14)+(Production!AW9*'1.Revenue'!AW15)</f>
        <v>3466389.7455552244</v>
      </c>
      <c r="AX25" s="670">
        <f>(Production!AX8*'1.Revenue'!AX14)+(Production!AX9*'1.Revenue'!AX15)</f>
        <v>3473565.5009842901</v>
      </c>
      <c r="AY25" s="670">
        <f>(Production!AY8*'1.Revenue'!AY14)+(Production!AY9*'1.Revenue'!AY15)</f>
        <v>3876154.8546847315</v>
      </c>
      <c r="AZ25" s="677">
        <f>(Production!AZ8*'1.Revenue'!AZ14)+(Production!AZ9*'1.Revenue'!AZ15)</f>
        <v>3410730.7766501345</v>
      </c>
      <c r="BA25" s="387">
        <f>(Production!BA8*'1.Revenue'!BA14)+(Production!BA9*'1.Revenue'!BA15)</f>
        <v>3778387.3896516841</v>
      </c>
      <c r="BB25" s="670">
        <f>(Production!BB8*'1.Revenue'!BB14)+(Production!BB9*'1.Revenue'!BB15)</f>
        <v>4216305.8733534412</v>
      </c>
      <c r="BC25" s="670">
        <f>(Production!BC8*'1.Revenue'!BC14)+(Production!BC9*'1.Revenue'!BC15)</f>
        <v>3696288.4265466775</v>
      </c>
      <c r="BD25" s="670">
        <f>(Production!BD8*'1.Revenue'!BD14)+(Production!BD9*'1.Revenue'!BD15)</f>
        <v>3841005.5980862225</v>
      </c>
      <c r="BE25" s="670">
        <f>(Production!BE8*'1.Revenue'!BE14)+(Production!BE9*'1.Revenue'!BE15)</f>
        <v>4271046.0687421355</v>
      </c>
      <c r="BF25" s="670">
        <f>(Production!BF8*'1.Revenue'!BF14)+(Production!BF9*'1.Revenue'!BF15)</f>
        <v>3758205.9595847111</v>
      </c>
      <c r="BG25" s="670">
        <f>(Production!BG8*'1.Revenue'!BG14)+(Production!BG9*'1.Revenue'!BG15)</f>
        <v>3765954.0702003725</v>
      </c>
      <c r="BH25" s="670">
        <f>(Production!BH8*'1.Revenue'!BH14)+(Production!BH9*'1.Revenue'!BH15)</f>
        <v>4187591.7427995601</v>
      </c>
      <c r="BI25" s="670">
        <f>(Production!BI8*'1.Revenue'!BI14)+(Production!BI9*'1.Revenue'!BI15)</f>
        <v>3684772.2995252027</v>
      </c>
      <c r="BJ25" s="670">
        <f>(Production!BJ8*'1.Revenue'!BJ14)+(Production!BJ9*'1.Revenue'!BJ15)</f>
        <v>3692400.1275462997</v>
      </c>
      <c r="BK25" s="670">
        <f>(Production!BK8*'1.Revenue'!BK14)+(Production!BK9*'1.Revenue'!BK15)</f>
        <v>4120352.6105298689</v>
      </c>
      <c r="BL25" s="677">
        <f>(Production!BL8*'1.Revenue'!BL14)+(Production!BL9*'1.Revenue'!BL15)</f>
        <v>3625606.8155790921</v>
      </c>
      <c r="BM25" s="387">
        <f>(Production!BM8*'1.Revenue'!BM14)+(Production!BM9*'1.Revenue'!BM15)</f>
        <v>4016425.7951997407</v>
      </c>
      <c r="BN25" s="670">
        <f>(Production!BN8*'1.Revenue'!BN14)+(Production!BN9*'1.Revenue'!BN15)</f>
        <v>4481933.1433747075</v>
      </c>
      <c r="BO25" s="670">
        <f>(Production!BO8*'1.Revenue'!BO14)+(Production!BO9*'1.Revenue'!BO15)</f>
        <v>3929154.5974191185</v>
      </c>
      <c r="BP25" s="670">
        <f>(Production!BP8*'1.Revenue'!BP14)+(Production!BP9*'1.Revenue'!BP15)</f>
        <v>4082988.9507656549</v>
      </c>
      <c r="BQ25" s="670">
        <f>(Production!BQ8*'1.Revenue'!BQ14)+(Production!BQ9*'1.Revenue'!BQ15)</f>
        <v>4540121.9710728908</v>
      </c>
      <c r="BR25" s="670">
        <f>(Production!BR8*'1.Revenue'!BR14)+(Production!BR9*'1.Revenue'!BR15)</f>
        <v>3994972.9350385484</v>
      </c>
      <c r="BS25" s="670">
        <f>(Production!BS8*'1.Revenue'!BS14)+(Production!BS9*'1.Revenue'!BS15)</f>
        <v>4003209.1766229961</v>
      </c>
      <c r="BT25" s="670">
        <f>(Production!BT8*'1.Revenue'!BT14)+(Production!BT9*'1.Revenue'!BT15)</f>
        <v>4451410.0225959327</v>
      </c>
      <c r="BU25" s="670">
        <f>(Production!BU8*'1.Revenue'!BU14)+(Production!BU9*'1.Revenue'!BU15)</f>
        <v>3916912.9543952909</v>
      </c>
      <c r="BV25" s="670">
        <f>(Production!BV8*'1.Revenue'!BV14)+(Production!BV9*'1.Revenue'!BV15)</f>
        <v>3925021.3355817166</v>
      </c>
      <c r="BW25" s="670">
        <f>(Production!BW8*'1.Revenue'!BW14)+(Production!BW9*'1.Revenue'!BW15)</f>
        <v>4379934.8249932509</v>
      </c>
      <c r="BX25" s="677">
        <f>(Production!BX8*'1.Revenue'!BX14)+(Production!BX9*'1.Revenue'!BX15)</f>
        <v>3854020.0449605752</v>
      </c>
      <c r="BY25" s="387">
        <f>(Production!BY8*'1.Revenue'!BY14)+(Production!BY9*'1.Revenue'!BY15)</f>
        <v>4269460.6202973239</v>
      </c>
      <c r="BZ25" s="670">
        <f>(Production!BZ8*'1.Revenue'!BZ14)+(Production!BZ9*'1.Revenue'!BZ15)</f>
        <v>4764294.9314073147</v>
      </c>
      <c r="CA25" s="670">
        <f>(Production!CA8*'1.Revenue'!CA14)+(Production!CA9*'1.Revenue'!CA15)</f>
        <v>4176691.3370565232</v>
      </c>
      <c r="CB25" s="670">
        <f>(Production!CB8*'1.Revenue'!CB14)+(Production!CB9*'1.Revenue'!CB15)</f>
        <v>4340217.2546638912</v>
      </c>
      <c r="CC25" s="670">
        <f>(Production!CC8*'1.Revenue'!CC14)+(Production!CC9*'1.Revenue'!CC15)</f>
        <v>4826149.6552504832</v>
      </c>
      <c r="CD25" s="670">
        <f>(Production!CD8*'1.Revenue'!CD14)+(Production!CD9*'1.Revenue'!CD15)</f>
        <v>4246656.2299459772</v>
      </c>
      <c r="CE25" s="670">
        <f>(Production!CE8*'1.Revenue'!CE14)+(Production!CE9*'1.Revenue'!CE15)</f>
        <v>4255411.3547502449</v>
      </c>
      <c r="CF25" s="670">
        <f>(Production!CF8*'1.Revenue'!CF14)+(Production!CF9*'1.Revenue'!CF15)</f>
        <v>4731848.854019477</v>
      </c>
      <c r="CG25" s="670">
        <f>(Production!CG8*'1.Revenue'!CG14)+(Production!CG9*'1.Revenue'!CG15)</f>
        <v>4163678.4705221942</v>
      </c>
      <c r="CH25" s="670">
        <f>(Production!CH8*'1.Revenue'!CH14)+(Production!CH9*'1.Revenue'!CH15)</f>
        <v>4172297.6797233648</v>
      </c>
      <c r="CI25" s="670">
        <f>(Production!CI8*'1.Revenue'!CI14)+(Production!CI9*'1.Revenue'!CI15)</f>
        <v>4655870.7189678261</v>
      </c>
      <c r="CJ25" s="677">
        <f>(Production!CJ8*'1.Revenue'!CJ14)+(Production!CJ9*'1.Revenue'!CJ15)</f>
        <v>4096823.3077930915</v>
      </c>
      <c r="CK25" s="387">
        <f>(Production!CK8*'1.Revenue'!CK14)+(Production!CK9*'1.Revenue'!CK15)</f>
        <v>4538436.6393760554</v>
      </c>
      <c r="CL25" s="670">
        <f>(Production!CL8*'1.Revenue'!CL14)+(Production!CL9*'1.Revenue'!CL15)</f>
        <v>5064445.5120859742</v>
      </c>
      <c r="CM25" s="670">
        <f>(Production!CM8*'1.Revenue'!CM14)+(Production!CM9*'1.Revenue'!CM15)</f>
        <v>4439822.8912910838</v>
      </c>
      <c r="CN25" s="670">
        <f>(Production!CN8*'1.Revenue'!CN14)+(Production!CN9*'1.Revenue'!CN15)</f>
        <v>4613650.9417077154</v>
      </c>
      <c r="CO25" s="670">
        <f>(Production!CO8*'1.Revenue'!CO14)+(Production!CO9*'1.Revenue'!CO15)</f>
        <v>5130197.0835312624</v>
      </c>
      <c r="CP25" s="670">
        <f>(Production!CP8*'1.Revenue'!CP14)+(Production!CP9*'1.Revenue'!CP15)</f>
        <v>4514195.572432573</v>
      </c>
      <c r="CQ25" s="670">
        <f>(Production!CQ8*'1.Revenue'!CQ14)+(Production!CQ9*'1.Revenue'!CQ15)</f>
        <v>4523502.2700995095</v>
      </c>
      <c r="CR25" s="670">
        <f>(Production!CR8*'1.Revenue'!CR14)+(Production!CR9*'1.Revenue'!CR15)</f>
        <v>5029955.3318227027</v>
      </c>
      <c r="CS25" s="670">
        <f>(Production!CS8*'1.Revenue'!CS14)+(Production!CS9*'1.Revenue'!CS15)</f>
        <v>4425990.2141650915</v>
      </c>
      <c r="CT25" s="670">
        <f>(Production!CT8*'1.Revenue'!CT14)+(Production!CT9*'1.Revenue'!CT15)</f>
        <v>4435152.4335459359</v>
      </c>
      <c r="CU25" s="670">
        <f>(Production!CU8*'1.Revenue'!CU14)+(Production!CU9*'1.Revenue'!CU15)</f>
        <v>4949190.5742627978</v>
      </c>
      <c r="CV25" s="677">
        <f>(Production!CV8*'1.Revenue'!CV14)+(Production!CV9*'1.Revenue'!CV15)</f>
        <v>4354923.1761840554</v>
      </c>
      <c r="CW25" s="387">
        <f>(Production!CW8*'1.Revenue'!CW14)+(Production!CW9*'1.Revenue'!CW15)</f>
        <v>4824358.1476567471</v>
      </c>
      <c r="CX25" s="670">
        <f>(Production!CX8*'1.Revenue'!CX14)+(Production!CX9*'1.Revenue'!CX15)</f>
        <v>5383505.5793473916</v>
      </c>
      <c r="CY25" s="670">
        <f>(Production!CY8*'1.Revenue'!CY14)+(Production!CY9*'1.Revenue'!CY15)</f>
        <v>4719531.733442422</v>
      </c>
      <c r="CZ25" s="670">
        <f>(Production!CZ8*'1.Revenue'!CZ14)+(Production!CZ9*'1.Revenue'!CZ15)</f>
        <v>4904310.9510353021</v>
      </c>
      <c r="DA25" s="670">
        <f>(Production!DA8*'1.Revenue'!DA14)+(Production!DA9*'1.Revenue'!DA15)</f>
        <v>5453399.4997937325</v>
      </c>
      <c r="DB25" s="670">
        <f>(Production!DB8*'1.Revenue'!DB14)+(Production!DB9*'1.Revenue'!DB15)</f>
        <v>4798589.8934958251</v>
      </c>
      <c r="DC25" s="670">
        <f>(Production!DC8*'1.Revenue'!DC14)+(Production!DC9*'1.Revenue'!DC15)</f>
        <v>4808482.9131157789</v>
      </c>
      <c r="DD25" s="670">
        <f>(Production!DD8*'1.Revenue'!DD14)+(Production!DD9*'1.Revenue'!DD15)</f>
        <v>5346842.5177275334</v>
      </c>
      <c r="DE25" s="670">
        <f>(Production!DE8*'1.Revenue'!DE14)+(Production!DE9*'1.Revenue'!DE15)</f>
        <v>4704827.5976574933</v>
      </c>
      <c r="DF25" s="670">
        <f>(Production!DF8*'1.Revenue'!DF14)+(Production!DF9*'1.Revenue'!DF15)</f>
        <v>4714567.0368593307</v>
      </c>
      <c r="DG25" s="670">
        <f>(Production!DG8*'1.Revenue'!DG14)+(Production!DG9*'1.Revenue'!DG15)</f>
        <v>5260989.5804413548</v>
      </c>
      <c r="DH25" s="677">
        <f>(Production!DH8*'1.Revenue'!DH14)+(Production!DH9*'1.Revenue'!DH15)</f>
        <v>4629283.3362836512</v>
      </c>
      <c r="DI25" s="387">
        <f>(Production!DI8*'1.Revenue'!DI14)+(Production!DI9*'1.Revenue'!DI15)</f>
        <v>5128292.7109591207</v>
      </c>
      <c r="DJ25" s="670">
        <f>(Production!DJ8*'1.Revenue'!DJ14)+(Production!DJ9*'1.Revenue'!DJ15)</f>
        <v>5722666.4308462758</v>
      </c>
      <c r="DK25" s="670">
        <f>(Production!DK8*'1.Revenue'!DK14)+(Production!DK9*'1.Revenue'!DK15)</f>
        <v>5016862.2326492937</v>
      </c>
      <c r="DL25" s="670">
        <f>(Production!DL8*'1.Revenue'!DL14)+(Production!DL9*'1.Revenue'!DL15)</f>
        <v>5213282.5409505256</v>
      </c>
      <c r="DM25" s="670">
        <f>(Production!DM8*'1.Revenue'!DM14)+(Production!DM9*'1.Revenue'!DM15)</f>
        <v>5796963.6682807365</v>
      </c>
      <c r="DN25" s="670">
        <f>(Production!DN8*'1.Revenue'!DN14)+(Production!DN9*'1.Revenue'!DN15)</f>
        <v>5100901.0567860613</v>
      </c>
      <c r="DO25" s="670">
        <f>(Production!DO8*'1.Revenue'!DO14)+(Production!DO9*'1.Revenue'!DO15)</f>
        <v>5111417.3366420725</v>
      </c>
      <c r="DP25" s="670">
        <f>(Production!DP8*'1.Revenue'!DP14)+(Production!DP9*'1.Revenue'!DP15)</f>
        <v>5683693.5963443676</v>
      </c>
      <c r="DQ25" s="670">
        <f>(Production!DQ8*'1.Revenue'!DQ14)+(Production!DQ9*'1.Revenue'!DQ15)</f>
        <v>5001231.7363099139</v>
      </c>
      <c r="DR25" s="670">
        <f>(Production!DR8*'1.Revenue'!DR14)+(Production!DR9*'1.Revenue'!DR15)</f>
        <v>5011584.760181468</v>
      </c>
      <c r="DS25" s="670">
        <f>(Production!DS8*'1.Revenue'!DS14)+(Production!DS9*'1.Revenue'!DS15)</f>
        <v>5592431.9240091592</v>
      </c>
      <c r="DT25" s="677">
        <f>(Production!DT8*'1.Revenue'!DT14)+(Production!DT9*'1.Revenue'!DT15)</f>
        <v>4920928.1864695204</v>
      </c>
    </row>
    <row r="26" spans="1:124" ht="15" hidden="1" x14ac:dyDescent="0.25">
      <c r="A26" s="9"/>
      <c r="B26" s="245" t="s">
        <v>303</v>
      </c>
      <c r="C26" s="683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95"/>
      <c r="Q26" s="107">
        <v>0</v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8"/>
      <c r="AC26" s="483"/>
      <c r="AD26" s="312"/>
      <c r="AE26" s="106"/>
      <c r="AF26" s="106"/>
      <c r="AG26" s="106"/>
      <c r="AH26" s="670" t="e">
        <f>(AH10*Assumptions!$C$23*'1.Revenue'!AH18)+(AH10*Assumptions!#REF!*'1.Revenue'!AH19)+(AH10*Assumptions!$C$24*'1.Revenue'!AH20)+(AH10*Assumptions!$C$25*'1.Revenue'!AH21)</f>
        <v>#REF!</v>
      </c>
      <c r="AI26" s="670" t="e">
        <f>(AI10*Assumptions!$C$23*'1.Revenue'!AI18)+(AI10*Assumptions!#REF!*'1.Revenue'!AI19)+(AI10*Assumptions!$C$24*'1.Revenue'!AI20)+(AI10*Assumptions!$C$25*'1.Revenue'!AI21)</f>
        <v>#REF!</v>
      </c>
      <c r="AJ26" s="670" t="e">
        <f>(AJ10*Assumptions!$C$23*'1.Revenue'!AJ18)+(AJ10*Assumptions!#REF!*'1.Revenue'!AJ19)+(AJ10*Assumptions!$C$24*'1.Revenue'!AJ20)+(AJ10*Assumptions!$C$25*'1.Revenue'!AJ21)</f>
        <v>#REF!</v>
      </c>
      <c r="AK26" s="670" t="e">
        <f>(AK10*Assumptions!$C$23*'1.Revenue'!AK18)+(AK10*Assumptions!#REF!*'1.Revenue'!AK19)+(AK10*Assumptions!$C$24*'1.Revenue'!AK20)+(AK10*Assumptions!$C$25*'1.Revenue'!AK21)</f>
        <v>#REF!</v>
      </c>
      <c r="AL26" s="670" t="e">
        <f>(AL10*Assumptions!$C$23*'1.Revenue'!AL18)+(AL10*Assumptions!#REF!*'1.Revenue'!AL19)+(AL10*Assumptions!$C$24*'1.Revenue'!AL20)+(AL10*Assumptions!$C$25*'1.Revenue'!AL21)</f>
        <v>#REF!</v>
      </c>
      <c r="AM26" s="670" t="e">
        <f>(AM10*Assumptions!$C$23*'1.Revenue'!AM18)+(AM10*Assumptions!#REF!*'1.Revenue'!AM19)+(AM10*Assumptions!$C$24*'1.Revenue'!AM20)+(AM10*Assumptions!$C$25*'1.Revenue'!AM21)</f>
        <v>#REF!</v>
      </c>
      <c r="AN26" s="677" t="e">
        <f>(AN10*Assumptions!$C$23*'1.Revenue'!AN18)+(AN10*Assumptions!#REF!*'1.Revenue'!AN19)+(AN10*Assumptions!$C$24*'1.Revenue'!AN20)+(AN10*Assumptions!$C$25*'1.Revenue'!AN21)</f>
        <v>#REF!</v>
      </c>
      <c r="AO26" s="387" t="e">
        <f>(AO10*Assumptions!$C$23*'1.Revenue'!AO18)+(AO10*Assumptions!#REF!*'1.Revenue'!AO19)+(AO10*Assumptions!$C$24*'1.Revenue'!AO20)+(AO10*Assumptions!$C$25*'1.Revenue'!AO21)</f>
        <v>#REF!</v>
      </c>
      <c r="AP26" s="670" t="e">
        <f>(AP10*Assumptions!$C$23*'1.Revenue'!AP18)+(AP10*Assumptions!#REF!*'1.Revenue'!AP19)+(AP10*Assumptions!$C$24*'1.Revenue'!AP20)+(AP10*Assumptions!$C$25*'1.Revenue'!AP21)</f>
        <v>#REF!</v>
      </c>
      <c r="AQ26" s="670" t="e">
        <f>(AQ10*Assumptions!$C$23*'1.Revenue'!AQ18)+(AQ10*Assumptions!#REF!*'1.Revenue'!AQ19)+(AQ10*Assumptions!$C$24*'1.Revenue'!AQ20)+(AQ10*Assumptions!$C$25*'1.Revenue'!AQ21)</f>
        <v>#REF!</v>
      </c>
      <c r="AR26" s="670" t="e">
        <f>(AR10*Assumptions!$C$23*'1.Revenue'!AR18)+(AR10*Assumptions!#REF!*'1.Revenue'!AR19)+(AR10*Assumptions!$C$24*'1.Revenue'!AR20)+(AR10*Assumptions!$C$25*'1.Revenue'!AR21)</f>
        <v>#REF!</v>
      </c>
      <c r="AS26" s="670" t="e">
        <f>(AS10*Assumptions!$C$23*'1.Revenue'!AS18)+(AS10*Assumptions!#REF!*'1.Revenue'!AS19)+(AS10*Assumptions!$C$24*'1.Revenue'!AS20)+(AS10*Assumptions!$C$25*'1.Revenue'!AS21)</f>
        <v>#REF!</v>
      </c>
      <c r="AT26" s="670" t="e">
        <f>(AT10*Assumptions!$C$23*'1.Revenue'!AT18)+(AT10*Assumptions!#REF!*'1.Revenue'!AT19)+(AT10*Assumptions!$C$24*'1.Revenue'!AT20)+(AT10*Assumptions!$C$25*'1.Revenue'!AT21)</f>
        <v>#REF!</v>
      </c>
      <c r="AU26" s="670" t="e">
        <f>(AU10*Assumptions!$C$23*'1.Revenue'!AU18)+(AU10*Assumptions!#REF!*'1.Revenue'!AU19)+(AU10*Assumptions!$C$24*'1.Revenue'!AU20)+(AU10*Assumptions!$C$25*'1.Revenue'!AU21)</f>
        <v>#REF!</v>
      </c>
      <c r="AV26" s="670" t="e">
        <f>(AV10*Assumptions!$C$23*'1.Revenue'!AV18)+(AV10*Assumptions!#REF!*'1.Revenue'!AV19)+(AV10*Assumptions!$C$24*'1.Revenue'!AV20)+(AV10*Assumptions!$C$25*'1.Revenue'!AV21)</f>
        <v>#REF!</v>
      </c>
      <c r="AW26" s="670" t="e">
        <f>(AW10*Assumptions!$C$23*'1.Revenue'!AW18)+(AW10*Assumptions!#REF!*'1.Revenue'!AW19)+(AW10*Assumptions!$C$24*'1.Revenue'!AW20)+(AW10*Assumptions!$C$25*'1.Revenue'!AW21)</f>
        <v>#REF!</v>
      </c>
      <c r="AX26" s="670" t="e">
        <f>(AX10*Assumptions!$C$23*'1.Revenue'!AX18)+(AX10*Assumptions!#REF!*'1.Revenue'!AX19)+(AX10*Assumptions!$C$24*'1.Revenue'!AX20)+(AX10*Assumptions!$C$25*'1.Revenue'!AX21)</f>
        <v>#REF!</v>
      </c>
      <c r="AY26" s="670" t="e">
        <f>(AY10*Assumptions!$C$23*'1.Revenue'!AY18)+(AY10*Assumptions!#REF!*'1.Revenue'!AY19)+(AY10*Assumptions!$C$24*'1.Revenue'!AY20)+(AY10*Assumptions!$C$25*'1.Revenue'!AY21)</f>
        <v>#REF!</v>
      </c>
      <c r="AZ26" s="677" t="e">
        <f>(AZ10*Assumptions!$C$23*'1.Revenue'!AZ18)+(AZ10*Assumptions!#REF!*'1.Revenue'!AZ19)+(AZ10*Assumptions!$C$24*'1.Revenue'!AZ20)+(AZ10*Assumptions!$C$25*'1.Revenue'!AZ21)</f>
        <v>#REF!</v>
      </c>
      <c r="BA26" s="387" t="e">
        <f>(BA10*Assumptions!$C$23*'1.Revenue'!BA18)+(BA10*Assumptions!#REF!*'1.Revenue'!BA19)+(BA10*Assumptions!$C$24*'1.Revenue'!BA20)+(BA10*Assumptions!$C$25*'1.Revenue'!BA21)</f>
        <v>#REF!</v>
      </c>
      <c r="BB26" s="670" t="e">
        <f>(BB10*Assumptions!$C$23*'1.Revenue'!BB18)+(BB10*Assumptions!#REF!*'1.Revenue'!BB19)+(BB10*Assumptions!$C$24*'1.Revenue'!BB20)+(BB10*Assumptions!$C$25*'1.Revenue'!BB21)</f>
        <v>#REF!</v>
      </c>
      <c r="BC26" s="670" t="e">
        <f>(BC10*Assumptions!$C$23*'1.Revenue'!BC18)+(BC10*Assumptions!#REF!*'1.Revenue'!BC19)+(BC10*Assumptions!$C$24*'1.Revenue'!BC20)+(BC10*Assumptions!$C$25*'1.Revenue'!BC21)</f>
        <v>#REF!</v>
      </c>
      <c r="BD26" s="670" t="e">
        <f>(BD10*Assumptions!$C$23*'1.Revenue'!BD18)+(BD10*Assumptions!#REF!*'1.Revenue'!BD19)+(BD10*Assumptions!$C$24*'1.Revenue'!BD20)+(BD10*Assumptions!$C$25*'1.Revenue'!BD21)</f>
        <v>#REF!</v>
      </c>
      <c r="BE26" s="670" t="e">
        <f>(BE10*Assumptions!$C$23*'1.Revenue'!BE18)+(BE10*Assumptions!#REF!*'1.Revenue'!BE19)+(BE10*Assumptions!$C$24*'1.Revenue'!BE20)+(BE10*Assumptions!$C$25*'1.Revenue'!BE21)</f>
        <v>#REF!</v>
      </c>
      <c r="BF26" s="670" t="e">
        <f>(BF10*Assumptions!$C$23*'1.Revenue'!BF18)+(BF10*Assumptions!#REF!*'1.Revenue'!BF19)+(BF10*Assumptions!$C$24*'1.Revenue'!BF20)+(BF10*Assumptions!$C$25*'1.Revenue'!BF21)</f>
        <v>#REF!</v>
      </c>
      <c r="BG26" s="670" t="e">
        <f>(BG10*Assumptions!$C$23*'1.Revenue'!BG18)+(BG10*Assumptions!#REF!*'1.Revenue'!BG19)+(BG10*Assumptions!$C$24*'1.Revenue'!BG20)+(BG10*Assumptions!$C$25*'1.Revenue'!BG21)</f>
        <v>#REF!</v>
      </c>
      <c r="BH26" s="670" t="e">
        <f>(BH10*Assumptions!$C$23*'1.Revenue'!BH18)+(BH10*Assumptions!#REF!*'1.Revenue'!BH19)+(BH10*Assumptions!$C$24*'1.Revenue'!BH20)+(BH10*Assumptions!$C$25*'1.Revenue'!BH21)</f>
        <v>#REF!</v>
      </c>
      <c r="BI26" s="670" t="e">
        <f>(BI10*Assumptions!$C$23*'1.Revenue'!BI18)+(BI10*Assumptions!#REF!*'1.Revenue'!BI19)+(BI10*Assumptions!$C$24*'1.Revenue'!BI20)+(BI10*Assumptions!$C$25*'1.Revenue'!BI21)</f>
        <v>#REF!</v>
      </c>
      <c r="BJ26" s="670" t="e">
        <f>(BJ10*Assumptions!$C$23*'1.Revenue'!BJ18)+(BJ10*Assumptions!#REF!*'1.Revenue'!BJ19)+(BJ10*Assumptions!$C$24*'1.Revenue'!BJ20)+(BJ10*Assumptions!$C$25*'1.Revenue'!BJ21)</f>
        <v>#REF!</v>
      </c>
      <c r="BK26" s="670" t="e">
        <f>(BK10*Assumptions!$C$23*'1.Revenue'!BK18)+(BK10*Assumptions!#REF!*'1.Revenue'!BK19)+(BK10*Assumptions!$C$24*'1.Revenue'!BK20)+(BK10*Assumptions!$C$25*'1.Revenue'!BK21)</f>
        <v>#REF!</v>
      </c>
      <c r="BL26" s="677" t="e">
        <f>(BL10*Assumptions!$C$23*'1.Revenue'!BL18)+(BL10*Assumptions!#REF!*'1.Revenue'!BL19)+(BL10*Assumptions!$C$24*'1.Revenue'!BL20)+(BL10*Assumptions!$C$25*'1.Revenue'!BL21)</f>
        <v>#REF!</v>
      </c>
      <c r="BM26" s="387" t="e">
        <f>(BM10*Assumptions!$C$23*'1.Revenue'!BM18)+(BM10*Assumptions!#REF!*'1.Revenue'!BM19)+(BM10*Assumptions!$C$24*'1.Revenue'!BM20)+(BM10*Assumptions!$C$25*'1.Revenue'!BM21)</f>
        <v>#REF!</v>
      </c>
      <c r="BN26" s="670" t="e">
        <f>(BN10*Assumptions!$C$23*'1.Revenue'!BN18)+(BN10*Assumptions!#REF!*'1.Revenue'!BN19)+(BN10*Assumptions!$C$24*'1.Revenue'!BN20)+(BN10*Assumptions!$C$25*'1.Revenue'!BN21)</f>
        <v>#REF!</v>
      </c>
      <c r="BO26" s="670" t="e">
        <f>(BO10*Assumptions!$C$23*'1.Revenue'!BO18)+(BO10*Assumptions!#REF!*'1.Revenue'!BO19)+(BO10*Assumptions!$C$24*'1.Revenue'!BO20)+(BO10*Assumptions!$C$25*'1.Revenue'!BO21)</f>
        <v>#REF!</v>
      </c>
      <c r="BP26" s="670" t="e">
        <f>(BP10*Assumptions!$C$23*'1.Revenue'!BP18)+(BP10*Assumptions!#REF!*'1.Revenue'!BP19)+(BP10*Assumptions!$C$24*'1.Revenue'!BP20)+(BP10*Assumptions!$C$25*'1.Revenue'!BP21)</f>
        <v>#REF!</v>
      </c>
      <c r="BQ26" s="670" t="e">
        <f>(BQ10*Assumptions!$C$23*'1.Revenue'!BQ18)+(BQ10*Assumptions!#REF!*'1.Revenue'!BQ19)+(BQ10*Assumptions!$C$24*'1.Revenue'!BQ20)+(BQ10*Assumptions!$C$25*'1.Revenue'!BQ21)</f>
        <v>#REF!</v>
      </c>
      <c r="BR26" s="670" t="e">
        <f>(BR10*Assumptions!$C$23*'1.Revenue'!BR18)+(BR10*Assumptions!#REF!*'1.Revenue'!BR19)+(BR10*Assumptions!$C$24*'1.Revenue'!BR20)+(BR10*Assumptions!$C$25*'1.Revenue'!BR21)</f>
        <v>#REF!</v>
      </c>
      <c r="BS26" s="670" t="e">
        <f>(BS10*Assumptions!$C$23*'1.Revenue'!BS18)+(BS10*Assumptions!#REF!*'1.Revenue'!BS19)+(BS10*Assumptions!$C$24*'1.Revenue'!BS20)+(BS10*Assumptions!$C$25*'1.Revenue'!BS21)</f>
        <v>#REF!</v>
      </c>
      <c r="BT26" s="670" t="e">
        <f>(BT10*Assumptions!$C$23*'1.Revenue'!BT18)+(BT10*Assumptions!#REF!*'1.Revenue'!BT19)+(BT10*Assumptions!$C$24*'1.Revenue'!BT20)+(BT10*Assumptions!$C$25*'1.Revenue'!BT21)</f>
        <v>#REF!</v>
      </c>
      <c r="BU26" s="670" t="e">
        <f>(BU10*Assumptions!$C$23*'1.Revenue'!BU18)+(BU10*Assumptions!#REF!*'1.Revenue'!BU19)+(BU10*Assumptions!$C$24*'1.Revenue'!BU20)+(BU10*Assumptions!$C$25*'1.Revenue'!BU21)</f>
        <v>#REF!</v>
      </c>
      <c r="BV26" s="670" t="e">
        <f>(BV10*Assumptions!$C$23*'1.Revenue'!BV18)+(BV10*Assumptions!#REF!*'1.Revenue'!BV19)+(BV10*Assumptions!$C$24*'1.Revenue'!BV20)+(BV10*Assumptions!$C$25*'1.Revenue'!BV21)</f>
        <v>#REF!</v>
      </c>
      <c r="BW26" s="670" t="e">
        <f>(BW10*Assumptions!$C$23*'1.Revenue'!BW18)+(BW10*Assumptions!#REF!*'1.Revenue'!BW19)+(BW10*Assumptions!$C$24*'1.Revenue'!BW20)+(BW10*Assumptions!$C$25*'1.Revenue'!BW21)</f>
        <v>#REF!</v>
      </c>
      <c r="BX26" s="677" t="e">
        <f>(BX10*Assumptions!$C$23*'1.Revenue'!BX18)+(BX10*Assumptions!#REF!*'1.Revenue'!BX19)+(BX10*Assumptions!$C$24*'1.Revenue'!BX20)+(BX10*Assumptions!$C$25*'1.Revenue'!BX21)</f>
        <v>#REF!</v>
      </c>
      <c r="BY26" s="387" t="e">
        <f>(BY10*Assumptions!$C$23*'1.Revenue'!BY18)+(BY10*Assumptions!#REF!*'1.Revenue'!BY19)+(BY10*Assumptions!$C$24*'1.Revenue'!BY20)+(BY10*Assumptions!$C$25*'1.Revenue'!BY21)</f>
        <v>#REF!</v>
      </c>
      <c r="BZ26" s="670" t="e">
        <f>(BZ10*Assumptions!$C$23*'1.Revenue'!BZ18)+(BZ10*Assumptions!#REF!*'1.Revenue'!BZ19)+(BZ10*Assumptions!$C$24*'1.Revenue'!BZ20)+(BZ10*Assumptions!$C$25*'1.Revenue'!BZ21)</f>
        <v>#REF!</v>
      </c>
      <c r="CA26" s="670" t="e">
        <f>(CA10*Assumptions!$C$23*'1.Revenue'!CA18)+(CA10*Assumptions!#REF!*'1.Revenue'!CA19)+(CA10*Assumptions!$C$24*'1.Revenue'!CA20)+(CA10*Assumptions!$C$25*'1.Revenue'!CA21)</f>
        <v>#REF!</v>
      </c>
      <c r="CB26" s="670" t="e">
        <f>(CB10*Assumptions!$C$23*'1.Revenue'!CB18)+(CB10*Assumptions!#REF!*'1.Revenue'!CB19)+(CB10*Assumptions!$C$24*'1.Revenue'!CB20)+(CB10*Assumptions!$C$25*'1.Revenue'!CB21)</f>
        <v>#REF!</v>
      </c>
      <c r="CC26" s="670" t="e">
        <f>(CC10*Assumptions!$C$23*'1.Revenue'!CC18)+(CC10*Assumptions!#REF!*'1.Revenue'!CC19)+(CC10*Assumptions!$C$24*'1.Revenue'!CC20)+(CC10*Assumptions!$C$25*'1.Revenue'!CC21)</f>
        <v>#REF!</v>
      </c>
      <c r="CD26" s="670" t="e">
        <f>(CD10*Assumptions!$C$23*'1.Revenue'!CD18)+(CD10*Assumptions!#REF!*'1.Revenue'!CD19)+(CD10*Assumptions!$C$24*'1.Revenue'!CD20)+(CD10*Assumptions!$C$25*'1.Revenue'!CD21)</f>
        <v>#REF!</v>
      </c>
      <c r="CE26" s="670" t="e">
        <f>(CE10*Assumptions!$C$23*'1.Revenue'!CE18)+(CE10*Assumptions!#REF!*'1.Revenue'!CE19)+(CE10*Assumptions!$C$24*'1.Revenue'!CE20)+(CE10*Assumptions!$C$25*'1.Revenue'!CE21)</f>
        <v>#REF!</v>
      </c>
      <c r="CF26" s="670" t="e">
        <f>(CF10*Assumptions!$C$23*'1.Revenue'!CF18)+(CF10*Assumptions!#REF!*'1.Revenue'!CF19)+(CF10*Assumptions!$C$24*'1.Revenue'!CF20)+(CF10*Assumptions!$C$25*'1.Revenue'!CF21)</f>
        <v>#REF!</v>
      </c>
      <c r="CG26" s="670" t="e">
        <f>(CG10*Assumptions!$C$23*'1.Revenue'!CG18)+(CG10*Assumptions!#REF!*'1.Revenue'!CG19)+(CG10*Assumptions!$C$24*'1.Revenue'!CG20)+(CG10*Assumptions!$C$25*'1.Revenue'!CG21)</f>
        <v>#REF!</v>
      </c>
      <c r="CH26" s="670" t="e">
        <f>(CH10*Assumptions!$C$23*'1.Revenue'!CH18)+(CH10*Assumptions!#REF!*'1.Revenue'!CH19)+(CH10*Assumptions!$C$24*'1.Revenue'!CH20)+(CH10*Assumptions!$C$25*'1.Revenue'!CH21)</f>
        <v>#REF!</v>
      </c>
      <c r="CI26" s="670" t="e">
        <f>(CI10*Assumptions!$C$23*'1.Revenue'!CI18)+(CI10*Assumptions!#REF!*'1.Revenue'!CI19)+(CI10*Assumptions!$C$24*'1.Revenue'!CI20)+(CI10*Assumptions!$C$25*'1.Revenue'!CI21)</f>
        <v>#REF!</v>
      </c>
      <c r="CJ26" s="677" t="e">
        <f>(CJ10*Assumptions!$C$23*'1.Revenue'!CJ18)+(CJ10*Assumptions!#REF!*'1.Revenue'!CJ19)+(CJ10*Assumptions!$C$24*'1.Revenue'!CJ20)+(CJ10*Assumptions!$C$25*'1.Revenue'!CJ21)</f>
        <v>#REF!</v>
      </c>
      <c r="CK26" s="387" t="e">
        <f>(CK10*Assumptions!$C$23*'1.Revenue'!CK18)+(CK10*Assumptions!#REF!*'1.Revenue'!CK19)+(CK10*Assumptions!$C$24*'1.Revenue'!CK20)+(CK10*Assumptions!$C$25*'1.Revenue'!CK21)</f>
        <v>#REF!</v>
      </c>
      <c r="CL26" s="670" t="e">
        <f>(CL10*Assumptions!$C$23*'1.Revenue'!CL18)+(CL10*Assumptions!#REF!*'1.Revenue'!CL19)+(CL10*Assumptions!$C$24*'1.Revenue'!CL20)+(CL10*Assumptions!$C$25*'1.Revenue'!CL21)</f>
        <v>#REF!</v>
      </c>
      <c r="CM26" s="670" t="e">
        <f>(CM10*Assumptions!$C$23*'1.Revenue'!CM18)+(CM10*Assumptions!#REF!*'1.Revenue'!CM19)+(CM10*Assumptions!$C$24*'1.Revenue'!CM20)+(CM10*Assumptions!$C$25*'1.Revenue'!CM21)</f>
        <v>#REF!</v>
      </c>
      <c r="CN26" s="670" t="e">
        <f>(CN10*Assumptions!$C$23*'1.Revenue'!CN18)+(CN10*Assumptions!#REF!*'1.Revenue'!CN19)+(CN10*Assumptions!$C$24*'1.Revenue'!CN20)+(CN10*Assumptions!$C$25*'1.Revenue'!CN21)</f>
        <v>#REF!</v>
      </c>
      <c r="CO26" s="670" t="e">
        <f>(CO10*Assumptions!$C$23*'1.Revenue'!CO18)+(CO10*Assumptions!#REF!*'1.Revenue'!CO19)+(CO10*Assumptions!$C$24*'1.Revenue'!CO20)+(CO10*Assumptions!$C$25*'1.Revenue'!CO21)</f>
        <v>#REF!</v>
      </c>
      <c r="CP26" s="670" t="e">
        <f>(CP10*Assumptions!$C$23*'1.Revenue'!CP18)+(CP10*Assumptions!#REF!*'1.Revenue'!CP19)+(CP10*Assumptions!$C$24*'1.Revenue'!CP20)+(CP10*Assumptions!$C$25*'1.Revenue'!CP21)</f>
        <v>#REF!</v>
      </c>
      <c r="CQ26" s="670" t="e">
        <f>(CQ10*Assumptions!$C$23*'1.Revenue'!CQ18)+(CQ10*Assumptions!#REF!*'1.Revenue'!CQ19)+(CQ10*Assumptions!$C$24*'1.Revenue'!CQ20)+(CQ10*Assumptions!$C$25*'1.Revenue'!CQ21)</f>
        <v>#REF!</v>
      </c>
      <c r="CR26" s="670" t="e">
        <f>(CR10*Assumptions!$C$23*'1.Revenue'!CR18)+(CR10*Assumptions!#REF!*'1.Revenue'!CR19)+(CR10*Assumptions!$C$24*'1.Revenue'!CR20)+(CR10*Assumptions!$C$25*'1.Revenue'!CR21)</f>
        <v>#REF!</v>
      </c>
      <c r="CS26" s="670" t="e">
        <f>(CS10*Assumptions!$C$23*'1.Revenue'!CS18)+(CS10*Assumptions!#REF!*'1.Revenue'!CS19)+(CS10*Assumptions!$C$24*'1.Revenue'!CS20)+(CS10*Assumptions!$C$25*'1.Revenue'!CS21)</f>
        <v>#REF!</v>
      </c>
      <c r="CT26" s="670" t="e">
        <f>(CT10*Assumptions!$C$23*'1.Revenue'!CT18)+(CT10*Assumptions!#REF!*'1.Revenue'!CT19)+(CT10*Assumptions!$C$24*'1.Revenue'!CT20)+(CT10*Assumptions!$C$25*'1.Revenue'!CT21)</f>
        <v>#REF!</v>
      </c>
      <c r="CU26" s="670" t="e">
        <f>(CU10*Assumptions!$C$23*'1.Revenue'!CU18)+(CU10*Assumptions!#REF!*'1.Revenue'!CU19)+(CU10*Assumptions!$C$24*'1.Revenue'!CU20)+(CU10*Assumptions!$C$25*'1.Revenue'!CU21)</f>
        <v>#REF!</v>
      </c>
      <c r="CV26" s="677" t="e">
        <f>(CV10*Assumptions!$C$23*'1.Revenue'!CV18)+(CV10*Assumptions!#REF!*'1.Revenue'!CV19)+(CV10*Assumptions!$C$24*'1.Revenue'!CV20)+(CV10*Assumptions!$C$25*'1.Revenue'!CV21)</f>
        <v>#REF!</v>
      </c>
      <c r="CW26" s="387" t="e">
        <f>(CW10*Assumptions!$C$23*'1.Revenue'!CW18)+(CW10*Assumptions!#REF!*'1.Revenue'!CW19)+(CW10*Assumptions!$C$24*'1.Revenue'!CW20)+(CW10*Assumptions!$C$25*'1.Revenue'!CW21)</f>
        <v>#REF!</v>
      </c>
      <c r="CX26" s="670" t="e">
        <f>(CX10*Assumptions!$C$23*'1.Revenue'!CX18)+(CX10*Assumptions!#REF!*'1.Revenue'!CX19)+(CX10*Assumptions!$C$24*'1.Revenue'!CX20)+(CX10*Assumptions!$C$25*'1.Revenue'!CX21)</f>
        <v>#REF!</v>
      </c>
      <c r="CY26" s="670" t="e">
        <f>(CY10*Assumptions!$C$23*'1.Revenue'!CY18)+(CY10*Assumptions!#REF!*'1.Revenue'!CY19)+(CY10*Assumptions!$C$24*'1.Revenue'!CY20)+(CY10*Assumptions!$C$25*'1.Revenue'!CY21)</f>
        <v>#REF!</v>
      </c>
      <c r="CZ26" s="670" t="e">
        <f>(CZ10*Assumptions!$C$23*'1.Revenue'!CZ18)+(CZ10*Assumptions!#REF!*'1.Revenue'!CZ19)+(CZ10*Assumptions!$C$24*'1.Revenue'!CZ20)+(CZ10*Assumptions!$C$25*'1.Revenue'!CZ21)</f>
        <v>#REF!</v>
      </c>
      <c r="DA26" s="670" t="e">
        <f>(DA10*Assumptions!$C$23*'1.Revenue'!DA18)+(DA10*Assumptions!#REF!*'1.Revenue'!DA19)+(DA10*Assumptions!$C$24*'1.Revenue'!DA20)+(DA10*Assumptions!$C$25*'1.Revenue'!DA21)</f>
        <v>#REF!</v>
      </c>
      <c r="DB26" s="670" t="e">
        <f>(DB10*Assumptions!$C$23*'1.Revenue'!DB18)+(DB10*Assumptions!#REF!*'1.Revenue'!DB19)+(DB10*Assumptions!$C$24*'1.Revenue'!DB20)+(DB10*Assumptions!$C$25*'1.Revenue'!DB21)</f>
        <v>#REF!</v>
      </c>
      <c r="DC26" s="670" t="e">
        <f>(DC10*Assumptions!$C$23*'1.Revenue'!DC18)+(DC10*Assumptions!#REF!*'1.Revenue'!DC19)+(DC10*Assumptions!$C$24*'1.Revenue'!DC20)+(DC10*Assumptions!$C$25*'1.Revenue'!DC21)</f>
        <v>#REF!</v>
      </c>
      <c r="DD26" s="670" t="e">
        <f>(DD10*Assumptions!$C$23*'1.Revenue'!DD18)+(DD10*Assumptions!#REF!*'1.Revenue'!DD19)+(DD10*Assumptions!$C$24*'1.Revenue'!DD20)+(DD10*Assumptions!$C$25*'1.Revenue'!DD21)</f>
        <v>#REF!</v>
      </c>
      <c r="DE26" s="670" t="e">
        <f>(DE10*Assumptions!$C$23*'1.Revenue'!DE18)+(DE10*Assumptions!#REF!*'1.Revenue'!DE19)+(DE10*Assumptions!$C$24*'1.Revenue'!DE20)+(DE10*Assumptions!$C$25*'1.Revenue'!DE21)</f>
        <v>#REF!</v>
      </c>
      <c r="DF26" s="670" t="e">
        <f>(DF10*Assumptions!$C$23*'1.Revenue'!DF18)+(DF10*Assumptions!#REF!*'1.Revenue'!DF19)+(DF10*Assumptions!$C$24*'1.Revenue'!DF20)+(DF10*Assumptions!$C$25*'1.Revenue'!DF21)</f>
        <v>#REF!</v>
      </c>
      <c r="DG26" s="670" t="e">
        <f>(DG10*Assumptions!$C$23*'1.Revenue'!DG18)+(DG10*Assumptions!#REF!*'1.Revenue'!DG19)+(DG10*Assumptions!$C$24*'1.Revenue'!DG20)+(DG10*Assumptions!$C$25*'1.Revenue'!DG21)</f>
        <v>#REF!</v>
      </c>
      <c r="DH26" s="677" t="e">
        <f>(DH10*Assumptions!$C$23*'1.Revenue'!DH18)+(DH10*Assumptions!#REF!*'1.Revenue'!DH19)+(DH10*Assumptions!$C$24*'1.Revenue'!DH20)+(DH10*Assumptions!$C$25*'1.Revenue'!DH21)</f>
        <v>#REF!</v>
      </c>
      <c r="DI26" s="387" t="e">
        <f>(DI10*Assumptions!$C$23*'1.Revenue'!DI18)+(DI10*Assumptions!#REF!*'1.Revenue'!DI19)+(DI10*Assumptions!$C$24*'1.Revenue'!DI20)+(DI10*Assumptions!$C$25*'1.Revenue'!DI21)</f>
        <v>#REF!</v>
      </c>
      <c r="DJ26" s="670" t="e">
        <f>(DJ10*Assumptions!$C$23*'1.Revenue'!DJ18)+(DJ10*Assumptions!#REF!*'1.Revenue'!DJ19)+(DJ10*Assumptions!$C$24*'1.Revenue'!DJ20)+(DJ10*Assumptions!$C$25*'1.Revenue'!DJ21)</f>
        <v>#REF!</v>
      </c>
      <c r="DK26" s="670" t="e">
        <f>(DK10*Assumptions!$C$23*'1.Revenue'!DK18)+(DK10*Assumptions!#REF!*'1.Revenue'!DK19)+(DK10*Assumptions!$C$24*'1.Revenue'!DK20)+(DK10*Assumptions!$C$25*'1.Revenue'!DK21)</f>
        <v>#REF!</v>
      </c>
      <c r="DL26" s="670" t="e">
        <f>(DL10*Assumptions!$C$23*'1.Revenue'!DL18)+(DL10*Assumptions!#REF!*'1.Revenue'!DL19)+(DL10*Assumptions!$C$24*'1.Revenue'!DL20)+(DL10*Assumptions!$C$25*'1.Revenue'!DL21)</f>
        <v>#REF!</v>
      </c>
      <c r="DM26" s="670" t="e">
        <f>(DM10*Assumptions!$C$23*'1.Revenue'!DM18)+(DM10*Assumptions!#REF!*'1.Revenue'!DM19)+(DM10*Assumptions!$C$24*'1.Revenue'!DM20)+(DM10*Assumptions!$C$25*'1.Revenue'!DM21)</f>
        <v>#REF!</v>
      </c>
      <c r="DN26" s="670" t="e">
        <f>(DN10*Assumptions!$C$23*'1.Revenue'!DN18)+(DN10*Assumptions!#REF!*'1.Revenue'!DN19)+(DN10*Assumptions!$C$24*'1.Revenue'!DN20)+(DN10*Assumptions!$C$25*'1.Revenue'!DN21)</f>
        <v>#REF!</v>
      </c>
      <c r="DO26" s="670" t="e">
        <f>(DO10*Assumptions!$C$23*'1.Revenue'!DO18)+(DO10*Assumptions!#REF!*'1.Revenue'!DO19)+(DO10*Assumptions!$C$24*'1.Revenue'!DO20)+(DO10*Assumptions!$C$25*'1.Revenue'!DO21)</f>
        <v>#REF!</v>
      </c>
      <c r="DP26" s="670" t="e">
        <f>(DP10*Assumptions!$C$23*'1.Revenue'!DP18)+(DP10*Assumptions!#REF!*'1.Revenue'!DP19)+(DP10*Assumptions!$C$24*'1.Revenue'!DP20)+(DP10*Assumptions!$C$25*'1.Revenue'!DP21)</f>
        <v>#REF!</v>
      </c>
      <c r="DQ26" s="670" t="e">
        <f>(DQ10*Assumptions!$C$23*'1.Revenue'!DQ18)+(DQ10*Assumptions!#REF!*'1.Revenue'!DQ19)+(DQ10*Assumptions!$C$24*'1.Revenue'!DQ20)+(DQ10*Assumptions!$C$25*'1.Revenue'!DQ21)</f>
        <v>#REF!</v>
      </c>
      <c r="DR26" s="670" t="e">
        <f>(DR10*Assumptions!$C$23*'1.Revenue'!DR18)+(DR10*Assumptions!#REF!*'1.Revenue'!DR19)+(DR10*Assumptions!$C$24*'1.Revenue'!DR20)+(DR10*Assumptions!$C$25*'1.Revenue'!DR21)</f>
        <v>#REF!</v>
      </c>
      <c r="DS26" s="670" t="e">
        <f>(DS10*Assumptions!$C$23*'1.Revenue'!DS18)+(DS10*Assumptions!#REF!*'1.Revenue'!DS19)+(DS10*Assumptions!$C$24*'1.Revenue'!DS20)+(DS10*Assumptions!$C$25*'1.Revenue'!DS21)</f>
        <v>#REF!</v>
      </c>
      <c r="DT26" s="677" t="e">
        <f>(DT10*Assumptions!$C$23*'1.Revenue'!DT18)+(DT10*Assumptions!#REF!*'1.Revenue'!DT19)+(DT10*Assumptions!$C$24*'1.Revenue'!DT20)+(DT10*Assumptions!$C$25*'1.Revenue'!DT21)</f>
        <v>#REF!</v>
      </c>
    </row>
    <row r="27" spans="1:124" ht="16.5" x14ac:dyDescent="0.3">
      <c r="A27" s="164"/>
      <c r="B27" s="161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9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94"/>
      <c r="AC27" s="1254"/>
      <c r="AD27" s="685"/>
      <c r="AE27" s="684"/>
      <c r="AF27" s="684"/>
      <c r="AG27" s="684"/>
      <c r="AH27" s="684"/>
      <c r="AI27" s="684"/>
      <c r="AJ27" s="684"/>
      <c r="AK27" s="684"/>
      <c r="AL27" s="684"/>
      <c r="AM27" s="684"/>
      <c r="AN27" s="694"/>
      <c r="AO27" s="684"/>
      <c r="AP27" s="684"/>
      <c r="AQ27" s="684"/>
      <c r="AR27" s="684"/>
      <c r="AS27" s="684"/>
      <c r="AT27" s="684"/>
      <c r="AU27" s="684"/>
      <c r="AV27" s="684"/>
      <c r="AW27" s="684"/>
      <c r="AX27" s="684"/>
      <c r="AY27" s="684"/>
      <c r="AZ27" s="694"/>
      <c r="BA27" s="684"/>
      <c r="BB27" s="684"/>
      <c r="BC27" s="684"/>
      <c r="BD27" s="684"/>
      <c r="BE27" s="684"/>
      <c r="BF27" s="684"/>
      <c r="BG27" s="684"/>
      <c r="BH27" s="684"/>
      <c r="BI27" s="684"/>
      <c r="BJ27" s="684"/>
      <c r="BK27" s="684"/>
      <c r="BL27" s="694"/>
      <c r="BM27" s="684"/>
      <c r="BN27" s="684"/>
      <c r="BO27" s="684"/>
      <c r="BP27" s="684"/>
      <c r="BQ27" s="684"/>
      <c r="BR27" s="684"/>
      <c r="BS27" s="684"/>
      <c r="BT27" s="684"/>
      <c r="BU27" s="684"/>
      <c r="BV27" s="684"/>
      <c r="BW27" s="684"/>
      <c r="BX27" s="694"/>
      <c r="BY27" s="684"/>
      <c r="BZ27" s="684"/>
      <c r="CA27" s="684"/>
      <c r="CB27" s="684"/>
      <c r="CC27" s="684"/>
      <c r="CD27" s="684"/>
      <c r="CE27" s="684"/>
      <c r="CF27" s="684"/>
      <c r="CG27" s="684"/>
      <c r="CH27" s="684"/>
      <c r="CI27" s="684"/>
      <c r="CJ27" s="694"/>
      <c r="CK27" s="684"/>
      <c r="CL27" s="684"/>
      <c r="CM27" s="684"/>
      <c r="CN27" s="684"/>
      <c r="CO27" s="684"/>
      <c r="CP27" s="684"/>
      <c r="CQ27" s="684"/>
      <c r="CR27" s="684"/>
      <c r="CS27" s="684"/>
      <c r="CT27" s="684"/>
      <c r="CU27" s="684"/>
      <c r="CV27" s="694"/>
      <c r="CW27" s="684"/>
      <c r="CX27" s="684"/>
      <c r="CY27" s="684"/>
      <c r="CZ27" s="684"/>
      <c r="DA27" s="684"/>
      <c r="DB27" s="684"/>
      <c r="DC27" s="684"/>
      <c r="DD27" s="684"/>
      <c r="DE27" s="684"/>
      <c r="DF27" s="684"/>
      <c r="DG27" s="684"/>
      <c r="DH27" s="694"/>
      <c r="DI27" s="684"/>
      <c r="DJ27" s="684"/>
      <c r="DK27" s="684"/>
      <c r="DL27" s="684"/>
      <c r="DM27" s="684"/>
      <c r="DN27" s="684"/>
      <c r="DO27" s="684"/>
      <c r="DP27" s="684"/>
      <c r="DQ27" s="684"/>
      <c r="DR27" s="684"/>
      <c r="DS27" s="684"/>
      <c r="DT27" s="694"/>
    </row>
    <row r="28" spans="1:124" ht="18.75" x14ac:dyDescent="0.3">
      <c r="B28" s="159" t="s">
        <v>135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0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507"/>
      <c r="AC28" s="1249"/>
      <c r="AD28" s="198"/>
      <c r="AE28" s="887"/>
      <c r="AF28" s="887"/>
      <c r="AG28" s="887"/>
      <c r="AH28" s="887"/>
      <c r="AI28" s="887"/>
      <c r="AJ28" s="887"/>
      <c r="AK28" s="887"/>
      <c r="AL28" s="887"/>
      <c r="AM28" s="887"/>
      <c r="AN28" s="842"/>
      <c r="AO28" s="887"/>
      <c r="AP28" s="887"/>
      <c r="AQ28" s="887"/>
      <c r="AR28" s="887"/>
      <c r="AS28" s="887"/>
      <c r="AT28" s="887"/>
      <c r="AU28" s="887"/>
      <c r="AV28" s="887"/>
      <c r="AW28" s="887"/>
      <c r="AX28" s="887"/>
      <c r="AY28" s="887"/>
      <c r="AZ28" s="842"/>
      <c r="BA28" s="887"/>
      <c r="BB28" s="887"/>
      <c r="BC28" s="887"/>
      <c r="BD28" s="887"/>
      <c r="BE28" s="887"/>
      <c r="BF28" s="887"/>
      <c r="BG28" s="887"/>
      <c r="BH28" s="887"/>
      <c r="BI28" s="887"/>
      <c r="BJ28" s="887"/>
      <c r="BK28" s="887"/>
      <c r="BL28" s="842"/>
      <c r="BM28" s="887"/>
      <c r="BN28" s="887"/>
      <c r="BO28" s="887"/>
      <c r="BP28" s="887"/>
      <c r="BQ28" s="887"/>
      <c r="BR28" s="887"/>
      <c r="BS28" s="887"/>
      <c r="BT28" s="887"/>
      <c r="BU28" s="887"/>
      <c r="BV28" s="887"/>
      <c r="BW28" s="887"/>
      <c r="BX28" s="842"/>
      <c r="BY28" s="887"/>
      <c r="BZ28" s="887"/>
      <c r="CA28" s="887"/>
      <c r="CB28" s="887"/>
      <c r="CC28" s="887"/>
      <c r="CD28" s="887"/>
      <c r="CE28" s="887"/>
      <c r="CF28" s="887"/>
      <c r="CG28" s="887"/>
      <c r="CH28" s="887"/>
      <c r="CI28" s="887"/>
      <c r="CJ28" s="842"/>
      <c r="CK28" s="887"/>
      <c r="CL28" s="887"/>
      <c r="CM28" s="887"/>
      <c r="CN28" s="887"/>
      <c r="CO28" s="887"/>
      <c r="CP28" s="887"/>
      <c r="CQ28" s="887"/>
      <c r="CR28" s="887"/>
      <c r="CS28" s="887"/>
      <c r="CT28" s="887"/>
      <c r="CU28" s="887"/>
      <c r="CV28" s="842"/>
      <c r="CW28" s="887"/>
      <c r="CX28" s="887"/>
      <c r="CY28" s="887"/>
      <c r="CZ28" s="887"/>
      <c r="DA28" s="887"/>
      <c r="DB28" s="887"/>
      <c r="DC28" s="887"/>
      <c r="DD28" s="887"/>
      <c r="DE28" s="887"/>
      <c r="DF28" s="887"/>
      <c r="DG28" s="887"/>
      <c r="DH28" s="842"/>
      <c r="DI28" s="887"/>
      <c r="DJ28" s="887"/>
      <c r="DK28" s="887"/>
      <c r="DL28" s="887"/>
      <c r="DM28" s="887"/>
      <c r="DN28" s="887"/>
      <c r="DO28" s="887"/>
      <c r="DP28" s="887"/>
      <c r="DQ28" s="887"/>
      <c r="DR28" s="887"/>
      <c r="DS28" s="887"/>
      <c r="DT28" s="842"/>
    </row>
    <row r="29" spans="1:124" ht="15" x14ac:dyDescent="0.25">
      <c r="B29" s="247" t="s">
        <v>305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535"/>
      <c r="Q29" s="107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8"/>
      <c r="AC29" s="483"/>
      <c r="AD29" s="106">
        <f t="shared" ref="AD29:AH29" si="0">AC25</f>
        <v>0</v>
      </c>
      <c r="AE29" s="106">
        <f t="shared" si="0"/>
        <v>0</v>
      </c>
      <c r="AF29" s="106">
        <f t="shared" si="0"/>
        <v>0</v>
      </c>
      <c r="AG29" s="106">
        <f t="shared" si="0"/>
        <v>0</v>
      </c>
      <c r="AH29" s="106">
        <f t="shared" si="0"/>
        <v>0</v>
      </c>
      <c r="AI29" s="106">
        <f>AH25</f>
        <v>0</v>
      </c>
      <c r="AJ29" s="106">
        <f t="shared" ref="AJ29:CU29" si="1">AI25</f>
        <v>0</v>
      </c>
      <c r="AK29" s="106">
        <f t="shared" si="1"/>
        <v>0</v>
      </c>
      <c r="AL29" s="106">
        <f t="shared" si="1"/>
        <v>0</v>
      </c>
      <c r="AM29" s="106">
        <f t="shared" si="1"/>
        <v>3267700.3772194642</v>
      </c>
      <c r="AN29" s="108">
        <f t="shared" si="1"/>
        <v>3646429.7786309803</v>
      </c>
      <c r="AO29" s="107">
        <f t="shared" si="1"/>
        <v>3208589.6299624974</v>
      </c>
      <c r="AP29" s="106">
        <f t="shared" si="1"/>
        <v>3554456.6224380853</v>
      </c>
      <c r="AQ29" s="106">
        <f t="shared" si="1"/>
        <v>3966421.3295893148</v>
      </c>
      <c r="AR29" s="106">
        <f t="shared" si="1"/>
        <v>3477223.3551709107</v>
      </c>
      <c r="AS29" s="106">
        <f t="shared" si="1"/>
        <v>3613363.6858760333</v>
      </c>
      <c r="AT29" s="106">
        <f t="shared" si="1"/>
        <v>4017917.2800960834</v>
      </c>
      <c r="AU29" s="106">
        <f t="shared" si="1"/>
        <v>3535471.2695999169</v>
      </c>
      <c r="AV29" s="106">
        <f t="shared" si="1"/>
        <v>3542760.1789279147</v>
      </c>
      <c r="AW29" s="106">
        <f t="shared" si="1"/>
        <v>3939408.9772338294</v>
      </c>
      <c r="AX29" s="106">
        <f t="shared" si="1"/>
        <v>3466389.7455552244</v>
      </c>
      <c r="AY29" s="106">
        <f t="shared" si="1"/>
        <v>3473565.5009842901</v>
      </c>
      <c r="AZ29" s="108">
        <f t="shared" si="1"/>
        <v>3876154.8546847315</v>
      </c>
      <c r="BA29" s="107">
        <f t="shared" si="1"/>
        <v>3410730.7766501345</v>
      </c>
      <c r="BB29" s="106">
        <f t="shared" si="1"/>
        <v>3778387.3896516841</v>
      </c>
      <c r="BC29" s="106">
        <f t="shared" si="1"/>
        <v>4216305.8733534412</v>
      </c>
      <c r="BD29" s="106">
        <f t="shared" si="1"/>
        <v>3696288.4265466775</v>
      </c>
      <c r="BE29" s="106">
        <f t="shared" si="1"/>
        <v>3841005.5980862225</v>
      </c>
      <c r="BF29" s="106">
        <f t="shared" si="1"/>
        <v>4271046.0687421355</v>
      </c>
      <c r="BG29" s="106">
        <f t="shared" si="1"/>
        <v>3758205.9595847111</v>
      </c>
      <c r="BH29" s="106">
        <f t="shared" si="1"/>
        <v>3765954.0702003725</v>
      </c>
      <c r="BI29" s="106">
        <f t="shared" si="1"/>
        <v>4187591.7427995601</v>
      </c>
      <c r="BJ29" s="106">
        <f t="shared" si="1"/>
        <v>3684772.2995252027</v>
      </c>
      <c r="BK29" s="106">
        <f t="shared" si="1"/>
        <v>3692400.1275462997</v>
      </c>
      <c r="BL29" s="108">
        <f t="shared" si="1"/>
        <v>4120352.6105298689</v>
      </c>
      <c r="BM29" s="107">
        <f t="shared" si="1"/>
        <v>3625606.8155790921</v>
      </c>
      <c r="BN29" s="106">
        <f t="shared" si="1"/>
        <v>4016425.7951997407</v>
      </c>
      <c r="BO29" s="106">
        <f t="shared" si="1"/>
        <v>4481933.1433747075</v>
      </c>
      <c r="BP29" s="106">
        <f t="shared" si="1"/>
        <v>3929154.5974191185</v>
      </c>
      <c r="BQ29" s="106">
        <f t="shared" si="1"/>
        <v>4082988.9507656549</v>
      </c>
      <c r="BR29" s="106">
        <f t="shared" si="1"/>
        <v>4540121.9710728908</v>
      </c>
      <c r="BS29" s="106">
        <f t="shared" si="1"/>
        <v>3994972.9350385484</v>
      </c>
      <c r="BT29" s="106">
        <f t="shared" si="1"/>
        <v>4003209.1766229961</v>
      </c>
      <c r="BU29" s="106">
        <f t="shared" si="1"/>
        <v>4451410.0225959327</v>
      </c>
      <c r="BV29" s="106">
        <f t="shared" si="1"/>
        <v>3916912.9543952909</v>
      </c>
      <c r="BW29" s="106">
        <f t="shared" si="1"/>
        <v>3925021.3355817166</v>
      </c>
      <c r="BX29" s="108">
        <f t="shared" si="1"/>
        <v>4379934.8249932509</v>
      </c>
      <c r="BY29" s="107">
        <f t="shared" si="1"/>
        <v>3854020.0449605752</v>
      </c>
      <c r="BZ29" s="106">
        <f t="shared" si="1"/>
        <v>4269460.6202973239</v>
      </c>
      <c r="CA29" s="106">
        <f t="shared" si="1"/>
        <v>4764294.9314073147</v>
      </c>
      <c r="CB29" s="106">
        <f t="shared" si="1"/>
        <v>4176691.3370565232</v>
      </c>
      <c r="CC29" s="106">
        <f t="shared" si="1"/>
        <v>4340217.2546638912</v>
      </c>
      <c r="CD29" s="106">
        <f t="shared" si="1"/>
        <v>4826149.6552504832</v>
      </c>
      <c r="CE29" s="106">
        <f t="shared" si="1"/>
        <v>4246656.2299459772</v>
      </c>
      <c r="CF29" s="106">
        <f t="shared" si="1"/>
        <v>4255411.3547502449</v>
      </c>
      <c r="CG29" s="106">
        <f t="shared" si="1"/>
        <v>4731848.854019477</v>
      </c>
      <c r="CH29" s="106">
        <f t="shared" si="1"/>
        <v>4163678.4705221942</v>
      </c>
      <c r="CI29" s="106">
        <f t="shared" si="1"/>
        <v>4172297.6797233648</v>
      </c>
      <c r="CJ29" s="108">
        <f t="shared" si="1"/>
        <v>4655870.7189678261</v>
      </c>
      <c r="CK29" s="107">
        <f t="shared" si="1"/>
        <v>4096823.3077930915</v>
      </c>
      <c r="CL29" s="106">
        <f t="shared" si="1"/>
        <v>4538436.6393760554</v>
      </c>
      <c r="CM29" s="106">
        <f t="shared" si="1"/>
        <v>5064445.5120859742</v>
      </c>
      <c r="CN29" s="106">
        <f t="shared" si="1"/>
        <v>4439822.8912910838</v>
      </c>
      <c r="CO29" s="106">
        <f t="shared" si="1"/>
        <v>4613650.9417077154</v>
      </c>
      <c r="CP29" s="106">
        <f t="shared" si="1"/>
        <v>5130197.0835312624</v>
      </c>
      <c r="CQ29" s="106">
        <f t="shared" si="1"/>
        <v>4514195.572432573</v>
      </c>
      <c r="CR29" s="106">
        <f t="shared" si="1"/>
        <v>4523502.2700995095</v>
      </c>
      <c r="CS29" s="106">
        <f t="shared" si="1"/>
        <v>5029955.3318227027</v>
      </c>
      <c r="CT29" s="106">
        <f t="shared" si="1"/>
        <v>4425990.2141650915</v>
      </c>
      <c r="CU29" s="106">
        <f t="shared" si="1"/>
        <v>4435152.4335459359</v>
      </c>
      <c r="CV29" s="108">
        <f t="shared" ref="CV29:DT29" si="2">CU25</f>
        <v>4949190.5742627978</v>
      </c>
      <c r="CW29" s="107">
        <f t="shared" si="2"/>
        <v>4354923.1761840554</v>
      </c>
      <c r="CX29" s="106">
        <f t="shared" si="2"/>
        <v>4824358.1476567471</v>
      </c>
      <c r="CY29" s="106">
        <f t="shared" si="2"/>
        <v>5383505.5793473916</v>
      </c>
      <c r="CZ29" s="106">
        <f t="shared" si="2"/>
        <v>4719531.733442422</v>
      </c>
      <c r="DA29" s="106">
        <f t="shared" si="2"/>
        <v>4904310.9510353021</v>
      </c>
      <c r="DB29" s="106">
        <f t="shared" si="2"/>
        <v>5453399.4997937325</v>
      </c>
      <c r="DC29" s="106">
        <f t="shared" si="2"/>
        <v>4798589.8934958251</v>
      </c>
      <c r="DD29" s="106">
        <f t="shared" si="2"/>
        <v>4808482.9131157789</v>
      </c>
      <c r="DE29" s="106">
        <f t="shared" si="2"/>
        <v>5346842.5177275334</v>
      </c>
      <c r="DF29" s="106">
        <f t="shared" si="2"/>
        <v>4704827.5976574933</v>
      </c>
      <c r="DG29" s="106">
        <f t="shared" si="2"/>
        <v>4714567.0368593307</v>
      </c>
      <c r="DH29" s="108">
        <f t="shared" si="2"/>
        <v>5260989.5804413548</v>
      </c>
      <c r="DI29" s="107">
        <f t="shared" si="2"/>
        <v>4629283.3362836512</v>
      </c>
      <c r="DJ29" s="106">
        <f t="shared" si="2"/>
        <v>5128292.7109591207</v>
      </c>
      <c r="DK29" s="106">
        <f t="shared" si="2"/>
        <v>5722666.4308462758</v>
      </c>
      <c r="DL29" s="106">
        <f t="shared" si="2"/>
        <v>5016862.2326492937</v>
      </c>
      <c r="DM29" s="106">
        <f t="shared" si="2"/>
        <v>5213282.5409505256</v>
      </c>
      <c r="DN29" s="106">
        <f t="shared" si="2"/>
        <v>5796963.6682807365</v>
      </c>
      <c r="DO29" s="106">
        <f t="shared" si="2"/>
        <v>5100901.0567860613</v>
      </c>
      <c r="DP29" s="106">
        <f t="shared" si="2"/>
        <v>5111417.3366420725</v>
      </c>
      <c r="DQ29" s="106">
        <f t="shared" si="2"/>
        <v>5683693.5963443676</v>
      </c>
      <c r="DR29" s="106">
        <f t="shared" si="2"/>
        <v>5001231.7363099139</v>
      </c>
      <c r="DS29" s="106">
        <f t="shared" si="2"/>
        <v>5011584.760181468</v>
      </c>
      <c r="DT29" s="108">
        <f t="shared" si="2"/>
        <v>5592431.9240091592</v>
      </c>
    </row>
    <row r="30" spans="1:124" ht="15" x14ac:dyDescent="0.25">
      <c r="B30" s="247" t="s">
        <v>299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535"/>
      <c r="Q30" s="107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8"/>
      <c r="AC30" s="483"/>
      <c r="AD30" s="312"/>
      <c r="AE30" s="106"/>
      <c r="AF30" s="106"/>
      <c r="AG30" s="106"/>
      <c r="AH30" s="670"/>
      <c r="AI30" s="670"/>
      <c r="AJ30" s="670"/>
      <c r="AK30" s="670"/>
      <c r="AL30" s="670"/>
      <c r="AM30" s="670"/>
      <c r="AN30" s="677"/>
      <c r="AO30" s="387"/>
      <c r="AP30" s="670"/>
      <c r="AQ30" s="670"/>
      <c r="AR30" s="670"/>
      <c r="AS30" s="670"/>
      <c r="AT30" s="670"/>
      <c r="AU30" s="670"/>
      <c r="AV30" s="670"/>
      <c r="AW30" s="670"/>
      <c r="AX30" s="670"/>
      <c r="AY30" s="670"/>
      <c r="AZ30" s="677"/>
      <c r="BA30" s="387"/>
      <c r="BB30" s="670"/>
      <c r="BC30" s="670"/>
      <c r="BD30" s="670"/>
      <c r="BE30" s="670"/>
      <c r="BF30" s="670"/>
      <c r="BG30" s="670"/>
      <c r="BH30" s="670"/>
      <c r="BI30" s="670"/>
      <c r="BJ30" s="670"/>
      <c r="BK30" s="670"/>
      <c r="BL30" s="677"/>
      <c r="BM30" s="387"/>
      <c r="BN30" s="670"/>
      <c r="BO30" s="670"/>
      <c r="BP30" s="670"/>
      <c r="BQ30" s="670"/>
      <c r="BR30" s="670"/>
      <c r="BS30" s="670"/>
      <c r="BT30" s="670"/>
      <c r="BU30" s="670"/>
      <c r="BV30" s="670"/>
      <c r="BW30" s="670"/>
      <c r="BX30" s="677"/>
      <c r="BY30" s="387"/>
      <c r="BZ30" s="670"/>
      <c r="CA30" s="670"/>
      <c r="CB30" s="670"/>
      <c r="CC30" s="670"/>
      <c r="CD30" s="670"/>
      <c r="CE30" s="670"/>
      <c r="CF30" s="670"/>
      <c r="CG30" s="670"/>
      <c r="CH30" s="670"/>
      <c r="CI30" s="670"/>
      <c r="CJ30" s="677"/>
      <c r="CK30" s="387"/>
      <c r="CL30" s="670"/>
      <c r="CM30" s="670"/>
      <c r="CN30" s="670"/>
      <c r="CO30" s="670"/>
      <c r="CP30" s="670"/>
      <c r="CQ30" s="670"/>
      <c r="CR30" s="670"/>
      <c r="CS30" s="670"/>
      <c r="CT30" s="670"/>
      <c r="CU30" s="670"/>
      <c r="CV30" s="677"/>
      <c r="CW30" s="387"/>
      <c r="CX30" s="670"/>
      <c r="CY30" s="670"/>
      <c r="CZ30" s="670"/>
      <c r="DA30" s="670"/>
      <c r="DB30" s="670"/>
      <c r="DC30" s="670"/>
      <c r="DD30" s="670"/>
      <c r="DE30" s="670"/>
      <c r="DF30" s="670"/>
      <c r="DG30" s="670"/>
      <c r="DH30" s="677"/>
      <c r="DI30" s="387"/>
      <c r="DJ30" s="670"/>
      <c r="DK30" s="670"/>
      <c r="DL30" s="670"/>
      <c r="DM30" s="670"/>
      <c r="DN30" s="670"/>
      <c r="DO30" s="670"/>
      <c r="DP30" s="670"/>
      <c r="DQ30" s="670"/>
      <c r="DR30" s="670"/>
      <c r="DS30" s="670"/>
      <c r="DT30" s="677"/>
    </row>
    <row r="31" spans="1:124" ht="15" x14ac:dyDescent="0.25">
      <c r="B31" s="247" t="s">
        <v>304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535"/>
      <c r="Q31" s="107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8"/>
      <c r="AC31" s="483"/>
      <c r="AD31" s="312"/>
      <c r="AE31" s="106"/>
      <c r="AF31" s="106"/>
      <c r="AG31" s="106"/>
      <c r="AH31" s="670"/>
      <c r="AI31" s="670"/>
      <c r="AJ31" s="670"/>
      <c r="AK31" s="670"/>
      <c r="AL31" s="670"/>
      <c r="AM31" s="670"/>
      <c r="AN31" s="677"/>
      <c r="AO31" s="387"/>
      <c r="AP31" s="670"/>
      <c r="AQ31" s="670"/>
      <c r="AR31" s="670"/>
      <c r="AS31" s="670"/>
      <c r="AT31" s="670"/>
      <c r="AU31" s="670"/>
      <c r="AV31" s="670"/>
      <c r="AW31" s="670"/>
      <c r="AX31" s="670"/>
      <c r="AY31" s="670"/>
      <c r="AZ31" s="677"/>
      <c r="BA31" s="387"/>
      <c r="BB31" s="670"/>
      <c r="BC31" s="670"/>
      <c r="BD31" s="670"/>
      <c r="BE31" s="670"/>
      <c r="BF31" s="670"/>
      <c r="BG31" s="670"/>
      <c r="BH31" s="670"/>
      <c r="BI31" s="670"/>
      <c r="BJ31" s="670"/>
      <c r="BK31" s="670"/>
      <c r="BL31" s="677"/>
      <c r="BM31" s="387"/>
      <c r="BN31" s="670"/>
      <c r="BO31" s="670"/>
      <c r="BP31" s="670"/>
      <c r="BQ31" s="670"/>
      <c r="BR31" s="670"/>
      <c r="BS31" s="670"/>
      <c r="BT31" s="670"/>
      <c r="BU31" s="670"/>
      <c r="BV31" s="670"/>
      <c r="BW31" s="670"/>
      <c r="BX31" s="677"/>
      <c r="BY31" s="387"/>
      <c r="BZ31" s="670"/>
      <c r="CA31" s="670"/>
      <c r="CB31" s="670"/>
      <c r="CC31" s="670"/>
      <c r="CD31" s="670"/>
      <c r="CE31" s="670"/>
      <c r="CF31" s="670"/>
      <c r="CG31" s="670"/>
      <c r="CH31" s="670"/>
      <c r="CI31" s="670"/>
      <c r="CJ31" s="677"/>
      <c r="CK31" s="387"/>
      <c r="CL31" s="670"/>
      <c r="CM31" s="670"/>
      <c r="CN31" s="670"/>
      <c r="CO31" s="670"/>
      <c r="CP31" s="670"/>
      <c r="CQ31" s="670"/>
      <c r="CR31" s="670"/>
      <c r="CS31" s="670"/>
      <c r="CT31" s="670"/>
      <c r="CU31" s="670"/>
      <c r="CV31" s="677"/>
      <c r="CW31" s="387"/>
      <c r="CX31" s="670"/>
      <c r="CY31" s="670"/>
      <c r="CZ31" s="670"/>
      <c r="DA31" s="670"/>
      <c r="DB31" s="670"/>
      <c r="DC31" s="670"/>
      <c r="DD31" s="670"/>
      <c r="DE31" s="670"/>
      <c r="DF31" s="670"/>
      <c r="DG31" s="670"/>
      <c r="DH31" s="677"/>
      <c r="DI31" s="387"/>
      <c r="DJ31" s="670"/>
      <c r="DK31" s="670"/>
      <c r="DL31" s="670"/>
      <c r="DM31" s="670"/>
      <c r="DN31" s="670"/>
      <c r="DO31" s="670"/>
      <c r="DP31" s="670"/>
      <c r="DQ31" s="670"/>
      <c r="DR31" s="670"/>
      <c r="DS31" s="670"/>
      <c r="DT31" s="677"/>
    </row>
    <row r="32" spans="1:124" ht="16.5" x14ac:dyDescent="0.3">
      <c r="B32" s="68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0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507"/>
      <c r="AC32" s="1249"/>
      <c r="AD32" s="198"/>
      <c r="AE32" s="887"/>
      <c r="AF32" s="887"/>
      <c r="AG32" s="887"/>
      <c r="AH32" s="887"/>
      <c r="AI32" s="887"/>
      <c r="AJ32" s="887"/>
      <c r="AK32" s="887"/>
      <c r="AL32" s="887"/>
      <c r="AM32" s="887"/>
      <c r="AN32" s="842"/>
      <c r="AO32" s="887"/>
      <c r="AP32" s="887"/>
      <c r="AQ32" s="887"/>
      <c r="AR32" s="887"/>
      <c r="AS32" s="887"/>
      <c r="AT32" s="887"/>
      <c r="AU32" s="887"/>
      <c r="AV32" s="887"/>
      <c r="AW32" s="887"/>
      <c r="AX32" s="887"/>
      <c r="AY32" s="887"/>
      <c r="AZ32" s="842"/>
      <c r="BA32" s="887"/>
      <c r="BB32" s="887"/>
      <c r="BC32" s="887"/>
      <c r="BD32" s="887"/>
      <c r="BE32" s="887"/>
      <c r="BF32" s="887"/>
      <c r="BG32" s="887"/>
      <c r="BH32" s="887"/>
      <c r="BI32" s="887"/>
      <c r="BJ32" s="887"/>
      <c r="BK32" s="887"/>
      <c r="BL32" s="842"/>
      <c r="BM32" s="887"/>
      <c r="BN32" s="887"/>
      <c r="BO32" s="887"/>
      <c r="BP32" s="887"/>
      <c r="BQ32" s="887"/>
      <c r="BR32" s="887"/>
      <c r="BS32" s="887"/>
      <c r="BT32" s="887"/>
      <c r="BU32" s="887"/>
      <c r="BV32" s="887"/>
      <c r="BW32" s="887"/>
      <c r="BX32" s="842"/>
      <c r="BY32" s="887"/>
      <c r="BZ32" s="887"/>
      <c r="CA32" s="887"/>
      <c r="CB32" s="887"/>
      <c r="CC32" s="887"/>
      <c r="CD32" s="887"/>
      <c r="CE32" s="887"/>
      <c r="CF32" s="887"/>
      <c r="CG32" s="887"/>
      <c r="CH32" s="887"/>
      <c r="CI32" s="887"/>
      <c r="CJ32" s="842"/>
      <c r="CK32" s="887"/>
      <c r="CL32" s="887"/>
      <c r="CM32" s="887"/>
      <c r="CN32" s="887"/>
      <c r="CO32" s="887"/>
      <c r="CP32" s="887"/>
      <c r="CQ32" s="887"/>
      <c r="CR32" s="887"/>
      <c r="CS32" s="887"/>
      <c r="CT32" s="887"/>
      <c r="CU32" s="887"/>
      <c r="CV32" s="842"/>
      <c r="CW32" s="887"/>
      <c r="CX32" s="887"/>
      <c r="CY32" s="887"/>
      <c r="CZ32" s="887"/>
      <c r="DA32" s="887"/>
      <c r="DB32" s="887"/>
      <c r="DC32" s="887"/>
      <c r="DD32" s="887"/>
      <c r="DE32" s="887"/>
      <c r="DF32" s="887"/>
      <c r="DG32" s="887"/>
      <c r="DH32" s="842"/>
      <c r="DI32" s="887"/>
      <c r="DJ32" s="887"/>
      <c r="DK32" s="887"/>
      <c r="DL32" s="887"/>
      <c r="DM32" s="887"/>
      <c r="DN32" s="887"/>
      <c r="DO32" s="887"/>
      <c r="DP32" s="887"/>
      <c r="DQ32" s="887"/>
      <c r="DR32" s="887"/>
      <c r="DS32" s="887"/>
      <c r="DT32" s="842"/>
    </row>
    <row r="33" spans="2:124" ht="18.75" x14ac:dyDescent="0.3">
      <c r="B33" s="159" t="s">
        <v>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0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07"/>
      <c r="AC33" s="1249"/>
      <c r="AD33" s="198"/>
      <c r="AE33" s="887"/>
      <c r="AF33" s="887"/>
      <c r="AG33" s="887"/>
      <c r="AH33" s="887"/>
      <c r="AI33" s="887"/>
      <c r="AJ33" s="887"/>
      <c r="AK33" s="887"/>
      <c r="AL33" s="887"/>
      <c r="AM33" s="887"/>
      <c r="AN33" s="842"/>
      <c r="AO33" s="887"/>
      <c r="AP33" s="887"/>
      <c r="AQ33" s="887"/>
      <c r="AR33" s="887"/>
      <c r="AS33" s="887"/>
      <c r="AT33" s="887"/>
      <c r="AU33" s="887"/>
      <c r="AV33" s="887"/>
      <c r="AW33" s="887"/>
      <c r="AX33" s="887"/>
      <c r="AY33" s="887"/>
      <c r="AZ33" s="842"/>
      <c r="BA33" s="887"/>
      <c r="BB33" s="887"/>
      <c r="BC33" s="887"/>
      <c r="BD33" s="887"/>
      <c r="BE33" s="887"/>
      <c r="BF33" s="887"/>
      <c r="BG33" s="887"/>
      <c r="BH33" s="887"/>
      <c r="BI33" s="887"/>
      <c r="BJ33" s="887"/>
      <c r="BK33" s="887"/>
      <c r="BL33" s="842"/>
      <c r="BM33" s="887"/>
      <c r="BN33" s="887"/>
      <c r="BO33" s="887"/>
      <c r="BP33" s="887"/>
      <c r="BQ33" s="887"/>
      <c r="BR33" s="887"/>
      <c r="BS33" s="887"/>
      <c r="BT33" s="887"/>
      <c r="BU33" s="887"/>
      <c r="BV33" s="887"/>
      <c r="BW33" s="887"/>
      <c r="BX33" s="842"/>
      <c r="BY33" s="887"/>
      <c r="BZ33" s="887"/>
      <c r="CA33" s="887"/>
      <c r="CB33" s="887"/>
      <c r="CC33" s="887"/>
      <c r="CD33" s="887"/>
      <c r="CE33" s="887"/>
      <c r="CF33" s="887"/>
      <c r="CG33" s="887"/>
      <c r="CH33" s="887"/>
      <c r="CI33" s="887"/>
      <c r="CJ33" s="842"/>
      <c r="CK33" s="887"/>
      <c r="CL33" s="887"/>
      <c r="CM33" s="887"/>
      <c r="CN33" s="887"/>
      <c r="CO33" s="887"/>
      <c r="CP33" s="887"/>
      <c r="CQ33" s="887"/>
      <c r="CR33" s="887"/>
      <c r="CS33" s="887"/>
      <c r="CT33" s="887"/>
      <c r="CU33" s="887"/>
      <c r="CV33" s="842"/>
      <c r="CW33" s="887"/>
      <c r="CX33" s="887"/>
      <c r="CY33" s="887"/>
      <c r="CZ33" s="887"/>
      <c r="DA33" s="887"/>
      <c r="DB33" s="887"/>
      <c r="DC33" s="887"/>
      <c r="DD33" s="887"/>
      <c r="DE33" s="887"/>
      <c r="DF33" s="887"/>
      <c r="DG33" s="887"/>
      <c r="DH33" s="842"/>
      <c r="DI33" s="887"/>
      <c r="DJ33" s="887"/>
      <c r="DK33" s="887"/>
      <c r="DL33" s="887"/>
      <c r="DM33" s="887"/>
      <c r="DN33" s="887"/>
      <c r="DO33" s="887"/>
      <c r="DP33" s="887"/>
      <c r="DQ33" s="887"/>
      <c r="DR33" s="887"/>
      <c r="DS33" s="887"/>
      <c r="DT33" s="842"/>
    </row>
    <row r="34" spans="2:124" ht="15" x14ac:dyDescent="0.25">
      <c r="B34" s="245" t="s">
        <v>117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535"/>
      <c r="Q34" s="107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8"/>
      <c r="AC34" s="483"/>
      <c r="AD34" s="312"/>
      <c r="AE34" s="106"/>
      <c r="AF34" s="106"/>
      <c r="AG34" s="106"/>
      <c r="AH34" s="106"/>
      <c r="AI34" s="106"/>
      <c r="AJ34" s="106"/>
      <c r="AK34" s="106"/>
      <c r="AL34" s="106"/>
      <c r="AM34" s="106"/>
      <c r="AN34" s="108"/>
      <c r="AO34" s="107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8"/>
      <c r="BA34" s="107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8"/>
      <c r="BM34" s="107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8"/>
      <c r="BY34" s="107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8"/>
      <c r="CK34" s="107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8"/>
      <c r="CW34" s="107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8"/>
      <c r="DI34" s="107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8"/>
    </row>
    <row r="35" spans="2:124" ht="15" x14ac:dyDescent="0.25">
      <c r="B35" s="247" t="s">
        <v>153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535"/>
      <c r="Q35" s="107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8"/>
      <c r="AC35" s="483"/>
      <c r="AD35" s="312"/>
      <c r="AE35" s="106"/>
      <c r="AF35" s="106"/>
      <c r="AG35" s="106"/>
      <c r="AH35" s="670"/>
      <c r="AI35" s="670"/>
      <c r="AJ35" s="670"/>
      <c r="AK35" s="670"/>
      <c r="AL35" s="670"/>
      <c r="AM35" s="670"/>
      <c r="AN35" s="677"/>
      <c r="AO35" s="387"/>
      <c r="AP35" s="670"/>
      <c r="AQ35" s="670"/>
      <c r="AR35" s="670"/>
      <c r="AS35" s="670"/>
      <c r="AT35" s="670"/>
      <c r="AU35" s="670"/>
      <c r="AV35" s="670"/>
      <c r="AW35" s="670"/>
      <c r="AX35" s="670"/>
      <c r="AY35" s="670"/>
      <c r="AZ35" s="677"/>
      <c r="BA35" s="387"/>
      <c r="BB35" s="670"/>
      <c r="BC35" s="670"/>
      <c r="BD35" s="670"/>
      <c r="BE35" s="670"/>
      <c r="BF35" s="670"/>
      <c r="BG35" s="670"/>
      <c r="BH35" s="670"/>
      <c r="BI35" s="670"/>
      <c r="BJ35" s="670"/>
      <c r="BK35" s="670"/>
      <c r="BL35" s="677"/>
      <c r="BM35" s="387"/>
      <c r="BN35" s="670"/>
      <c r="BO35" s="670"/>
      <c r="BP35" s="670"/>
      <c r="BQ35" s="670"/>
      <c r="BR35" s="670"/>
      <c r="BS35" s="670"/>
      <c r="BT35" s="670"/>
      <c r="BU35" s="670"/>
      <c r="BV35" s="670"/>
      <c r="BW35" s="670"/>
      <c r="BX35" s="677"/>
      <c r="BY35" s="387"/>
      <c r="BZ35" s="670"/>
      <c r="CA35" s="670"/>
      <c r="CB35" s="670"/>
      <c r="CC35" s="670"/>
      <c r="CD35" s="670"/>
      <c r="CE35" s="670"/>
      <c r="CF35" s="670"/>
      <c r="CG35" s="670"/>
      <c r="CH35" s="670"/>
      <c r="CI35" s="670"/>
      <c r="CJ35" s="677"/>
      <c r="CK35" s="387"/>
      <c r="CL35" s="670"/>
      <c r="CM35" s="670"/>
      <c r="CN35" s="670"/>
      <c r="CO35" s="670"/>
      <c r="CP35" s="670"/>
      <c r="CQ35" s="670"/>
      <c r="CR35" s="670"/>
      <c r="CS35" s="670"/>
      <c r="CT35" s="670"/>
      <c r="CU35" s="670"/>
      <c r="CV35" s="677"/>
      <c r="CW35" s="387"/>
      <c r="CX35" s="670"/>
      <c r="CY35" s="670"/>
      <c r="CZ35" s="670"/>
      <c r="DA35" s="670"/>
      <c r="DB35" s="670"/>
      <c r="DC35" s="670"/>
      <c r="DD35" s="670"/>
      <c r="DE35" s="670"/>
      <c r="DF35" s="670"/>
      <c r="DG35" s="670"/>
      <c r="DH35" s="677"/>
      <c r="DI35" s="387"/>
      <c r="DJ35" s="670"/>
      <c r="DK35" s="670"/>
      <c r="DL35" s="670"/>
      <c r="DM35" s="670"/>
      <c r="DN35" s="670"/>
      <c r="DO35" s="670"/>
      <c r="DP35" s="670"/>
      <c r="DQ35" s="670"/>
      <c r="DR35" s="670"/>
      <c r="DS35" s="670"/>
      <c r="DT35" s="677"/>
    </row>
    <row r="36" spans="2:124" ht="15" x14ac:dyDescent="0.25">
      <c r="B36" s="247" t="s">
        <v>165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535"/>
      <c r="Q36" s="107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8"/>
      <c r="AC36" s="483"/>
      <c r="AD36" s="312"/>
      <c r="AE36" s="106"/>
      <c r="AF36" s="106"/>
      <c r="AG36" s="106"/>
      <c r="AH36" s="670"/>
      <c r="AI36" s="670"/>
      <c r="AJ36" s="670"/>
      <c r="AK36" s="670"/>
      <c r="AL36" s="670"/>
      <c r="AM36" s="670"/>
      <c r="AN36" s="677"/>
      <c r="AO36" s="387"/>
      <c r="AP36" s="670"/>
      <c r="AQ36" s="670"/>
      <c r="AR36" s="670"/>
      <c r="AS36" s="670"/>
      <c r="AT36" s="670"/>
      <c r="AU36" s="670"/>
      <c r="AV36" s="670"/>
      <c r="AW36" s="670"/>
      <c r="AX36" s="670"/>
      <c r="AY36" s="670"/>
      <c r="AZ36" s="677"/>
      <c r="BA36" s="387"/>
      <c r="BB36" s="670"/>
      <c r="BC36" s="670"/>
      <c r="BD36" s="670"/>
      <c r="BE36" s="670"/>
      <c r="BF36" s="670"/>
      <c r="BG36" s="670"/>
      <c r="BH36" s="670"/>
      <c r="BI36" s="670"/>
      <c r="BJ36" s="670"/>
      <c r="BK36" s="670"/>
      <c r="BL36" s="677"/>
      <c r="BM36" s="387"/>
      <c r="BN36" s="670"/>
      <c r="BO36" s="670"/>
      <c r="BP36" s="670"/>
      <c r="BQ36" s="670"/>
      <c r="BR36" s="670"/>
      <c r="BS36" s="670"/>
      <c r="BT36" s="670"/>
      <c r="BU36" s="670"/>
      <c r="BV36" s="670"/>
      <c r="BW36" s="670"/>
      <c r="BX36" s="677"/>
      <c r="BY36" s="387"/>
      <c r="BZ36" s="670"/>
      <c r="CA36" s="670"/>
      <c r="CB36" s="670"/>
      <c r="CC36" s="670"/>
      <c r="CD36" s="670"/>
      <c r="CE36" s="670"/>
      <c r="CF36" s="670"/>
      <c r="CG36" s="670"/>
      <c r="CH36" s="670"/>
      <c r="CI36" s="670"/>
      <c r="CJ36" s="677"/>
      <c r="CK36" s="387"/>
      <c r="CL36" s="670"/>
      <c r="CM36" s="670"/>
      <c r="CN36" s="670"/>
      <c r="CO36" s="670"/>
      <c r="CP36" s="670"/>
      <c r="CQ36" s="670"/>
      <c r="CR36" s="670"/>
      <c r="CS36" s="670"/>
      <c r="CT36" s="670"/>
      <c r="CU36" s="670"/>
      <c r="CV36" s="677"/>
      <c r="CW36" s="387"/>
      <c r="CX36" s="670"/>
      <c r="CY36" s="670"/>
      <c r="CZ36" s="670"/>
      <c r="DA36" s="670"/>
      <c r="DB36" s="670"/>
      <c r="DC36" s="670"/>
      <c r="DD36" s="670"/>
      <c r="DE36" s="670"/>
      <c r="DF36" s="670"/>
      <c r="DG36" s="670"/>
      <c r="DH36" s="677"/>
      <c r="DI36" s="387"/>
      <c r="DJ36" s="670"/>
      <c r="DK36" s="670"/>
      <c r="DL36" s="670"/>
      <c r="DM36" s="670"/>
      <c r="DN36" s="670"/>
      <c r="DO36" s="670"/>
      <c r="DP36" s="670"/>
      <c r="DQ36" s="670"/>
      <c r="DR36" s="670"/>
      <c r="DS36" s="670"/>
      <c r="DT36" s="677"/>
    </row>
    <row r="37" spans="2:124" ht="17.25" thickBot="1" x14ac:dyDescent="0.35">
      <c r="B37" s="687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96"/>
      <c r="Q37" s="688"/>
      <c r="R37" s="688"/>
      <c r="S37" s="688"/>
      <c r="T37" s="688"/>
      <c r="U37" s="688"/>
      <c r="V37" s="688"/>
      <c r="W37" s="688"/>
      <c r="X37" s="688"/>
      <c r="Y37" s="688"/>
      <c r="Z37" s="688"/>
      <c r="AA37" s="688"/>
      <c r="AB37" s="696"/>
      <c r="AC37" s="1255"/>
      <c r="AD37" s="689"/>
      <c r="AE37" s="688"/>
      <c r="AF37" s="688"/>
      <c r="AG37" s="688"/>
      <c r="AH37" s="688"/>
      <c r="AI37" s="688"/>
      <c r="AJ37" s="688"/>
      <c r="AK37" s="688"/>
      <c r="AL37" s="688"/>
      <c r="AM37" s="688"/>
      <c r="AN37" s="696"/>
      <c r="AO37" s="688"/>
      <c r="AP37" s="688"/>
      <c r="AQ37" s="688"/>
      <c r="AR37" s="688"/>
      <c r="AS37" s="688"/>
      <c r="AT37" s="688"/>
      <c r="AU37" s="688"/>
      <c r="AV37" s="688"/>
      <c r="AW37" s="688"/>
      <c r="AX37" s="688"/>
      <c r="AY37" s="688"/>
      <c r="AZ37" s="696"/>
      <c r="BA37" s="688"/>
      <c r="BB37" s="688"/>
      <c r="BC37" s="688"/>
      <c r="BD37" s="688"/>
      <c r="BE37" s="688"/>
      <c r="BF37" s="688"/>
      <c r="BG37" s="688"/>
      <c r="BH37" s="688"/>
      <c r="BI37" s="688"/>
      <c r="BJ37" s="688"/>
      <c r="BK37" s="688"/>
      <c r="BL37" s="696"/>
      <c r="BM37" s="688"/>
      <c r="BN37" s="688"/>
      <c r="BO37" s="688"/>
      <c r="BP37" s="688"/>
      <c r="BQ37" s="688"/>
      <c r="BR37" s="688"/>
      <c r="BS37" s="688"/>
      <c r="BT37" s="688"/>
      <c r="BU37" s="688"/>
      <c r="BV37" s="688"/>
      <c r="BW37" s="688"/>
      <c r="BX37" s="696"/>
      <c r="BY37" s="688"/>
      <c r="BZ37" s="688"/>
      <c r="CA37" s="688"/>
      <c r="CB37" s="688"/>
      <c r="CC37" s="688"/>
      <c r="CD37" s="688"/>
      <c r="CE37" s="688"/>
      <c r="CF37" s="688"/>
      <c r="CG37" s="688"/>
      <c r="CH37" s="688"/>
      <c r="CI37" s="688"/>
      <c r="CJ37" s="696"/>
      <c r="CK37" s="688"/>
      <c r="CL37" s="688"/>
      <c r="CM37" s="688"/>
      <c r="CN37" s="688"/>
      <c r="CO37" s="688"/>
      <c r="CP37" s="688"/>
      <c r="CQ37" s="688"/>
      <c r="CR37" s="688"/>
      <c r="CS37" s="688"/>
      <c r="CT37" s="688"/>
      <c r="CU37" s="688"/>
      <c r="CV37" s="696"/>
      <c r="CW37" s="688"/>
      <c r="CX37" s="688"/>
      <c r="CY37" s="688"/>
      <c r="CZ37" s="688"/>
      <c r="DA37" s="688"/>
      <c r="DB37" s="688"/>
      <c r="DC37" s="688"/>
      <c r="DD37" s="688"/>
      <c r="DE37" s="688"/>
      <c r="DF37" s="688"/>
      <c r="DG37" s="688"/>
      <c r="DH37" s="696"/>
      <c r="DI37" s="688"/>
      <c r="DJ37" s="688"/>
      <c r="DK37" s="688"/>
      <c r="DL37" s="688"/>
      <c r="DM37" s="688"/>
      <c r="DN37" s="688"/>
      <c r="DO37" s="688"/>
      <c r="DP37" s="688"/>
      <c r="DQ37" s="688"/>
      <c r="DR37" s="688"/>
      <c r="DS37" s="688"/>
      <c r="DT37" s="696"/>
    </row>
    <row r="38" spans="2:124" x14ac:dyDescent="0.2">
      <c r="B38" s="67"/>
    </row>
  </sheetData>
  <mergeCells count="11">
    <mergeCell ref="Q2:AB2"/>
    <mergeCell ref="AC2:AN2"/>
    <mergeCell ref="AO2:AZ2"/>
    <mergeCell ref="BA2:BL2"/>
    <mergeCell ref="A1:C3"/>
    <mergeCell ref="E2:P2"/>
    <mergeCell ref="BM2:BX2"/>
    <mergeCell ref="BY2:CJ2"/>
    <mergeCell ref="CK2:CV2"/>
    <mergeCell ref="CW2:DH2"/>
    <mergeCell ref="DI2:DT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V12"/>
  <sheetViews>
    <sheetView zoomScale="75" zoomScaleNormal="75" zoomScalePageLayoutView="85" workbookViewId="0">
      <pane xSplit="2" ySplit="3" topLeftCell="AL4" activePane="bottomRight" state="frozen"/>
      <selection pane="topRight" activeCell="C1" sqref="C1"/>
      <selection pane="bottomLeft" activeCell="A4" sqref="A4"/>
      <selection pane="bottomRight" activeCell="AR27" sqref="AR27"/>
    </sheetView>
  </sheetViews>
  <sheetFormatPr defaultColWidth="8.85546875" defaultRowHeight="12.75" x14ac:dyDescent="0.2"/>
  <cols>
    <col min="1" max="1" width="3" style="2" customWidth="1"/>
    <col min="2" max="2" width="31.85546875" style="2" customWidth="1"/>
    <col min="3" max="3" width="1.28515625" style="2" customWidth="1"/>
    <col min="4" max="123" width="11.7109375" style="2" customWidth="1"/>
    <col min="124" max="16384" width="8.85546875" style="2"/>
  </cols>
  <sheetData>
    <row r="1" spans="1:126" ht="12.75" customHeight="1" x14ac:dyDescent="0.2">
      <c r="A1" s="1345" t="s">
        <v>179</v>
      </c>
      <c r="B1" s="1345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4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42"/>
      <c r="AB1" s="843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42"/>
      <c r="AN1" s="887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42"/>
      <c r="AZ1" s="887"/>
      <c r="BA1" s="887"/>
      <c r="BB1" s="887"/>
      <c r="BC1" s="887"/>
      <c r="BD1" s="887"/>
      <c r="BE1" s="887"/>
      <c r="BF1" s="887"/>
      <c r="BG1" s="887"/>
      <c r="BH1" s="887"/>
      <c r="BI1" s="887"/>
      <c r="BJ1" s="887"/>
      <c r="BK1" s="842"/>
      <c r="BL1" s="887"/>
      <c r="BM1" s="887"/>
      <c r="BN1" s="887"/>
      <c r="BO1" s="887"/>
      <c r="BP1" s="887"/>
      <c r="BQ1" s="887"/>
      <c r="BR1" s="887"/>
      <c r="BS1" s="887"/>
      <c r="BT1" s="887"/>
      <c r="BU1" s="887"/>
      <c r="BV1" s="887"/>
      <c r="BW1" s="842"/>
      <c r="BX1" s="887"/>
      <c r="BY1" s="887"/>
      <c r="BZ1" s="887"/>
      <c r="CA1" s="887"/>
      <c r="CB1" s="887"/>
      <c r="CC1" s="887"/>
      <c r="CD1" s="887"/>
      <c r="CE1" s="887"/>
      <c r="CF1" s="887"/>
      <c r="CG1" s="887"/>
      <c r="CH1" s="887"/>
      <c r="CI1" s="842"/>
      <c r="CJ1" s="887"/>
      <c r="CK1" s="887"/>
      <c r="CL1" s="887"/>
      <c r="CM1" s="887"/>
      <c r="CN1" s="887"/>
      <c r="CO1" s="887"/>
      <c r="CP1" s="887"/>
      <c r="CQ1" s="887"/>
      <c r="CR1" s="887"/>
      <c r="CS1" s="887"/>
      <c r="CT1" s="887"/>
      <c r="CU1" s="842"/>
      <c r="CV1" s="887"/>
      <c r="CW1" s="887"/>
      <c r="CX1" s="887"/>
      <c r="CY1" s="887"/>
      <c r="CZ1" s="887"/>
      <c r="DA1" s="887"/>
      <c r="DB1" s="887"/>
      <c r="DC1" s="887"/>
      <c r="DD1" s="887"/>
      <c r="DE1" s="887"/>
      <c r="DF1" s="887"/>
      <c r="DG1" s="842"/>
      <c r="DH1" s="887"/>
      <c r="DI1" s="887"/>
      <c r="DJ1" s="887"/>
      <c r="DK1" s="887"/>
      <c r="DL1" s="887"/>
      <c r="DM1" s="887"/>
      <c r="DN1" s="887"/>
      <c r="DO1" s="887"/>
      <c r="DP1" s="887"/>
      <c r="DQ1" s="887"/>
      <c r="DR1" s="887"/>
      <c r="DS1" s="842"/>
    </row>
    <row r="2" spans="1:126" ht="39" customHeight="1" x14ac:dyDescent="0.2">
      <c r="A2" s="1345"/>
      <c r="B2" s="1345"/>
      <c r="C2" s="17"/>
      <c r="D2" s="1334" t="s">
        <v>454</v>
      </c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5"/>
      <c r="P2" s="1340" t="s">
        <v>455</v>
      </c>
      <c r="Q2" s="1340"/>
      <c r="R2" s="1340"/>
      <c r="S2" s="1340"/>
      <c r="T2" s="1340"/>
      <c r="U2" s="1340"/>
      <c r="V2" s="1340"/>
      <c r="W2" s="1340"/>
      <c r="X2" s="1340"/>
      <c r="Y2" s="1340"/>
      <c r="Z2" s="1340"/>
      <c r="AA2" s="1341"/>
      <c r="AB2" s="1343" t="s">
        <v>456</v>
      </c>
      <c r="AC2" s="1340"/>
      <c r="AD2" s="1340"/>
      <c r="AE2" s="1340"/>
      <c r="AF2" s="1340"/>
      <c r="AG2" s="1340"/>
      <c r="AH2" s="1340"/>
      <c r="AI2" s="1340"/>
      <c r="AJ2" s="1340"/>
      <c r="AK2" s="1340"/>
      <c r="AL2" s="1340"/>
      <c r="AM2" s="1341"/>
      <c r="AN2" s="1340" t="s">
        <v>457</v>
      </c>
      <c r="AO2" s="1340"/>
      <c r="AP2" s="1340"/>
      <c r="AQ2" s="1340"/>
      <c r="AR2" s="1340"/>
      <c r="AS2" s="1340"/>
      <c r="AT2" s="1340"/>
      <c r="AU2" s="1340"/>
      <c r="AV2" s="1340"/>
      <c r="AW2" s="1340"/>
      <c r="AX2" s="1340"/>
      <c r="AY2" s="1341"/>
      <c r="AZ2" s="1340" t="s">
        <v>458</v>
      </c>
      <c r="BA2" s="1340"/>
      <c r="BB2" s="1340"/>
      <c r="BC2" s="1340"/>
      <c r="BD2" s="1340"/>
      <c r="BE2" s="1340"/>
      <c r="BF2" s="1340"/>
      <c r="BG2" s="1340"/>
      <c r="BH2" s="1340"/>
      <c r="BI2" s="1340"/>
      <c r="BJ2" s="1340"/>
      <c r="BK2" s="1341"/>
      <c r="BL2" s="1340" t="s">
        <v>459</v>
      </c>
      <c r="BM2" s="1340"/>
      <c r="BN2" s="1340"/>
      <c r="BO2" s="1340"/>
      <c r="BP2" s="1340"/>
      <c r="BQ2" s="1340"/>
      <c r="BR2" s="1340"/>
      <c r="BS2" s="1340"/>
      <c r="BT2" s="1340"/>
      <c r="BU2" s="1340"/>
      <c r="BV2" s="1340"/>
      <c r="BW2" s="1341"/>
      <c r="BX2" s="1340" t="s">
        <v>460</v>
      </c>
      <c r="BY2" s="1340"/>
      <c r="BZ2" s="1340"/>
      <c r="CA2" s="1340"/>
      <c r="CB2" s="1340"/>
      <c r="CC2" s="1340"/>
      <c r="CD2" s="1340"/>
      <c r="CE2" s="1340"/>
      <c r="CF2" s="1340"/>
      <c r="CG2" s="1340"/>
      <c r="CH2" s="1340"/>
      <c r="CI2" s="1341"/>
      <c r="CJ2" s="1340" t="s">
        <v>461</v>
      </c>
      <c r="CK2" s="1340"/>
      <c r="CL2" s="1340"/>
      <c r="CM2" s="1340"/>
      <c r="CN2" s="1340"/>
      <c r="CO2" s="1340"/>
      <c r="CP2" s="1340"/>
      <c r="CQ2" s="1340"/>
      <c r="CR2" s="1340"/>
      <c r="CS2" s="1340"/>
      <c r="CT2" s="1340"/>
      <c r="CU2" s="1341"/>
      <c r="CV2" s="1340" t="s">
        <v>462</v>
      </c>
      <c r="CW2" s="1340"/>
      <c r="CX2" s="1340"/>
      <c r="CY2" s="1340"/>
      <c r="CZ2" s="1340"/>
      <c r="DA2" s="1340"/>
      <c r="DB2" s="1340"/>
      <c r="DC2" s="1340"/>
      <c r="DD2" s="1340"/>
      <c r="DE2" s="1340"/>
      <c r="DF2" s="1340"/>
      <c r="DG2" s="1341"/>
      <c r="DH2" s="1340" t="s">
        <v>463</v>
      </c>
      <c r="DI2" s="1340"/>
      <c r="DJ2" s="1340"/>
      <c r="DK2" s="1340"/>
      <c r="DL2" s="1340"/>
      <c r="DM2" s="1340"/>
      <c r="DN2" s="1340"/>
      <c r="DO2" s="1340"/>
      <c r="DP2" s="1340"/>
      <c r="DQ2" s="1340"/>
      <c r="DR2" s="1340"/>
      <c r="DS2" s="1341"/>
      <c r="DT2" s="68"/>
      <c r="DU2" s="68"/>
      <c r="DV2" s="68"/>
    </row>
    <row r="3" spans="1:126" ht="12.75" customHeight="1" x14ac:dyDescent="0.25">
      <c r="A3" s="1345"/>
      <c r="B3" s="1345"/>
      <c r="C3" s="7"/>
      <c r="D3" s="840" t="s">
        <v>174</v>
      </c>
      <c r="E3" s="840" t="s">
        <v>175</v>
      </c>
      <c r="F3" s="840" t="s">
        <v>176</v>
      </c>
      <c r="G3" s="840" t="s">
        <v>177</v>
      </c>
      <c r="H3" s="840" t="s">
        <v>166</v>
      </c>
      <c r="I3" s="840" t="s">
        <v>167</v>
      </c>
      <c r="J3" s="840" t="s">
        <v>168</v>
      </c>
      <c r="K3" s="840" t="s">
        <v>169</v>
      </c>
      <c r="L3" s="840" t="s">
        <v>170</v>
      </c>
      <c r="M3" s="840" t="s">
        <v>171</v>
      </c>
      <c r="N3" s="840" t="s">
        <v>172</v>
      </c>
      <c r="O3" s="682" t="s">
        <v>173</v>
      </c>
      <c r="P3" s="838" t="s">
        <v>174</v>
      </c>
      <c r="Q3" s="838" t="s">
        <v>175</v>
      </c>
      <c r="R3" s="838" t="s">
        <v>176</v>
      </c>
      <c r="S3" s="838" t="s">
        <v>177</v>
      </c>
      <c r="T3" s="838" t="s">
        <v>166</v>
      </c>
      <c r="U3" s="838" t="s">
        <v>167</v>
      </c>
      <c r="V3" s="838" t="s">
        <v>168</v>
      </c>
      <c r="W3" s="838" t="s">
        <v>169</v>
      </c>
      <c r="X3" s="838" t="s">
        <v>170</v>
      </c>
      <c r="Y3" s="838" t="s">
        <v>171</v>
      </c>
      <c r="Z3" s="838" t="s">
        <v>172</v>
      </c>
      <c r="AA3" s="846" t="s">
        <v>173</v>
      </c>
      <c r="AB3" s="546" t="s">
        <v>174</v>
      </c>
      <c r="AC3" s="891" t="s">
        <v>175</v>
      </c>
      <c r="AD3" s="891" t="s">
        <v>176</v>
      </c>
      <c r="AE3" s="891" t="s">
        <v>177</v>
      </c>
      <c r="AF3" s="891" t="s">
        <v>166</v>
      </c>
      <c r="AG3" s="891" t="s">
        <v>167</v>
      </c>
      <c r="AH3" s="891" t="s">
        <v>168</v>
      </c>
      <c r="AI3" s="891" t="s">
        <v>169</v>
      </c>
      <c r="AJ3" s="891" t="s">
        <v>170</v>
      </c>
      <c r="AK3" s="891" t="s">
        <v>171</v>
      </c>
      <c r="AL3" s="891" t="s">
        <v>172</v>
      </c>
      <c r="AM3" s="846" t="s">
        <v>173</v>
      </c>
      <c r="AN3" s="891" t="s">
        <v>174</v>
      </c>
      <c r="AO3" s="891" t="s">
        <v>175</v>
      </c>
      <c r="AP3" s="891" t="s">
        <v>176</v>
      </c>
      <c r="AQ3" s="891" t="s">
        <v>177</v>
      </c>
      <c r="AR3" s="891" t="s">
        <v>166</v>
      </c>
      <c r="AS3" s="891" t="s">
        <v>167</v>
      </c>
      <c r="AT3" s="891" t="s">
        <v>168</v>
      </c>
      <c r="AU3" s="891" t="s">
        <v>169</v>
      </c>
      <c r="AV3" s="891" t="s">
        <v>170</v>
      </c>
      <c r="AW3" s="891" t="s">
        <v>171</v>
      </c>
      <c r="AX3" s="891" t="s">
        <v>172</v>
      </c>
      <c r="AY3" s="846" t="s">
        <v>173</v>
      </c>
      <c r="AZ3" s="891" t="s">
        <v>174</v>
      </c>
      <c r="BA3" s="891" t="s">
        <v>175</v>
      </c>
      <c r="BB3" s="891" t="s">
        <v>176</v>
      </c>
      <c r="BC3" s="891" t="s">
        <v>177</v>
      </c>
      <c r="BD3" s="891" t="s">
        <v>166</v>
      </c>
      <c r="BE3" s="891" t="s">
        <v>167</v>
      </c>
      <c r="BF3" s="891" t="s">
        <v>168</v>
      </c>
      <c r="BG3" s="891" t="s">
        <v>169</v>
      </c>
      <c r="BH3" s="891" t="s">
        <v>170</v>
      </c>
      <c r="BI3" s="891" t="s">
        <v>171</v>
      </c>
      <c r="BJ3" s="891" t="s">
        <v>172</v>
      </c>
      <c r="BK3" s="846" t="s">
        <v>173</v>
      </c>
      <c r="BL3" s="891" t="s">
        <v>174</v>
      </c>
      <c r="BM3" s="891" t="s">
        <v>175</v>
      </c>
      <c r="BN3" s="891" t="s">
        <v>176</v>
      </c>
      <c r="BO3" s="891" t="s">
        <v>177</v>
      </c>
      <c r="BP3" s="891" t="s">
        <v>166</v>
      </c>
      <c r="BQ3" s="891" t="s">
        <v>167</v>
      </c>
      <c r="BR3" s="891" t="s">
        <v>168</v>
      </c>
      <c r="BS3" s="891" t="s">
        <v>169</v>
      </c>
      <c r="BT3" s="891" t="s">
        <v>170</v>
      </c>
      <c r="BU3" s="891" t="s">
        <v>171</v>
      </c>
      <c r="BV3" s="891" t="s">
        <v>172</v>
      </c>
      <c r="BW3" s="846" t="s">
        <v>173</v>
      </c>
      <c r="BX3" s="891" t="s">
        <v>174</v>
      </c>
      <c r="BY3" s="891" t="s">
        <v>175</v>
      </c>
      <c r="BZ3" s="891" t="s">
        <v>176</v>
      </c>
      <c r="CA3" s="891" t="s">
        <v>177</v>
      </c>
      <c r="CB3" s="891" t="s">
        <v>166</v>
      </c>
      <c r="CC3" s="891" t="s">
        <v>167</v>
      </c>
      <c r="CD3" s="891" t="s">
        <v>168</v>
      </c>
      <c r="CE3" s="891" t="s">
        <v>169</v>
      </c>
      <c r="CF3" s="891" t="s">
        <v>170</v>
      </c>
      <c r="CG3" s="891" t="s">
        <v>171</v>
      </c>
      <c r="CH3" s="891" t="s">
        <v>172</v>
      </c>
      <c r="CI3" s="846" t="s">
        <v>173</v>
      </c>
      <c r="CJ3" s="891" t="s">
        <v>174</v>
      </c>
      <c r="CK3" s="891" t="s">
        <v>175</v>
      </c>
      <c r="CL3" s="891" t="s">
        <v>176</v>
      </c>
      <c r="CM3" s="891" t="s">
        <v>177</v>
      </c>
      <c r="CN3" s="891" t="s">
        <v>166</v>
      </c>
      <c r="CO3" s="891" t="s">
        <v>167</v>
      </c>
      <c r="CP3" s="891" t="s">
        <v>168</v>
      </c>
      <c r="CQ3" s="891" t="s">
        <v>169</v>
      </c>
      <c r="CR3" s="891" t="s">
        <v>170</v>
      </c>
      <c r="CS3" s="891" t="s">
        <v>171</v>
      </c>
      <c r="CT3" s="891" t="s">
        <v>172</v>
      </c>
      <c r="CU3" s="846" t="s">
        <v>173</v>
      </c>
      <c r="CV3" s="891" t="s">
        <v>174</v>
      </c>
      <c r="CW3" s="891" t="s">
        <v>175</v>
      </c>
      <c r="CX3" s="891" t="s">
        <v>176</v>
      </c>
      <c r="CY3" s="891" t="s">
        <v>177</v>
      </c>
      <c r="CZ3" s="891" t="s">
        <v>166</v>
      </c>
      <c r="DA3" s="891" t="s">
        <v>167</v>
      </c>
      <c r="DB3" s="891" t="s">
        <v>168</v>
      </c>
      <c r="DC3" s="891" t="s">
        <v>169</v>
      </c>
      <c r="DD3" s="891" t="s">
        <v>170</v>
      </c>
      <c r="DE3" s="891" t="s">
        <v>171</v>
      </c>
      <c r="DF3" s="891" t="s">
        <v>172</v>
      </c>
      <c r="DG3" s="846" t="s">
        <v>173</v>
      </c>
      <c r="DH3" s="891" t="s">
        <v>174</v>
      </c>
      <c r="DI3" s="891" t="s">
        <v>175</v>
      </c>
      <c r="DJ3" s="891" t="s">
        <v>176</v>
      </c>
      <c r="DK3" s="891" t="s">
        <v>177</v>
      </c>
      <c r="DL3" s="891" t="s">
        <v>166</v>
      </c>
      <c r="DM3" s="891" t="s">
        <v>167</v>
      </c>
      <c r="DN3" s="891" t="s">
        <v>168</v>
      </c>
      <c r="DO3" s="891" t="s">
        <v>169</v>
      </c>
      <c r="DP3" s="891" t="s">
        <v>170</v>
      </c>
      <c r="DQ3" s="891" t="s">
        <v>171</v>
      </c>
      <c r="DR3" s="891" t="s">
        <v>172</v>
      </c>
      <c r="DS3" s="846" t="s">
        <v>173</v>
      </c>
    </row>
    <row r="4" spans="1:126" hidden="1" x14ac:dyDescent="0.2">
      <c r="B4" s="21" t="s">
        <v>88</v>
      </c>
      <c r="C4" s="20"/>
      <c r="D4" s="834" t="e">
        <f>#REF!</f>
        <v>#REF!</v>
      </c>
      <c r="E4" s="834" t="e">
        <f>#REF!</f>
        <v>#REF!</v>
      </c>
      <c r="F4" s="834" t="e">
        <f>#REF!</f>
        <v>#REF!</v>
      </c>
      <c r="G4" s="834" t="e">
        <f>#REF!</f>
        <v>#REF!</v>
      </c>
      <c r="H4" s="834" t="e">
        <f>#REF!</f>
        <v>#REF!</v>
      </c>
      <c r="I4" s="834" t="e">
        <f>#REF!</f>
        <v>#REF!</v>
      </c>
      <c r="J4" s="834" t="e">
        <f>#REF!</f>
        <v>#REF!</v>
      </c>
      <c r="K4" s="834" t="e">
        <f>#REF!</f>
        <v>#REF!</v>
      </c>
      <c r="L4" s="834" t="e">
        <f>#REF!</f>
        <v>#REF!</v>
      </c>
      <c r="M4" s="834" t="e">
        <f>#REF!</f>
        <v>#REF!</v>
      </c>
      <c r="N4" s="834" t="e">
        <f>#REF!</f>
        <v>#REF!</v>
      </c>
      <c r="O4" s="847" t="e">
        <f>#REF!</f>
        <v>#REF!</v>
      </c>
      <c r="P4" s="690" t="e">
        <f>#REF!</f>
        <v>#REF!</v>
      </c>
      <c r="Q4" s="834" t="e">
        <f>#REF!</f>
        <v>#REF!</v>
      </c>
      <c r="R4" s="834" t="e">
        <f>#REF!</f>
        <v>#REF!</v>
      </c>
      <c r="S4" s="834" t="e">
        <f>#REF!</f>
        <v>#REF!</v>
      </c>
      <c r="T4" s="834" t="e">
        <f>#REF!</f>
        <v>#REF!</v>
      </c>
      <c r="U4" s="834" t="e">
        <f>#REF!</f>
        <v>#REF!</v>
      </c>
      <c r="V4" s="834" t="e">
        <f>#REF!</f>
        <v>#REF!</v>
      </c>
      <c r="W4" s="834" t="e">
        <f>#REF!</f>
        <v>#REF!</v>
      </c>
      <c r="X4" s="834" t="e">
        <f>#REF!</f>
        <v>#REF!</v>
      </c>
      <c r="Y4" s="834" t="e">
        <f>#REF!</f>
        <v>#REF!</v>
      </c>
      <c r="Z4" s="834" t="e">
        <f>#REF!</f>
        <v>#REF!</v>
      </c>
      <c r="AA4" s="847" t="e">
        <f>#REF!</f>
        <v>#REF!</v>
      </c>
      <c r="AB4" s="844" t="e">
        <f>#REF!</f>
        <v>#REF!</v>
      </c>
      <c r="AC4" s="834" t="e">
        <f>#REF!</f>
        <v>#REF!</v>
      </c>
      <c r="AD4" s="834" t="e">
        <f>#REF!</f>
        <v>#REF!</v>
      </c>
      <c r="AE4" s="834" t="e">
        <f>#REF!</f>
        <v>#REF!</v>
      </c>
      <c r="AF4" s="834" t="e">
        <f>#REF!</f>
        <v>#REF!</v>
      </c>
      <c r="AG4" s="834" t="e">
        <f>#REF!</f>
        <v>#REF!</v>
      </c>
      <c r="AH4" s="834" t="e">
        <f>#REF!</f>
        <v>#REF!</v>
      </c>
      <c r="AI4" s="834" t="e">
        <f>#REF!</f>
        <v>#REF!</v>
      </c>
      <c r="AJ4" s="834" t="e">
        <f>#REF!</f>
        <v>#REF!</v>
      </c>
      <c r="AK4" s="834" t="e">
        <f>#REF!</f>
        <v>#REF!</v>
      </c>
      <c r="AL4" s="834" t="e">
        <f>#REF!</f>
        <v>#REF!</v>
      </c>
      <c r="AM4" s="847" t="e">
        <f>#REF!</f>
        <v>#REF!</v>
      </c>
      <c r="AN4" s="690" t="e">
        <f>#REF!</f>
        <v>#REF!</v>
      </c>
      <c r="AO4" s="834" t="e">
        <f>#REF!</f>
        <v>#REF!</v>
      </c>
      <c r="AP4" s="834" t="e">
        <f>#REF!</f>
        <v>#REF!</v>
      </c>
      <c r="AQ4" s="834" t="e">
        <f>#REF!</f>
        <v>#REF!</v>
      </c>
      <c r="AR4" s="834" t="e">
        <f>#REF!</f>
        <v>#REF!</v>
      </c>
      <c r="AS4" s="834" t="e">
        <f>#REF!</f>
        <v>#REF!</v>
      </c>
      <c r="AT4" s="834" t="e">
        <f>#REF!</f>
        <v>#REF!</v>
      </c>
      <c r="AU4" s="834" t="e">
        <f>#REF!</f>
        <v>#REF!</v>
      </c>
      <c r="AV4" s="834" t="e">
        <f>#REF!</f>
        <v>#REF!</v>
      </c>
      <c r="AW4" s="834" t="e">
        <f>#REF!</f>
        <v>#REF!</v>
      </c>
      <c r="AX4" s="834" t="e">
        <f>#REF!</f>
        <v>#REF!</v>
      </c>
      <c r="AY4" s="847" t="e">
        <f>#REF!</f>
        <v>#REF!</v>
      </c>
      <c r="AZ4" s="690" t="e">
        <f>#REF!</f>
        <v>#REF!</v>
      </c>
      <c r="BA4" s="834" t="e">
        <f>#REF!</f>
        <v>#REF!</v>
      </c>
      <c r="BB4" s="834" t="e">
        <f>#REF!</f>
        <v>#REF!</v>
      </c>
      <c r="BC4" s="834" t="e">
        <f>#REF!</f>
        <v>#REF!</v>
      </c>
      <c r="BD4" s="834" t="e">
        <f>#REF!</f>
        <v>#REF!</v>
      </c>
      <c r="BE4" s="834" t="e">
        <f>#REF!</f>
        <v>#REF!</v>
      </c>
      <c r="BF4" s="834" t="e">
        <f>#REF!</f>
        <v>#REF!</v>
      </c>
      <c r="BG4" s="834" t="e">
        <f>#REF!</f>
        <v>#REF!</v>
      </c>
      <c r="BH4" s="834" t="e">
        <f>#REF!</f>
        <v>#REF!</v>
      </c>
      <c r="BI4" s="834" t="e">
        <f>#REF!</f>
        <v>#REF!</v>
      </c>
      <c r="BJ4" s="834" t="e">
        <f>#REF!</f>
        <v>#REF!</v>
      </c>
      <c r="BK4" s="847" t="e">
        <f>#REF!</f>
        <v>#REF!</v>
      </c>
      <c r="BL4" s="690" t="e">
        <f>#REF!</f>
        <v>#REF!</v>
      </c>
      <c r="BM4" s="834" t="e">
        <f>#REF!</f>
        <v>#REF!</v>
      </c>
      <c r="BN4" s="834" t="e">
        <f>#REF!</f>
        <v>#REF!</v>
      </c>
      <c r="BO4" s="834" t="e">
        <f>#REF!</f>
        <v>#REF!</v>
      </c>
      <c r="BP4" s="834" t="e">
        <f>#REF!</f>
        <v>#REF!</v>
      </c>
      <c r="BQ4" s="834" t="e">
        <f>#REF!</f>
        <v>#REF!</v>
      </c>
      <c r="BR4" s="834" t="e">
        <f>#REF!</f>
        <v>#REF!</v>
      </c>
      <c r="BS4" s="834" t="e">
        <f>#REF!</f>
        <v>#REF!</v>
      </c>
      <c r="BT4" s="834" t="e">
        <f>#REF!</f>
        <v>#REF!</v>
      </c>
      <c r="BU4" s="834" t="e">
        <f>#REF!</f>
        <v>#REF!</v>
      </c>
      <c r="BV4" s="834" t="e">
        <f>#REF!</f>
        <v>#REF!</v>
      </c>
      <c r="BW4" s="847" t="e">
        <f>#REF!</f>
        <v>#REF!</v>
      </c>
      <c r="BX4" s="690" t="e">
        <f>#REF!</f>
        <v>#REF!</v>
      </c>
      <c r="BY4" s="834" t="e">
        <f>#REF!</f>
        <v>#REF!</v>
      </c>
      <c r="BZ4" s="834" t="e">
        <f>#REF!</f>
        <v>#REF!</v>
      </c>
      <c r="CA4" s="834" t="e">
        <f>#REF!</f>
        <v>#REF!</v>
      </c>
      <c r="CB4" s="834" t="e">
        <f>#REF!</f>
        <v>#REF!</v>
      </c>
      <c r="CC4" s="834" t="e">
        <f>#REF!</f>
        <v>#REF!</v>
      </c>
      <c r="CD4" s="834" t="e">
        <f>#REF!</f>
        <v>#REF!</v>
      </c>
      <c r="CE4" s="834" t="e">
        <f>#REF!</f>
        <v>#REF!</v>
      </c>
      <c r="CF4" s="834" t="e">
        <f>#REF!</f>
        <v>#REF!</v>
      </c>
      <c r="CG4" s="834" t="e">
        <f>#REF!</f>
        <v>#REF!</v>
      </c>
      <c r="CH4" s="834" t="e">
        <f>#REF!</f>
        <v>#REF!</v>
      </c>
      <c r="CI4" s="847" t="e">
        <f>#REF!</f>
        <v>#REF!</v>
      </c>
      <c r="CJ4" s="690" t="e">
        <f>#REF!</f>
        <v>#REF!</v>
      </c>
      <c r="CK4" s="834" t="e">
        <f>#REF!</f>
        <v>#REF!</v>
      </c>
      <c r="CL4" s="834" t="e">
        <f>#REF!</f>
        <v>#REF!</v>
      </c>
      <c r="CM4" s="834" t="e">
        <f>#REF!</f>
        <v>#REF!</v>
      </c>
      <c r="CN4" s="834" t="e">
        <f>#REF!</f>
        <v>#REF!</v>
      </c>
      <c r="CO4" s="834" t="e">
        <f>#REF!</f>
        <v>#REF!</v>
      </c>
      <c r="CP4" s="834" t="e">
        <f>#REF!</f>
        <v>#REF!</v>
      </c>
      <c r="CQ4" s="834" t="e">
        <f>#REF!</f>
        <v>#REF!</v>
      </c>
      <c r="CR4" s="834" t="e">
        <f>#REF!</f>
        <v>#REF!</v>
      </c>
      <c r="CS4" s="834" t="e">
        <f>#REF!</f>
        <v>#REF!</v>
      </c>
      <c r="CT4" s="834" t="e">
        <f>#REF!</f>
        <v>#REF!</v>
      </c>
      <c r="CU4" s="847" t="e">
        <f>#REF!</f>
        <v>#REF!</v>
      </c>
      <c r="CV4" s="690" t="e">
        <f>#REF!</f>
        <v>#REF!</v>
      </c>
      <c r="CW4" s="834" t="e">
        <f>#REF!</f>
        <v>#REF!</v>
      </c>
      <c r="CX4" s="834" t="e">
        <f>#REF!</f>
        <v>#REF!</v>
      </c>
      <c r="CY4" s="834" t="e">
        <f>#REF!</f>
        <v>#REF!</v>
      </c>
      <c r="CZ4" s="834" t="e">
        <f>#REF!</f>
        <v>#REF!</v>
      </c>
      <c r="DA4" s="834" t="e">
        <f>#REF!</f>
        <v>#REF!</v>
      </c>
      <c r="DB4" s="834" t="e">
        <f>#REF!</f>
        <v>#REF!</v>
      </c>
      <c r="DC4" s="834" t="e">
        <f>#REF!</f>
        <v>#REF!</v>
      </c>
      <c r="DD4" s="834" t="e">
        <f>#REF!</f>
        <v>#REF!</v>
      </c>
      <c r="DE4" s="834" t="e">
        <f>#REF!</f>
        <v>#REF!</v>
      </c>
      <c r="DF4" s="834" t="e">
        <f>#REF!</f>
        <v>#REF!</v>
      </c>
      <c r="DG4" s="847" t="e">
        <f>#REF!</f>
        <v>#REF!</v>
      </c>
      <c r="DH4" s="690" t="e">
        <f>#REF!</f>
        <v>#REF!</v>
      </c>
      <c r="DI4" s="834" t="e">
        <f>#REF!</f>
        <v>#REF!</v>
      </c>
      <c r="DJ4" s="834" t="e">
        <f>#REF!</f>
        <v>#REF!</v>
      </c>
      <c r="DK4" s="834" t="e">
        <f>#REF!</f>
        <v>#REF!</v>
      </c>
      <c r="DL4" s="834" t="e">
        <f>#REF!</f>
        <v>#REF!</v>
      </c>
      <c r="DM4" s="834" t="e">
        <f>#REF!</f>
        <v>#REF!</v>
      </c>
      <c r="DN4" s="834" t="e">
        <f>#REF!</f>
        <v>#REF!</v>
      </c>
      <c r="DO4" s="834" t="e">
        <f>#REF!</f>
        <v>#REF!</v>
      </c>
      <c r="DP4" s="834" t="e">
        <f>#REF!</f>
        <v>#REF!</v>
      </c>
      <c r="DQ4" s="834" t="e">
        <f>#REF!</f>
        <v>#REF!</v>
      </c>
      <c r="DR4" s="834" t="e">
        <f>#REF!</f>
        <v>#REF!</v>
      </c>
      <c r="DS4" s="847" t="e">
        <f>#REF!</f>
        <v>#REF!</v>
      </c>
    </row>
    <row r="5" spans="1:126" hidden="1" x14ac:dyDescent="0.2">
      <c r="B5" s="21" t="s">
        <v>89</v>
      </c>
      <c r="C5" s="20"/>
      <c r="D5" s="834" t="e">
        <f>#REF!</f>
        <v>#REF!</v>
      </c>
      <c r="E5" s="834" t="e">
        <f>#REF!</f>
        <v>#REF!</v>
      </c>
      <c r="F5" s="834" t="e">
        <f>#REF!</f>
        <v>#REF!</v>
      </c>
      <c r="G5" s="834" t="e">
        <f>#REF!</f>
        <v>#REF!</v>
      </c>
      <c r="H5" s="834" t="e">
        <f>#REF!</f>
        <v>#REF!</v>
      </c>
      <c r="I5" s="834" t="e">
        <f>#REF!</f>
        <v>#REF!</v>
      </c>
      <c r="J5" s="834" t="e">
        <f>#REF!</f>
        <v>#REF!</v>
      </c>
      <c r="K5" s="834" t="e">
        <f>#REF!</f>
        <v>#REF!</v>
      </c>
      <c r="L5" s="834" t="e">
        <f>#REF!</f>
        <v>#REF!</v>
      </c>
      <c r="M5" s="834" t="e">
        <f>#REF!</f>
        <v>#REF!</v>
      </c>
      <c r="N5" s="834" t="e">
        <f>#REF!</f>
        <v>#REF!</v>
      </c>
      <c r="O5" s="847" t="e">
        <f>#REF!</f>
        <v>#REF!</v>
      </c>
      <c r="P5" s="690" t="e">
        <f>#REF!</f>
        <v>#REF!</v>
      </c>
      <c r="Q5" s="834" t="e">
        <f>#REF!</f>
        <v>#REF!</v>
      </c>
      <c r="R5" s="834" t="e">
        <f>#REF!</f>
        <v>#REF!</v>
      </c>
      <c r="S5" s="834" t="e">
        <f>#REF!</f>
        <v>#REF!</v>
      </c>
      <c r="T5" s="834" t="e">
        <f>#REF!</f>
        <v>#REF!</v>
      </c>
      <c r="U5" s="834" t="e">
        <f>#REF!</f>
        <v>#REF!</v>
      </c>
      <c r="V5" s="834" t="e">
        <f>#REF!</f>
        <v>#REF!</v>
      </c>
      <c r="W5" s="834" t="e">
        <f>#REF!</f>
        <v>#REF!</v>
      </c>
      <c r="X5" s="834" t="e">
        <f>#REF!</f>
        <v>#REF!</v>
      </c>
      <c r="Y5" s="834" t="e">
        <f>#REF!</f>
        <v>#REF!</v>
      </c>
      <c r="Z5" s="834" t="e">
        <f>#REF!</f>
        <v>#REF!</v>
      </c>
      <c r="AA5" s="847" t="e">
        <f>#REF!</f>
        <v>#REF!</v>
      </c>
      <c r="AB5" s="844" t="e">
        <f>#REF!</f>
        <v>#REF!</v>
      </c>
      <c r="AC5" s="834" t="e">
        <f>#REF!</f>
        <v>#REF!</v>
      </c>
      <c r="AD5" s="834" t="e">
        <f>#REF!</f>
        <v>#REF!</v>
      </c>
      <c r="AE5" s="834" t="e">
        <f>#REF!</f>
        <v>#REF!</v>
      </c>
      <c r="AF5" s="834" t="e">
        <f>#REF!</f>
        <v>#REF!</v>
      </c>
      <c r="AG5" s="834" t="e">
        <f>#REF!</f>
        <v>#REF!</v>
      </c>
      <c r="AH5" s="834" t="e">
        <f>#REF!</f>
        <v>#REF!</v>
      </c>
      <c r="AI5" s="834" t="e">
        <f>#REF!</f>
        <v>#REF!</v>
      </c>
      <c r="AJ5" s="834" t="e">
        <f>#REF!</f>
        <v>#REF!</v>
      </c>
      <c r="AK5" s="834" t="e">
        <f>#REF!</f>
        <v>#REF!</v>
      </c>
      <c r="AL5" s="834" t="e">
        <f>#REF!</f>
        <v>#REF!</v>
      </c>
      <c r="AM5" s="847" t="e">
        <f>#REF!</f>
        <v>#REF!</v>
      </c>
      <c r="AN5" s="690" t="e">
        <f>#REF!</f>
        <v>#REF!</v>
      </c>
      <c r="AO5" s="834" t="e">
        <f>#REF!</f>
        <v>#REF!</v>
      </c>
      <c r="AP5" s="834" t="e">
        <f>#REF!</f>
        <v>#REF!</v>
      </c>
      <c r="AQ5" s="834" t="e">
        <f>#REF!</f>
        <v>#REF!</v>
      </c>
      <c r="AR5" s="834" t="e">
        <f>#REF!</f>
        <v>#REF!</v>
      </c>
      <c r="AS5" s="834" t="e">
        <f>#REF!</f>
        <v>#REF!</v>
      </c>
      <c r="AT5" s="834" t="e">
        <f>#REF!</f>
        <v>#REF!</v>
      </c>
      <c r="AU5" s="834" t="e">
        <f>#REF!</f>
        <v>#REF!</v>
      </c>
      <c r="AV5" s="834" t="e">
        <f>#REF!</f>
        <v>#REF!</v>
      </c>
      <c r="AW5" s="834" t="e">
        <f>#REF!</f>
        <v>#REF!</v>
      </c>
      <c r="AX5" s="834" t="e">
        <f>#REF!</f>
        <v>#REF!</v>
      </c>
      <c r="AY5" s="847" t="e">
        <f>#REF!</f>
        <v>#REF!</v>
      </c>
      <c r="AZ5" s="690" t="e">
        <f>#REF!</f>
        <v>#REF!</v>
      </c>
      <c r="BA5" s="834" t="e">
        <f>#REF!</f>
        <v>#REF!</v>
      </c>
      <c r="BB5" s="834" t="e">
        <f>#REF!</f>
        <v>#REF!</v>
      </c>
      <c r="BC5" s="834" t="e">
        <f>#REF!</f>
        <v>#REF!</v>
      </c>
      <c r="BD5" s="834" t="e">
        <f>#REF!</f>
        <v>#REF!</v>
      </c>
      <c r="BE5" s="834" t="e">
        <f>#REF!</f>
        <v>#REF!</v>
      </c>
      <c r="BF5" s="834" t="e">
        <f>#REF!</f>
        <v>#REF!</v>
      </c>
      <c r="BG5" s="834" t="e">
        <f>#REF!</f>
        <v>#REF!</v>
      </c>
      <c r="BH5" s="834" t="e">
        <f>#REF!</f>
        <v>#REF!</v>
      </c>
      <c r="BI5" s="834" t="e">
        <f>#REF!</f>
        <v>#REF!</v>
      </c>
      <c r="BJ5" s="834" t="e">
        <f>#REF!</f>
        <v>#REF!</v>
      </c>
      <c r="BK5" s="847" t="e">
        <f>#REF!</f>
        <v>#REF!</v>
      </c>
      <c r="BL5" s="690" t="e">
        <f>#REF!</f>
        <v>#REF!</v>
      </c>
      <c r="BM5" s="834" t="e">
        <f>#REF!</f>
        <v>#REF!</v>
      </c>
      <c r="BN5" s="834" t="e">
        <f>#REF!</f>
        <v>#REF!</v>
      </c>
      <c r="BO5" s="834" t="e">
        <f>#REF!</f>
        <v>#REF!</v>
      </c>
      <c r="BP5" s="834" t="e">
        <f>#REF!</f>
        <v>#REF!</v>
      </c>
      <c r="BQ5" s="834" t="e">
        <f>#REF!</f>
        <v>#REF!</v>
      </c>
      <c r="BR5" s="834" t="e">
        <f>#REF!</f>
        <v>#REF!</v>
      </c>
      <c r="BS5" s="834" t="e">
        <f>#REF!</f>
        <v>#REF!</v>
      </c>
      <c r="BT5" s="834" t="e">
        <f>#REF!</f>
        <v>#REF!</v>
      </c>
      <c r="BU5" s="834" t="e">
        <f>#REF!</f>
        <v>#REF!</v>
      </c>
      <c r="BV5" s="834" t="e">
        <f>#REF!</f>
        <v>#REF!</v>
      </c>
      <c r="BW5" s="847" t="e">
        <f>#REF!</f>
        <v>#REF!</v>
      </c>
      <c r="BX5" s="690" t="e">
        <f>#REF!</f>
        <v>#REF!</v>
      </c>
      <c r="BY5" s="834" t="e">
        <f>#REF!</f>
        <v>#REF!</v>
      </c>
      <c r="BZ5" s="834" t="e">
        <f>#REF!</f>
        <v>#REF!</v>
      </c>
      <c r="CA5" s="834" t="e">
        <f>#REF!</f>
        <v>#REF!</v>
      </c>
      <c r="CB5" s="834" t="e">
        <f>#REF!</f>
        <v>#REF!</v>
      </c>
      <c r="CC5" s="834" t="e">
        <f>#REF!</f>
        <v>#REF!</v>
      </c>
      <c r="CD5" s="834" t="e">
        <f>#REF!</f>
        <v>#REF!</v>
      </c>
      <c r="CE5" s="834" t="e">
        <f>#REF!</f>
        <v>#REF!</v>
      </c>
      <c r="CF5" s="834" t="e">
        <f>#REF!</f>
        <v>#REF!</v>
      </c>
      <c r="CG5" s="834" t="e">
        <f>#REF!</f>
        <v>#REF!</v>
      </c>
      <c r="CH5" s="834" t="e">
        <f>#REF!</f>
        <v>#REF!</v>
      </c>
      <c r="CI5" s="847" t="e">
        <f>#REF!</f>
        <v>#REF!</v>
      </c>
      <c r="CJ5" s="690" t="e">
        <f>#REF!</f>
        <v>#REF!</v>
      </c>
      <c r="CK5" s="834" t="e">
        <f>#REF!</f>
        <v>#REF!</v>
      </c>
      <c r="CL5" s="834" t="e">
        <f>#REF!</f>
        <v>#REF!</v>
      </c>
      <c r="CM5" s="834" t="e">
        <f>#REF!</f>
        <v>#REF!</v>
      </c>
      <c r="CN5" s="834" t="e">
        <f>#REF!</f>
        <v>#REF!</v>
      </c>
      <c r="CO5" s="834" t="e">
        <f>#REF!</f>
        <v>#REF!</v>
      </c>
      <c r="CP5" s="834" t="e">
        <f>#REF!</f>
        <v>#REF!</v>
      </c>
      <c r="CQ5" s="834" t="e">
        <f>#REF!</f>
        <v>#REF!</v>
      </c>
      <c r="CR5" s="834" t="e">
        <f>#REF!</f>
        <v>#REF!</v>
      </c>
      <c r="CS5" s="834" t="e">
        <f>#REF!</f>
        <v>#REF!</v>
      </c>
      <c r="CT5" s="834" t="e">
        <f>#REF!</f>
        <v>#REF!</v>
      </c>
      <c r="CU5" s="847" t="e">
        <f>#REF!</f>
        <v>#REF!</v>
      </c>
      <c r="CV5" s="690" t="e">
        <f>#REF!</f>
        <v>#REF!</v>
      </c>
      <c r="CW5" s="834" t="e">
        <f>#REF!</f>
        <v>#REF!</v>
      </c>
      <c r="CX5" s="834" t="e">
        <f>#REF!</f>
        <v>#REF!</v>
      </c>
      <c r="CY5" s="834" t="e">
        <f>#REF!</f>
        <v>#REF!</v>
      </c>
      <c r="CZ5" s="834" t="e">
        <f>#REF!</f>
        <v>#REF!</v>
      </c>
      <c r="DA5" s="834" t="e">
        <f>#REF!</f>
        <v>#REF!</v>
      </c>
      <c r="DB5" s="834" t="e">
        <f>#REF!</f>
        <v>#REF!</v>
      </c>
      <c r="DC5" s="834" t="e">
        <f>#REF!</f>
        <v>#REF!</v>
      </c>
      <c r="DD5" s="834" t="e">
        <f>#REF!</f>
        <v>#REF!</v>
      </c>
      <c r="DE5" s="834" t="e">
        <f>#REF!</f>
        <v>#REF!</v>
      </c>
      <c r="DF5" s="834" t="e">
        <f>#REF!</f>
        <v>#REF!</v>
      </c>
      <c r="DG5" s="847" t="e">
        <f>#REF!</f>
        <v>#REF!</v>
      </c>
      <c r="DH5" s="690" t="e">
        <f>#REF!</f>
        <v>#REF!</v>
      </c>
      <c r="DI5" s="834" t="e">
        <f>#REF!</f>
        <v>#REF!</v>
      </c>
      <c r="DJ5" s="834" t="e">
        <f>#REF!</f>
        <v>#REF!</v>
      </c>
      <c r="DK5" s="834" t="e">
        <f>#REF!</f>
        <v>#REF!</v>
      </c>
      <c r="DL5" s="834" t="e">
        <f>#REF!</f>
        <v>#REF!</v>
      </c>
      <c r="DM5" s="834" t="e">
        <f>#REF!</f>
        <v>#REF!</v>
      </c>
      <c r="DN5" s="834" t="e">
        <f>#REF!</f>
        <v>#REF!</v>
      </c>
      <c r="DO5" s="834" t="e">
        <f>#REF!</f>
        <v>#REF!</v>
      </c>
      <c r="DP5" s="834" t="e">
        <f>#REF!</f>
        <v>#REF!</v>
      </c>
      <c r="DQ5" s="834" t="e">
        <f>#REF!</f>
        <v>#REF!</v>
      </c>
      <c r="DR5" s="834" t="e">
        <f>#REF!</f>
        <v>#REF!</v>
      </c>
      <c r="DS5" s="847" t="e">
        <f>#REF!</f>
        <v>#REF!</v>
      </c>
    </row>
    <row r="6" spans="1:126" hidden="1" x14ac:dyDescent="0.2">
      <c r="B6" s="21" t="s">
        <v>307</v>
      </c>
      <c r="C6" s="22" t="str">
        <f>Assumptions!D7</f>
        <v>Inflation factor</v>
      </c>
      <c r="D6" s="834">
        <f>Assumptions!$E$7</f>
        <v>1</v>
      </c>
      <c r="E6" s="834">
        <f>Assumptions!$E$7</f>
        <v>1</v>
      </c>
      <c r="F6" s="834">
        <f>Assumptions!$E$7</f>
        <v>1</v>
      </c>
      <c r="G6" s="834">
        <f>Assumptions!$E$7</f>
        <v>1</v>
      </c>
      <c r="H6" s="834">
        <f>Assumptions!$E$7</f>
        <v>1</v>
      </c>
      <c r="I6" s="834">
        <f>Assumptions!$E$7</f>
        <v>1</v>
      </c>
      <c r="J6" s="834">
        <f>Assumptions!$E$7</f>
        <v>1</v>
      </c>
      <c r="K6" s="834">
        <f>Assumptions!$E$7</f>
        <v>1</v>
      </c>
      <c r="L6" s="834">
        <f>Assumptions!$E$7</f>
        <v>1</v>
      </c>
      <c r="M6" s="834">
        <f>Assumptions!$E$7</f>
        <v>1</v>
      </c>
      <c r="N6" s="834">
        <f>Assumptions!$E$7</f>
        <v>1</v>
      </c>
      <c r="O6" s="847">
        <f>Assumptions!$E$7</f>
        <v>1</v>
      </c>
      <c r="P6" s="690">
        <f>Assumptions!$F7</f>
        <v>1.0629999999999999</v>
      </c>
      <c r="Q6" s="834">
        <f>Assumptions!$F7</f>
        <v>1.0629999999999999</v>
      </c>
      <c r="R6" s="834">
        <f>Assumptions!$F7</f>
        <v>1.0629999999999999</v>
      </c>
      <c r="S6" s="834">
        <f>Assumptions!$F7</f>
        <v>1.0629999999999999</v>
      </c>
      <c r="T6" s="834">
        <f>Assumptions!$F7</f>
        <v>1.0629999999999999</v>
      </c>
      <c r="U6" s="834">
        <f>Assumptions!$F7</f>
        <v>1.0629999999999999</v>
      </c>
      <c r="V6" s="834">
        <f>Assumptions!$F7</f>
        <v>1.0629999999999999</v>
      </c>
      <c r="W6" s="834">
        <f>Assumptions!$F7</f>
        <v>1.0629999999999999</v>
      </c>
      <c r="X6" s="834">
        <f>Assumptions!$F7</f>
        <v>1.0629999999999999</v>
      </c>
      <c r="Y6" s="834">
        <f>Assumptions!$F7</f>
        <v>1.0629999999999999</v>
      </c>
      <c r="Z6" s="834">
        <f>Assumptions!$F7</f>
        <v>1.0629999999999999</v>
      </c>
      <c r="AA6" s="847">
        <f>Assumptions!$F7</f>
        <v>1.0629999999999999</v>
      </c>
      <c r="AB6" s="844">
        <f>Assumptions!$G7</f>
        <v>1.1299689999999998</v>
      </c>
      <c r="AC6" s="834">
        <f>Assumptions!$G7</f>
        <v>1.1299689999999998</v>
      </c>
      <c r="AD6" s="834">
        <f>Assumptions!$G7</f>
        <v>1.1299689999999998</v>
      </c>
      <c r="AE6" s="834">
        <f>Assumptions!$G7</f>
        <v>1.1299689999999998</v>
      </c>
      <c r="AF6" s="834">
        <f>Assumptions!$G7</f>
        <v>1.1299689999999998</v>
      </c>
      <c r="AG6" s="834">
        <f>Assumptions!$G7</f>
        <v>1.1299689999999998</v>
      </c>
      <c r="AH6" s="834">
        <f>Assumptions!$G7</f>
        <v>1.1299689999999998</v>
      </c>
      <c r="AI6" s="834">
        <f>Assumptions!$G7</f>
        <v>1.1299689999999998</v>
      </c>
      <c r="AJ6" s="834">
        <f>Assumptions!$G7</f>
        <v>1.1299689999999998</v>
      </c>
      <c r="AK6" s="834">
        <f>Assumptions!$G7</f>
        <v>1.1299689999999998</v>
      </c>
      <c r="AL6" s="834">
        <f>Assumptions!$G7</f>
        <v>1.1299689999999998</v>
      </c>
      <c r="AM6" s="847">
        <f>Assumptions!$G7</f>
        <v>1.1299689999999998</v>
      </c>
      <c r="AN6" s="690">
        <f>Assumptions!$H7</f>
        <v>1.2011570469999997</v>
      </c>
      <c r="AO6" s="834">
        <f>Assumptions!$H7</f>
        <v>1.2011570469999997</v>
      </c>
      <c r="AP6" s="834">
        <f>Assumptions!$H7</f>
        <v>1.2011570469999997</v>
      </c>
      <c r="AQ6" s="834">
        <f>Assumptions!$H7</f>
        <v>1.2011570469999997</v>
      </c>
      <c r="AR6" s="834">
        <f>Assumptions!$H7</f>
        <v>1.2011570469999997</v>
      </c>
      <c r="AS6" s="834">
        <f>Assumptions!$H7</f>
        <v>1.2011570469999997</v>
      </c>
      <c r="AT6" s="834">
        <f>Assumptions!$H7</f>
        <v>1.2011570469999997</v>
      </c>
      <c r="AU6" s="834">
        <f>Assumptions!$H7</f>
        <v>1.2011570469999997</v>
      </c>
      <c r="AV6" s="834">
        <f>Assumptions!$H7</f>
        <v>1.2011570469999997</v>
      </c>
      <c r="AW6" s="834">
        <f>Assumptions!$H7</f>
        <v>1.2011570469999997</v>
      </c>
      <c r="AX6" s="834">
        <f>Assumptions!$H7</f>
        <v>1.2011570469999997</v>
      </c>
      <c r="AY6" s="847">
        <f>Assumptions!$H7</f>
        <v>1.2011570469999997</v>
      </c>
      <c r="AZ6" s="690">
        <f>Assumptions!$I7</f>
        <v>1.2768299409609996</v>
      </c>
      <c r="BA6" s="834">
        <f>Assumptions!$I7</f>
        <v>1.2768299409609996</v>
      </c>
      <c r="BB6" s="834">
        <f>Assumptions!$I7</f>
        <v>1.2768299409609996</v>
      </c>
      <c r="BC6" s="834">
        <f>Assumptions!$I7</f>
        <v>1.2768299409609996</v>
      </c>
      <c r="BD6" s="834">
        <f>Assumptions!$I7</f>
        <v>1.2768299409609996</v>
      </c>
      <c r="BE6" s="834">
        <f>Assumptions!$I7</f>
        <v>1.2768299409609996</v>
      </c>
      <c r="BF6" s="834">
        <f>Assumptions!$I7</f>
        <v>1.2768299409609996</v>
      </c>
      <c r="BG6" s="834">
        <f>Assumptions!$I7</f>
        <v>1.2768299409609996</v>
      </c>
      <c r="BH6" s="834">
        <f>Assumptions!$I7</f>
        <v>1.2768299409609996</v>
      </c>
      <c r="BI6" s="834">
        <f>Assumptions!$I7</f>
        <v>1.2768299409609996</v>
      </c>
      <c r="BJ6" s="834">
        <f>Assumptions!$I7</f>
        <v>1.2768299409609996</v>
      </c>
      <c r="BK6" s="847">
        <f>Assumptions!$I7</f>
        <v>1.2768299409609996</v>
      </c>
      <c r="BL6" s="690">
        <f>Assumptions!$J7</f>
        <v>1.3572702272415424</v>
      </c>
      <c r="BM6" s="834">
        <f>Assumptions!$J7</f>
        <v>1.3572702272415424</v>
      </c>
      <c r="BN6" s="834">
        <f>Assumptions!$J7</f>
        <v>1.3572702272415424</v>
      </c>
      <c r="BO6" s="834">
        <f>Assumptions!$J7</f>
        <v>1.3572702272415424</v>
      </c>
      <c r="BP6" s="834">
        <f>Assumptions!$J7</f>
        <v>1.3572702272415424</v>
      </c>
      <c r="BQ6" s="834">
        <f>Assumptions!$J7</f>
        <v>1.3572702272415424</v>
      </c>
      <c r="BR6" s="834">
        <f>Assumptions!$J7</f>
        <v>1.3572702272415424</v>
      </c>
      <c r="BS6" s="834">
        <f>Assumptions!$J7</f>
        <v>1.3572702272415424</v>
      </c>
      <c r="BT6" s="834">
        <f>Assumptions!$J7</f>
        <v>1.3572702272415424</v>
      </c>
      <c r="BU6" s="834">
        <f>Assumptions!$J7</f>
        <v>1.3572702272415424</v>
      </c>
      <c r="BV6" s="834">
        <f>Assumptions!$J7</f>
        <v>1.3572702272415424</v>
      </c>
      <c r="BW6" s="847">
        <f>Assumptions!$J7</f>
        <v>1.3572702272415424</v>
      </c>
      <c r="BX6" s="690">
        <f>Assumptions!$K7</f>
        <v>1.4427782515577596</v>
      </c>
      <c r="BY6" s="834">
        <f>Assumptions!$K7</f>
        <v>1.4427782515577596</v>
      </c>
      <c r="BZ6" s="834">
        <f>Assumptions!$K7</f>
        <v>1.4427782515577596</v>
      </c>
      <c r="CA6" s="834">
        <f>Assumptions!$K7</f>
        <v>1.4427782515577596</v>
      </c>
      <c r="CB6" s="834">
        <f>Assumptions!$K7</f>
        <v>1.4427782515577596</v>
      </c>
      <c r="CC6" s="834">
        <f>Assumptions!$K7</f>
        <v>1.4427782515577596</v>
      </c>
      <c r="CD6" s="834">
        <f>Assumptions!$K7</f>
        <v>1.4427782515577596</v>
      </c>
      <c r="CE6" s="834">
        <f>Assumptions!$K7</f>
        <v>1.4427782515577596</v>
      </c>
      <c r="CF6" s="834">
        <f>Assumptions!$K7</f>
        <v>1.4427782515577596</v>
      </c>
      <c r="CG6" s="834">
        <f>Assumptions!$K7</f>
        <v>1.4427782515577596</v>
      </c>
      <c r="CH6" s="834">
        <f>Assumptions!$K7</f>
        <v>1.4427782515577596</v>
      </c>
      <c r="CI6" s="847">
        <f>Assumptions!$K7</f>
        <v>1.4427782515577596</v>
      </c>
      <c r="CJ6" s="690">
        <f>Assumptions!$L7</f>
        <v>1.5336732814058984</v>
      </c>
      <c r="CK6" s="834">
        <f>Assumptions!$L7</f>
        <v>1.5336732814058984</v>
      </c>
      <c r="CL6" s="834">
        <f>Assumptions!$L7</f>
        <v>1.5336732814058984</v>
      </c>
      <c r="CM6" s="834">
        <f>Assumptions!$L7</f>
        <v>1.5336732814058984</v>
      </c>
      <c r="CN6" s="834">
        <f>Assumptions!$L7</f>
        <v>1.5336732814058984</v>
      </c>
      <c r="CO6" s="834">
        <f>Assumptions!$L7</f>
        <v>1.5336732814058984</v>
      </c>
      <c r="CP6" s="834">
        <f>Assumptions!$L7</f>
        <v>1.5336732814058984</v>
      </c>
      <c r="CQ6" s="834">
        <f>Assumptions!$L7</f>
        <v>1.5336732814058984</v>
      </c>
      <c r="CR6" s="834">
        <f>Assumptions!$L7</f>
        <v>1.5336732814058984</v>
      </c>
      <c r="CS6" s="834">
        <f>Assumptions!$L7</f>
        <v>1.5336732814058984</v>
      </c>
      <c r="CT6" s="834">
        <f>Assumptions!$L7</f>
        <v>1.5336732814058984</v>
      </c>
      <c r="CU6" s="847">
        <f>Assumptions!$L7</f>
        <v>1.5336732814058984</v>
      </c>
      <c r="CV6" s="690">
        <f>Assumptions!$M7</f>
        <v>1.6302946981344699</v>
      </c>
      <c r="CW6" s="834">
        <f>Assumptions!$M7</f>
        <v>1.6302946981344699</v>
      </c>
      <c r="CX6" s="834">
        <f>Assumptions!$M7</f>
        <v>1.6302946981344699</v>
      </c>
      <c r="CY6" s="834">
        <f>Assumptions!$M7</f>
        <v>1.6302946981344699</v>
      </c>
      <c r="CZ6" s="834">
        <f>Assumptions!$M7</f>
        <v>1.6302946981344699</v>
      </c>
      <c r="DA6" s="834">
        <f>Assumptions!$M7</f>
        <v>1.6302946981344699</v>
      </c>
      <c r="DB6" s="834">
        <f>Assumptions!$M7</f>
        <v>1.6302946981344699</v>
      </c>
      <c r="DC6" s="834">
        <f>Assumptions!$M7</f>
        <v>1.6302946981344699</v>
      </c>
      <c r="DD6" s="834">
        <f>Assumptions!$M7</f>
        <v>1.6302946981344699</v>
      </c>
      <c r="DE6" s="834">
        <f>Assumptions!$M7</f>
        <v>1.6302946981344699</v>
      </c>
      <c r="DF6" s="834">
        <f>Assumptions!$M7</f>
        <v>1.6302946981344699</v>
      </c>
      <c r="DG6" s="847">
        <f>Assumptions!$M7</f>
        <v>1.6302946981344699</v>
      </c>
      <c r="DH6" s="690">
        <f>Assumptions!$N7</f>
        <v>1.7330032641169415</v>
      </c>
      <c r="DI6" s="834">
        <f>Assumptions!$N7</f>
        <v>1.7330032641169415</v>
      </c>
      <c r="DJ6" s="834">
        <f>Assumptions!$N7</f>
        <v>1.7330032641169415</v>
      </c>
      <c r="DK6" s="834">
        <f>Assumptions!$N7</f>
        <v>1.7330032641169415</v>
      </c>
      <c r="DL6" s="834">
        <f>Assumptions!$N7</f>
        <v>1.7330032641169415</v>
      </c>
      <c r="DM6" s="834">
        <f>Assumptions!$N7</f>
        <v>1.7330032641169415</v>
      </c>
      <c r="DN6" s="834">
        <f>Assumptions!$N7</f>
        <v>1.7330032641169415</v>
      </c>
      <c r="DO6" s="834">
        <f>Assumptions!$N7</f>
        <v>1.7330032641169415</v>
      </c>
      <c r="DP6" s="834">
        <f>Assumptions!$N7</f>
        <v>1.7330032641169415</v>
      </c>
      <c r="DQ6" s="834">
        <f>Assumptions!$N7</f>
        <v>1.7330032641169415</v>
      </c>
      <c r="DR6" s="834">
        <f>Assumptions!$N7</f>
        <v>1.7330032641169415</v>
      </c>
      <c r="DS6" s="847">
        <f>Assumptions!$N7</f>
        <v>1.7330032641169415</v>
      </c>
    </row>
    <row r="7" spans="1:126" ht="22.5" customHeight="1" x14ac:dyDescent="0.25">
      <c r="A7" s="5"/>
      <c r="B7" s="13"/>
      <c r="D7" s="832"/>
      <c r="E7" s="832"/>
      <c r="F7" s="837"/>
      <c r="G7" s="832"/>
      <c r="H7" s="832"/>
      <c r="I7" s="832"/>
      <c r="J7" s="832"/>
      <c r="K7" s="832"/>
      <c r="L7" s="832"/>
      <c r="M7" s="832"/>
      <c r="N7" s="832"/>
      <c r="O7" s="842"/>
      <c r="P7" s="832"/>
      <c r="Q7" s="832"/>
      <c r="R7" s="837"/>
      <c r="S7" s="832"/>
      <c r="T7" s="832"/>
      <c r="U7" s="832"/>
      <c r="V7" s="832"/>
      <c r="W7" s="832"/>
      <c r="X7" s="832"/>
      <c r="Y7" s="832"/>
      <c r="Z7" s="832"/>
      <c r="AA7" s="842"/>
      <c r="AB7" s="843"/>
      <c r="AC7" s="887"/>
      <c r="AD7" s="837"/>
      <c r="AE7" s="887"/>
      <c r="AF7" s="887"/>
      <c r="AG7" s="887"/>
      <c r="AH7" s="887"/>
      <c r="AI7" s="887"/>
      <c r="AJ7" s="887"/>
      <c r="AK7" s="887"/>
      <c r="AL7" s="887"/>
      <c r="AM7" s="842"/>
      <c r="AN7" s="887"/>
      <c r="AO7" s="887"/>
      <c r="AP7" s="837"/>
      <c r="AQ7" s="887"/>
      <c r="AR7" s="887"/>
      <c r="AS7" s="887"/>
      <c r="AT7" s="887"/>
      <c r="AU7" s="887"/>
      <c r="AV7" s="887"/>
      <c r="AW7" s="887"/>
      <c r="AX7" s="887"/>
      <c r="AY7" s="842"/>
      <c r="AZ7" s="887"/>
      <c r="BA7" s="887"/>
      <c r="BB7" s="837"/>
      <c r="BC7" s="887"/>
      <c r="BD7" s="887"/>
      <c r="BE7" s="887"/>
      <c r="BF7" s="887"/>
      <c r="BG7" s="887"/>
      <c r="BH7" s="887"/>
      <c r="BI7" s="887"/>
      <c r="BJ7" s="887"/>
      <c r="BK7" s="842"/>
      <c r="BL7" s="887"/>
      <c r="BM7" s="887"/>
      <c r="BN7" s="837"/>
      <c r="BO7" s="887"/>
      <c r="BP7" s="887"/>
      <c r="BQ7" s="887"/>
      <c r="BR7" s="887"/>
      <c r="BS7" s="887"/>
      <c r="BT7" s="887"/>
      <c r="BU7" s="887"/>
      <c r="BV7" s="887"/>
      <c r="BW7" s="842"/>
      <c r="BX7" s="887"/>
      <c r="BY7" s="887"/>
      <c r="BZ7" s="837"/>
      <c r="CA7" s="887"/>
      <c r="CB7" s="887"/>
      <c r="CC7" s="887"/>
      <c r="CD7" s="887"/>
      <c r="CE7" s="887"/>
      <c r="CF7" s="887"/>
      <c r="CG7" s="887"/>
      <c r="CH7" s="887"/>
      <c r="CI7" s="842"/>
      <c r="CJ7" s="887"/>
      <c r="CK7" s="887"/>
      <c r="CL7" s="837"/>
      <c r="CM7" s="887"/>
      <c r="CN7" s="887"/>
      <c r="CO7" s="887"/>
      <c r="CP7" s="887"/>
      <c r="CQ7" s="887"/>
      <c r="CR7" s="887"/>
      <c r="CS7" s="887"/>
      <c r="CT7" s="887"/>
      <c r="CU7" s="842"/>
      <c r="CV7" s="887"/>
      <c r="CW7" s="887"/>
      <c r="CX7" s="837"/>
      <c r="CY7" s="887"/>
      <c r="CZ7" s="887"/>
      <c r="DA7" s="887"/>
      <c r="DB7" s="887"/>
      <c r="DC7" s="887"/>
      <c r="DD7" s="887"/>
      <c r="DE7" s="887"/>
      <c r="DF7" s="887"/>
      <c r="DG7" s="842"/>
      <c r="DH7" s="887"/>
      <c r="DI7" s="887"/>
      <c r="DJ7" s="837"/>
      <c r="DK7" s="887"/>
      <c r="DL7" s="887"/>
      <c r="DM7" s="887"/>
      <c r="DN7" s="887"/>
      <c r="DO7" s="887"/>
      <c r="DP7" s="887"/>
      <c r="DQ7" s="887"/>
      <c r="DR7" s="887"/>
      <c r="DS7" s="842"/>
    </row>
    <row r="8" spans="1:126" ht="15.75" x14ac:dyDescent="0.25">
      <c r="A8" s="125"/>
      <c r="B8" s="166" t="s">
        <v>1378</v>
      </c>
      <c r="D8" s="832"/>
      <c r="E8" s="832"/>
      <c r="F8" s="837"/>
      <c r="G8" s="832"/>
      <c r="H8" s="832"/>
      <c r="I8" s="832"/>
      <c r="J8" s="832"/>
      <c r="K8" s="832"/>
      <c r="L8" s="832"/>
      <c r="M8" s="832"/>
      <c r="N8" s="832"/>
      <c r="O8" s="842"/>
      <c r="P8" s="832"/>
      <c r="Q8" s="832"/>
      <c r="R8" s="837"/>
      <c r="S8" s="832"/>
      <c r="T8" s="832"/>
      <c r="U8" s="832"/>
      <c r="V8" s="832"/>
      <c r="W8" s="832"/>
      <c r="X8" s="832"/>
      <c r="Y8" s="832"/>
      <c r="Z8" s="832"/>
      <c r="AA8" s="842"/>
      <c r="AB8" s="843"/>
      <c r="AC8" s="887"/>
      <c r="AD8" s="837"/>
      <c r="AE8" s="887"/>
      <c r="AF8" s="887"/>
      <c r="AG8" s="887"/>
      <c r="AH8" s="887"/>
      <c r="AI8" s="887"/>
      <c r="AJ8" s="887"/>
      <c r="AK8" s="887"/>
      <c r="AL8" s="887"/>
      <c r="AM8" s="842"/>
      <c r="AN8" s="887"/>
      <c r="AO8" s="887"/>
      <c r="AP8" s="837"/>
      <c r="AQ8" s="887"/>
      <c r="AR8" s="887"/>
      <c r="AS8" s="887"/>
      <c r="AT8" s="887"/>
      <c r="AU8" s="887"/>
      <c r="AV8" s="887"/>
      <c r="AW8" s="887"/>
      <c r="AX8" s="887"/>
      <c r="AY8" s="842"/>
      <c r="AZ8" s="887"/>
      <c r="BA8" s="887"/>
      <c r="BB8" s="837"/>
      <c r="BC8" s="887"/>
      <c r="BD8" s="887"/>
      <c r="BE8" s="887"/>
      <c r="BF8" s="887"/>
      <c r="BG8" s="887"/>
      <c r="BH8" s="887"/>
      <c r="BI8" s="887"/>
      <c r="BJ8" s="887"/>
      <c r="BK8" s="842"/>
      <c r="BL8" s="887"/>
      <c r="BM8" s="887"/>
      <c r="BN8" s="837"/>
      <c r="BO8" s="887"/>
      <c r="BP8" s="887"/>
      <c r="BQ8" s="887"/>
      <c r="BR8" s="887"/>
      <c r="BS8" s="887"/>
      <c r="BT8" s="887"/>
      <c r="BU8" s="887"/>
      <c r="BV8" s="887"/>
      <c r="BW8" s="842"/>
      <c r="BX8" s="887"/>
      <c r="BY8" s="887"/>
      <c r="BZ8" s="837"/>
      <c r="CA8" s="887"/>
      <c r="CB8" s="887"/>
      <c r="CC8" s="887"/>
      <c r="CD8" s="887"/>
      <c r="CE8" s="887"/>
      <c r="CF8" s="887"/>
      <c r="CG8" s="887"/>
      <c r="CH8" s="887"/>
      <c r="CI8" s="842"/>
      <c r="CJ8" s="887"/>
      <c r="CK8" s="887"/>
      <c r="CL8" s="837"/>
      <c r="CM8" s="887"/>
      <c r="CN8" s="887"/>
      <c r="CO8" s="887"/>
      <c r="CP8" s="887"/>
      <c r="CQ8" s="887"/>
      <c r="CR8" s="887"/>
      <c r="CS8" s="887"/>
      <c r="CT8" s="887"/>
      <c r="CU8" s="842"/>
      <c r="CV8" s="887"/>
      <c r="CW8" s="887"/>
      <c r="CX8" s="837"/>
      <c r="CY8" s="887"/>
      <c r="CZ8" s="887"/>
      <c r="DA8" s="887"/>
      <c r="DB8" s="887"/>
      <c r="DC8" s="887"/>
      <c r="DD8" s="887"/>
      <c r="DE8" s="887"/>
      <c r="DF8" s="887"/>
      <c r="DG8" s="842"/>
      <c r="DH8" s="887"/>
      <c r="DI8" s="887"/>
      <c r="DJ8" s="837"/>
      <c r="DK8" s="887"/>
      <c r="DL8" s="887"/>
      <c r="DM8" s="887"/>
      <c r="DN8" s="887"/>
      <c r="DO8" s="887"/>
      <c r="DP8" s="887"/>
      <c r="DQ8" s="887"/>
      <c r="DR8" s="887"/>
      <c r="DS8" s="842"/>
    </row>
    <row r="9" spans="1:126" ht="15" x14ac:dyDescent="0.25">
      <c r="A9" s="9"/>
      <c r="B9" s="160" t="s">
        <v>547</v>
      </c>
      <c r="C9" s="7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535"/>
      <c r="P9" s="107"/>
      <c r="Q9" s="106"/>
      <c r="R9" s="106"/>
      <c r="S9" s="106"/>
      <c r="T9" s="106"/>
      <c r="U9" s="106"/>
      <c r="V9" s="106"/>
      <c r="W9" s="106"/>
      <c r="X9" s="106"/>
      <c r="Y9" s="106"/>
      <c r="Z9" s="106">
        <f>-((Production!AA22*Assumptions!$C45)+('1.Revenue'!AA25*Assumptions!$C46))</f>
        <v>0</v>
      </c>
      <c r="AA9" s="108">
        <f>-((Production!AB22*Assumptions!$C45)+('1.Revenue'!AB25*Assumptions!$C46))</f>
        <v>0</v>
      </c>
      <c r="AB9" s="345">
        <f>-((Production!AC22*Assumptions!$C45)+('1.Revenue'!AC25*Assumptions!$C46))</f>
        <v>0</v>
      </c>
      <c r="AC9" s="106">
        <f>-((Production!AD22*Assumptions!$C45)+('1.Revenue'!AD25*Assumptions!$C46))</f>
        <v>0</v>
      </c>
      <c r="AD9" s="106">
        <f>-((Production!AE22*Assumptions!$C45)+('1.Revenue'!AE25*Assumptions!$C46))</f>
        <v>0</v>
      </c>
      <c r="AE9" s="106">
        <f>-((Production!AF22*Assumptions!$C45)+('1.Revenue'!AF25*Assumptions!$C46))</f>
        <v>0</v>
      </c>
      <c r="AF9" s="106">
        <f>-((Production!AG22*Assumptions!$C45)+('1.Revenue'!AG25*Assumptions!$C46))</f>
        <v>0</v>
      </c>
      <c r="AG9" s="106">
        <f>-((Production!AH22*Assumptions!$C45)+('1.Revenue'!AH25*Assumptions!$C46))</f>
        <v>0</v>
      </c>
      <c r="AH9" s="106">
        <f>-((Production!AI22*Assumptions!$C45)+('1.Revenue'!AI25*Assumptions!$C46))</f>
        <v>0</v>
      </c>
      <c r="AI9" s="106">
        <f>-((Production!AJ22*Assumptions!$C45)+('1.Revenue'!AJ25*Assumptions!$C46))</f>
        <v>0</v>
      </c>
      <c r="AJ9" s="106">
        <f>-((Production!AK22*Assumptions!$C45)+('1.Revenue'!AK25*Assumptions!$C46))</f>
        <v>0</v>
      </c>
      <c r="AK9" s="106">
        <f>(-((Production!AL22*Assumptions!$C45)+('1.Revenue'!AL25*Assumptions!$C46)))*AK6</f>
        <v>-320216.28637731494</v>
      </c>
      <c r="AL9" s="106">
        <f>(-((Production!AM22*Assumptions!$C45)+('1.Revenue'!AM25*Assumptions!$C46)))*AL6</f>
        <v>-352913.60052649345</v>
      </c>
      <c r="AM9" s="108">
        <f>(-((Production!AN22*Assumptions!$C45)+('1.Revenue'!AN25*Assumptions!$C46)))*AM6</f>
        <v>-316876.62077895465</v>
      </c>
      <c r="AN9" s="107">
        <f>(-((Production!AO22*Assumptions!$C45)+('1.Revenue'!AO25*Assumptions!$C46)))*AN6</f>
        <v>-357611.87665486621</v>
      </c>
      <c r="AO9" s="106">
        <f>(-((Production!AP22*Assumptions!$C45)+('1.Revenue'!AP25*Assumptions!$C46)))*AO6</f>
        <v>-406376.73315036565</v>
      </c>
      <c r="AP9" s="106">
        <f>(-((Production!AQ22*Assumptions!$C45)+('1.Revenue'!AQ25*Assumptions!$C46)))*AP6</f>
        <v>-352973.41249282612</v>
      </c>
      <c r="AQ9" s="106">
        <f>(-((Production!AR22*Assumptions!$C45)+('1.Revenue'!AR25*Assumptions!$C46)))*AQ6</f>
        <v>-373161.27884319448</v>
      </c>
      <c r="AR9" s="106">
        <f>(-((Production!AS22*Assumptions!$C45)+('1.Revenue'!AS25*Assumptions!$C46)))*AR6</f>
        <v>-397457.89887252409</v>
      </c>
      <c r="AS9" s="106">
        <f>(-((Production!AT22*Assumptions!$C45)+('1.Revenue'!AT25*Assumptions!$C46)))*AS6</f>
        <v>-368483.22760729876</v>
      </c>
      <c r="AT9" s="106">
        <f>(-((Production!AU22*Assumptions!$C45)+('1.Revenue'!AU25*Assumptions!$C46)))*AT6</f>
        <v>-356909.41337751219</v>
      </c>
      <c r="AU9" s="106">
        <f>(-((Production!AV22*Assumptions!$C45)+('1.Revenue'!AV25*Assumptions!$C46)))*AU6</f>
        <v>-404754.4292809738</v>
      </c>
      <c r="AV9" s="106">
        <f>(-((Production!AW22*Assumptions!$C45)+('1.Revenue'!AW25*Assumptions!$C46)))*AV6</f>
        <v>-352322.76916610962</v>
      </c>
      <c r="AW9" s="106">
        <f>(-((Production!AX22*Assumptions!$C45)+('1.Revenue'!AX25*Assumptions!$C46)))*AW6</f>
        <v>-352753.72962616815</v>
      </c>
      <c r="AX9" s="106">
        <f>(-((Production!AY22*Assumptions!$C45)+('1.Revenue'!AY25*Assumptions!$C46)))*AX6</f>
        <v>-388943.95205839124</v>
      </c>
      <c r="AY9" s="108">
        <f>(-((Production!AZ22*Assumptions!$C45)+('1.Revenue'!AZ25*Assumptions!$C46)))*AY6</f>
        <v>-348980.01102965453</v>
      </c>
      <c r="AZ9" s="107">
        <f>(-((Production!BA22*Assumptions!$C45)+('1.Revenue'!BA25*Assumptions!$C46)))*AZ6</f>
        <v>-394437.50029815716</v>
      </c>
      <c r="BA9" s="106">
        <f>(-((Production!BB22*Assumptions!$C45)+('1.Revenue'!BB25*Assumptions!$C46)))*BA6</f>
        <v>-447931.47070190945</v>
      </c>
      <c r="BB9" s="106">
        <f>(-((Production!BC22*Assumptions!$C45)+('1.Revenue'!BC25*Assumptions!$C46)))*BB6</f>
        <v>-389196.17958744097</v>
      </c>
      <c r="BC9" s="106">
        <f>(-((Production!BD22*Assumptions!$C45)+('1.Revenue'!BD25*Assumptions!$C46)))*BC6</f>
        <v>-411203.43987669499</v>
      </c>
      <c r="BD9" s="106">
        <f>(-((Production!BE22*Assumptions!$C45)+('1.Revenue'!BE25*Assumptions!$C46)))*BD6</f>
        <v>-451426.16672422644</v>
      </c>
      <c r="BE9" s="106">
        <f>(-((Production!BF22*Assumptions!$C45)+('1.Revenue'!BF25*Assumptions!$C46)))*BE6</f>
        <v>-393149.08759011107</v>
      </c>
      <c r="BF9" s="106">
        <f>(-((Production!BG22*Assumptions!$C45)+('1.Revenue'!BG25*Assumptions!$C46)))*BF6</f>
        <v>-393643.73857110884</v>
      </c>
      <c r="BG9" s="106">
        <f>(-((Production!BH22*Assumptions!$C45)+('1.Revenue'!BH25*Assumptions!$C46)))*BG6</f>
        <v>-446098.31762091652</v>
      </c>
      <c r="BH9" s="106">
        <f>(-((Production!BI22*Assumptions!$C45)+('1.Revenue'!BI25*Assumptions!$C46)))*BH6</f>
        <v>-388460.9727981945</v>
      </c>
      <c r="BI9" s="106">
        <f>(-((Production!BJ22*Assumptions!$C45)+('1.Revenue'!BJ25*Assumptions!$C46)))*BI6</f>
        <v>-388947.94475828647</v>
      </c>
      <c r="BJ9" s="106">
        <f>(-((Production!BK22*Assumptions!$C45)+('1.Revenue'!BK25*Assumptions!$C46)))*BJ6</f>
        <v>-429037.37134699756</v>
      </c>
      <c r="BK9" s="108">
        <f>(-((Production!BL22*Assumptions!$C45)+('1.Revenue'!BL25*Assumptions!$C46)))*BK6</f>
        <v>-384683.75972950243</v>
      </c>
      <c r="BL9" s="107">
        <f>(-((Production!BM22*Assumptions!$C45)+('1.Revenue'!BM25*Assumptions!$C46)))*BL6</f>
        <v>-449013.88712887774</v>
      </c>
      <c r="BM9" s="106">
        <f>(-((Production!BN22*Assumptions!$C45)+('1.Revenue'!BN25*Assumptions!$C46)))*BM6</f>
        <v>-480604.85034088005</v>
      </c>
      <c r="BN9" s="106">
        <f>(-((Production!BO22*Assumptions!$C45)+('1.Revenue'!BO25*Assumptions!$C46)))*BN6</f>
        <v>-429518.65493429499</v>
      </c>
      <c r="BO9" s="106">
        <f>(-((Production!BP22*Assumptions!$C45)+('1.Revenue'!BP25*Assumptions!$C46)))*BO6</f>
        <v>-453531.09659292083</v>
      </c>
      <c r="BP9" s="106">
        <f>(-((Production!BQ22*Assumptions!$C45)+('1.Revenue'!BQ25*Assumptions!$C46)))*BP6</f>
        <v>-498126.45078293706</v>
      </c>
      <c r="BQ9" s="106">
        <f>(-((Production!BR22*Assumptions!$C45)+('1.Revenue'!BR25*Assumptions!$C46)))*BQ6</f>
        <v>-433985.31843716424</v>
      </c>
      <c r="BR9" s="106">
        <f>(-((Production!BS22*Assumptions!$C45)+('1.Revenue'!BS25*Assumptions!$C46)))*BR6</f>
        <v>-434544.25871151127</v>
      </c>
      <c r="BS9" s="106">
        <f>(-((Production!BT22*Assumptions!$C45)+('1.Revenue'!BT25*Assumptions!$C46)))*BS6</f>
        <v>-492106.14645951899</v>
      </c>
      <c r="BT9" s="106">
        <f>(-((Production!BU22*Assumptions!$C45)+('1.Revenue'!BU25*Assumptions!$C46)))*BT6</f>
        <v>-428687.89405385702</v>
      </c>
      <c r="BU9" s="106">
        <f>(-((Production!BV22*Assumptions!$C45)+('1.Revenue'!BV25*Assumptions!$C46)))*BU6</f>
        <v>-429238.15727263008</v>
      </c>
      <c r="BV9" s="106">
        <f>(-((Production!BW22*Assumptions!$C45)+('1.Revenue'!BW25*Assumptions!$C46)))*BV6</f>
        <v>-487255.58857490274</v>
      </c>
      <c r="BW9" s="108">
        <f>(-((Production!BX22*Assumptions!$C45)+('1.Revenue'!BX25*Assumptions!$C46)))*BW6</f>
        <v>-410847.05810742464</v>
      </c>
      <c r="BX9" s="107">
        <f>(-((Production!BY22*Assumptions!$C45)+('1.Revenue'!BY25*Assumptions!$C46)))*BX6</f>
        <v>-495555.41914487281</v>
      </c>
      <c r="BY9" s="106">
        <f>(-((Production!BZ22*Assumptions!$C45)+('1.Revenue'!BZ25*Assumptions!$C46)))*BY6</f>
        <v>-531252.22825457586</v>
      </c>
      <c r="BZ9" s="106">
        <f>(-((Production!CA22*Assumptions!$C45)+('1.Revenue'!CA25*Assumptions!$C46)))*BZ6</f>
        <v>-488863.14393125137</v>
      </c>
      <c r="CA9" s="106">
        <f>(-((Production!CB22*Assumptions!$C45)+('1.Revenue'!CB25*Assumptions!$C46)))*CA6</f>
        <v>-486231.94329017063</v>
      </c>
      <c r="CB9" s="106">
        <f>(-((Production!CC22*Assumptions!$C45)+('1.Revenue'!CC25*Assumptions!$C46)))*CB6</f>
        <v>-550142.14328600513</v>
      </c>
      <c r="CC9" s="106">
        <f>(-((Production!CD22*Assumptions!$C45)+('1.Revenue'!CD25*Assumptions!$C46)))*CC6</f>
        <v>-479482.55270734738</v>
      </c>
      <c r="CD9" s="106">
        <f>(-((Production!CE22*Assumptions!$C45)+('1.Revenue'!CE25*Assumptions!$C46)))*CD6</f>
        <v>-494541.92040578858</v>
      </c>
      <c r="CE9" s="106">
        <f>(-((Production!CF22*Assumptions!$C45)+('1.Revenue'!CF25*Assumptions!$C46)))*CE6</f>
        <v>-528911.60351439915</v>
      </c>
      <c r="CF9" s="106">
        <f>(-((Production!CG22*Assumptions!$C45)+('1.Revenue'!CG25*Assumptions!$C46)))*CF6</f>
        <v>-473496.6273743661</v>
      </c>
      <c r="CG9" s="106">
        <f>(-((Production!CH22*Assumptions!$C45)+('1.Revenue'!CH25*Assumptions!$C46)))*CG6</f>
        <v>-474118.40775341983</v>
      </c>
      <c r="CH9" s="106">
        <f>(-((Production!CI22*Assumptions!$C45)+('1.Revenue'!CI25*Assumptions!$C46)))*CH6</f>
        <v>-537858.40598765481</v>
      </c>
      <c r="CI9" s="108">
        <f>(-((Production!CJ22*Assumptions!$C45)+('1.Revenue'!CJ25*Assumptions!$C46)))*CI6</f>
        <v>-468673.76863487082</v>
      </c>
      <c r="CJ9" s="107">
        <f>(-((Production!CK22*Assumptions!$C45)+('1.Revenue'!CK25*Assumptions!$C46)))*CJ6</f>
        <v>-532064.74442693952</v>
      </c>
      <c r="CK9" s="106">
        <f>(-((Production!CL22*Assumptions!$C45)+('1.Revenue'!CL25*Assumptions!$C46)))*CK6</f>
        <v>-603074.49774793931</v>
      </c>
      <c r="CL9" s="106">
        <f>(-((Production!CM22*Assumptions!$C45)+('1.Revenue'!CM25*Assumptions!$C46)))*CL6</f>
        <v>-524502.68089607882</v>
      </c>
      <c r="CM9" s="106">
        <f>(-((Production!CN22*Assumptions!$C45)+('1.Revenue'!CN25*Assumptions!$C46)))*CM6</f>
        <v>-537832.45272022206</v>
      </c>
      <c r="CN9" s="106">
        <f>(-((Production!CO22*Assumptions!$C45)+('1.Revenue'!CO25*Assumptions!$C46)))*CN6</f>
        <v>-608116.56916474376</v>
      </c>
      <c r="CO9" s="106">
        <f>(-((Production!CP22*Assumptions!$C45)+('1.Revenue'!CP25*Assumptions!$C46)))*CO6</f>
        <v>-530205.85059273988</v>
      </c>
      <c r="CP9" s="106">
        <f>(-((Production!CQ22*Assumptions!$C45)+('1.Revenue'!CQ25*Assumptions!$C46)))*CP6</f>
        <v>-546256.25508429401</v>
      </c>
      <c r="CQ9" s="106">
        <f>(-((Production!CR22*Assumptions!$C45)+('1.Revenue'!CR25*Assumptions!$C46)))*CQ6</f>
        <v>-585092.93153684784</v>
      </c>
      <c r="CR9" s="106">
        <f>(-((Production!CS22*Assumptions!$C45)+('1.Revenue'!CS25*Assumptions!$C46)))*CR6</f>
        <v>-523441.94053015637</v>
      </c>
      <c r="CS9" s="106">
        <f>(-((Production!CT22*Assumptions!$C45)+('1.Revenue'!CT25*Assumptions!$C46)))*CS6</f>
        <v>-539481.26589735434</v>
      </c>
      <c r="CT9" s="106">
        <f>(-((Production!CU22*Assumptions!$C45)+('1.Revenue'!CU25*Assumptions!$C46)))*CT6</f>
        <v>-578899.59399940528</v>
      </c>
      <c r="CU9" s="108">
        <f>(-((Production!CV22*Assumptions!$C45)+('1.Revenue'!CV25*Assumptions!$C46)))*CU6</f>
        <v>-517992.25966314774</v>
      </c>
      <c r="CV9" s="107">
        <f>(-((Production!CW22*Assumptions!$C45)+('1.Revenue'!CW25*Assumptions!$C46)))*CV6</f>
        <v>-588891.63927746774</v>
      </c>
      <c r="CW9" s="106">
        <f>(-((Production!CX22*Assumptions!$C45)+('1.Revenue'!CX25*Assumptions!$C46)))*CW6</f>
        <v>-667076.28790819529</v>
      </c>
      <c r="CX9" s="106">
        <f>(-((Production!CY22*Assumptions!$C45)+('1.Revenue'!CY25*Assumptions!$C46)))*CX6</f>
        <v>-580346.7419115646</v>
      </c>
      <c r="CY9" s="106">
        <f>(-((Production!CZ22*Assumptions!$C45)+('1.Revenue'!CZ25*Assumptions!$C46)))*CY6</f>
        <v>-595408.97084992006</v>
      </c>
      <c r="CZ9" s="106">
        <f>(-((Production!DA22*Assumptions!$C45)+('1.Revenue'!DA25*Assumptions!$C46)))*CZ6</f>
        <v>-672773.67230497045</v>
      </c>
      <c r="DA9" s="106">
        <f>(-((Production!DB22*Assumptions!$C45)+('1.Revenue'!DB25*Assumptions!$C46)))*DA6</f>
        <v>-603094.09385187575</v>
      </c>
      <c r="DB9" s="106">
        <f>(-((Production!DC22*Assumptions!$C45)+('1.Revenue'!DC25*Assumptions!$C46)))*DB6</f>
        <v>-587597.57374227862</v>
      </c>
      <c r="DC9" s="106">
        <f>(-((Production!DD22*Assumptions!$C45)+('1.Revenue'!DD25*Assumptions!$C46)))*DC6</f>
        <v>-664087.70815938362</v>
      </c>
      <c r="DD9" s="106">
        <f>(-((Production!DE22*Assumptions!$C45)+('1.Revenue'!DE25*Assumptions!$C46)))*DD6</f>
        <v>-579148.13818102377</v>
      </c>
      <c r="DE9" s="106">
        <f>(-((Production!DF22*Assumptions!$C45)+('1.Revenue'!DF25*Assumptions!$C46)))*DE6</f>
        <v>-579942.04598570161</v>
      </c>
      <c r="DF9" s="106">
        <f>(-((Production!DG22*Assumptions!$C45)+('1.Revenue'!DG25*Assumptions!$C46)))*DF6</f>
        <v>-640786.48175419262</v>
      </c>
      <c r="DG9" s="108">
        <f>(-((Production!DH22*Assumptions!$C45)+('1.Revenue'!DH25*Assumptions!$C46)))*DG6</f>
        <v>-572990.16774141067</v>
      </c>
      <c r="DH9" s="107">
        <f>(-((Production!DI22*Assumptions!$C45)+('1.Revenue'!DI25*Assumptions!$C46)))*DH6</f>
        <v>-652327.79206599679</v>
      </c>
      <c r="DI9" s="106">
        <f>(-((Production!DJ22*Assumptions!$C45)+('1.Revenue'!DJ25*Assumptions!$C46)))*DI6</f>
        <v>-738490.437181824</v>
      </c>
      <c r="DJ9" s="106">
        <f>(-((Production!DK22*Assumptions!$C45)+('1.Revenue'!DK25*Assumptions!$C46)))*DJ6</f>
        <v>-642672.32293434464</v>
      </c>
      <c r="DK9" s="106">
        <f>(-((Production!DL22*Assumptions!$C45)+('1.Revenue'!DL25*Assumptions!$C46)))*DK6</f>
        <v>-677022.20734675857</v>
      </c>
      <c r="DL9" s="106">
        <f>(-((Production!DM22*Assumptions!$C45)+('1.Revenue'!DM25*Assumptions!$C46)))*DL6</f>
        <v>-744928.30493126356</v>
      </c>
      <c r="DM9" s="106">
        <f>(-((Production!DN22*Assumptions!$C45)+('1.Revenue'!DN25*Assumptions!$C46)))*DM6</f>
        <v>-649954.30076142296</v>
      </c>
      <c r="DN9" s="106">
        <f>(-((Production!DO22*Assumptions!$C45)+('1.Revenue'!DO25*Assumptions!$C46)))*DN6</f>
        <v>-650865.53812726482</v>
      </c>
      <c r="DO9" s="106">
        <f>(-((Production!DP22*Assumptions!$C45)+('1.Revenue'!DP25*Assumptions!$C46)))*DO6</f>
        <v>-735113.43471163919</v>
      </c>
      <c r="DP9" s="106">
        <f>(-((Production!DQ22*Assumptions!$C45)+('1.Revenue'!DQ25*Assumptions!$C46)))*DP6</f>
        <v>-641317.93787554908</v>
      </c>
      <c r="DQ9" s="106">
        <f>(-((Production!DR22*Assumptions!$C45)+('1.Revenue'!DR25*Assumptions!$C46)))*DQ6</f>
        <v>-642215.02908369317</v>
      </c>
      <c r="DR9" s="106">
        <f>(-((Production!DS22*Assumptions!$C45)+('1.Revenue'!DS25*Assumptions!$C46)))*DR6</f>
        <v>-709875.56326818536</v>
      </c>
      <c r="DS9" s="108">
        <f>(-((Production!DT22*Assumptions!$C45)+('1.Revenue'!DT25*Assumptions!$C46)))*DS6</f>
        <v>-634359.62217587</v>
      </c>
    </row>
    <row r="10" spans="1:126" ht="15" hidden="1" x14ac:dyDescent="0.25">
      <c r="A10" s="9"/>
      <c r="B10" s="161" t="s">
        <v>306</v>
      </c>
      <c r="C10" s="7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535"/>
      <c r="P10" s="107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8"/>
      <c r="AB10" s="345"/>
      <c r="AC10" s="106"/>
      <c r="AD10" s="106"/>
      <c r="AE10" s="106"/>
      <c r="AF10" s="106"/>
      <c r="AG10" s="106">
        <f>-((Production!AH28*Assumptions!$C47))</f>
        <v>0</v>
      </c>
      <c r="AH10" s="106">
        <f>-((Production!AI28*Assumptions!$C47))</f>
        <v>0</v>
      </c>
      <c r="AI10" s="106">
        <f>-((Production!AJ28*Assumptions!$C47))</f>
        <v>0</v>
      </c>
      <c r="AJ10" s="106">
        <f>-((Production!AK28*Assumptions!$C47))</f>
        <v>0</v>
      </c>
      <c r="AK10" s="106">
        <f>-((Production!AL28*Assumptions!$C47))</f>
        <v>0</v>
      </c>
      <c r="AL10" s="106">
        <f>-((Production!AM28*Assumptions!$C47))</f>
        <v>0</v>
      </c>
      <c r="AM10" s="108">
        <f>-((Production!AN28*Assumptions!$C47))</f>
        <v>0</v>
      </c>
      <c r="AN10" s="107">
        <f>-((Production!AO28*Assumptions!$C47))</f>
        <v>0</v>
      </c>
      <c r="AO10" s="106">
        <f>-((Production!AP28*Assumptions!$C47))</f>
        <v>0</v>
      </c>
      <c r="AP10" s="106">
        <f>-((Production!AQ28*Assumptions!$C47))</f>
        <v>0</v>
      </c>
      <c r="AQ10" s="106">
        <f>-((Production!AR28*Assumptions!$C47))</f>
        <v>0</v>
      </c>
      <c r="AR10" s="106">
        <f>-((Production!AS28*Assumptions!$C47))</f>
        <v>0</v>
      </c>
      <c r="AS10" s="106">
        <f>-((Production!AT28*Assumptions!$C47))</f>
        <v>0</v>
      </c>
      <c r="AT10" s="106">
        <f>-((Production!AU28*Assumptions!$C47))</f>
        <v>0</v>
      </c>
      <c r="AU10" s="106">
        <f>-((Production!AV28*Assumptions!$C47))</f>
        <v>0</v>
      </c>
      <c r="AV10" s="106">
        <f>-((Production!AW28*Assumptions!$C47))</f>
        <v>0</v>
      </c>
      <c r="AW10" s="106">
        <f>-((Production!AX28*Assumptions!$C47))</f>
        <v>0</v>
      </c>
      <c r="AX10" s="106">
        <f>-((Production!AY28*Assumptions!$C47))</f>
        <v>0</v>
      </c>
      <c r="AY10" s="108">
        <f>-((Production!AZ28*Assumptions!$C47))</f>
        <v>0</v>
      </c>
      <c r="AZ10" s="107">
        <f>-((Production!BA28*Assumptions!$C47))</f>
        <v>0</v>
      </c>
      <c r="BA10" s="106">
        <f>-((Production!BB28*Assumptions!$C47))</f>
        <v>0</v>
      </c>
      <c r="BB10" s="106">
        <f>-((Production!BC28*Assumptions!$C47))</f>
        <v>0</v>
      </c>
      <c r="BC10" s="106">
        <f>-((Production!BD28*Assumptions!$C47))</f>
        <v>0</v>
      </c>
      <c r="BD10" s="106">
        <f>-((Production!BE28*Assumptions!$C47))</f>
        <v>0</v>
      </c>
      <c r="BE10" s="106">
        <f>-((Production!BF28*Assumptions!$C47))</f>
        <v>0</v>
      </c>
      <c r="BF10" s="106">
        <f>-((Production!BG28*Assumptions!$C47))</f>
        <v>0</v>
      </c>
      <c r="BG10" s="106">
        <f>-((Production!BH28*Assumptions!$C47))</f>
        <v>0</v>
      </c>
      <c r="BH10" s="106">
        <f>-((Production!BI28*Assumptions!$C47))</f>
        <v>0</v>
      </c>
      <c r="BI10" s="106">
        <f>-((Production!BJ28*Assumptions!$C47))</f>
        <v>0</v>
      </c>
      <c r="BJ10" s="106">
        <f>-((Production!BK28*Assumptions!$C47))</f>
        <v>0</v>
      </c>
      <c r="BK10" s="108">
        <f>-((Production!BL28*Assumptions!$C47))</f>
        <v>0</v>
      </c>
      <c r="BL10" s="107">
        <f>-((Production!BM28*Assumptions!$C47))</f>
        <v>0</v>
      </c>
      <c r="BM10" s="106">
        <f>-((Production!BN28*Assumptions!$C47))</f>
        <v>0</v>
      </c>
      <c r="BN10" s="106">
        <f>-((Production!BO28*Assumptions!$C47))</f>
        <v>0</v>
      </c>
      <c r="BO10" s="106">
        <f>-((Production!BP28*Assumptions!$C47))</f>
        <v>0</v>
      </c>
      <c r="BP10" s="106">
        <f>-((Production!BQ28*Assumptions!$C47))</f>
        <v>0</v>
      </c>
      <c r="BQ10" s="106">
        <f>-((Production!BR28*Assumptions!$C47))</f>
        <v>0</v>
      </c>
      <c r="BR10" s="106">
        <f>-((Production!BS28*Assumptions!$C47))</f>
        <v>0</v>
      </c>
      <c r="BS10" s="106">
        <f>-((Production!BT28*Assumptions!$C47))</f>
        <v>0</v>
      </c>
      <c r="BT10" s="106">
        <f>-((Production!BU28*Assumptions!$C47))</f>
        <v>0</v>
      </c>
      <c r="BU10" s="106">
        <f>-((Production!BV28*Assumptions!$C47))</f>
        <v>0</v>
      </c>
      <c r="BV10" s="106">
        <f>-((Production!BW28*Assumptions!$C47))</f>
        <v>0</v>
      </c>
      <c r="BW10" s="108">
        <f>-((Production!BX28*Assumptions!$C47))</f>
        <v>0</v>
      </c>
      <c r="BX10" s="107">
        <f>-((Production!BY28*Assumptions!$C47))</f>
        <v>0</v>
      </c>
      <c r="BY10" s="106">
        <f>-((Production!BZ28*Assumptions!$C47))</f>
        <v>0</v>
      </c>
      <c r="BZ10" s="106">
        <f>-((Production!CA28*Assumptions!$C47))</f>
        <v>0</v>
      </c>
      <c r="CA10" s="106">
        <f>-((Production!CB28*Assumptions!$C47))</f>
        <v>0</v>
      </c>
      <c r="CB10" s="106">
        <f>-((Production!CC28*Assumptions!$C47))</f>
        <v>0</v>
      </c>
      <c r="CC10" s="106">
        <f>-((Production!CD28*Assumptions!$C47))</f>
        <v>0</v>
      </c>
      <c r="CD10" s="106">
        <f>-((Production!CE28*Assumptions!$C47))</f>
        <v>0</v>
      </c>
      <c r="CE10" s="106">
        <f>-((Production!CF28*Assumptions!$C47))</f>
        <v>0</v>
      </c>
      <c r="CF10" s="106">
        <f>-((Production!CG28*Assumptions!$C47))</f>
        <v>0</v>
      </c>
      <c r="CG10" s="106">
        <f>-((Production!CH28*Assumptions!$C47))</f>
        <v>0</v>
      </c>
      <c r="CH10" s="106">
        <f>-((Production!CI28*Assumptions!$C47))</f>
        <v>0</v>
      </c>
      <c r="CI10" s="108">
        <f>-((Production!CJ28*Assumptions!$C47))</f>
        <v>0</v>
      </c>
      <c r="CJ10" s="107">
        <f>-((Production!CK28*Assumptions!$C47))</f>
        <v>0</v>
      </c>
      <c r="CK10" s="106">
        <f>-((Production!CL28*Assumptions!$C47))</f>
        <v>0</v>
      </c>
      <c r="CL10" s="106">
        <f>-((Production!CM28*Assumptions!$C47))</f>
        <v>0</v>
      </c>
      <c r="CM10" s="106">
        <f>-((Production!CN28*Assumptions!$C47))</f>
        <v>0</v>
      </c>
      <c r="CN10" s="106">
        <f>-((Production!CO28*Assumptions!$C47))</f>
        <v>0</v>
      </c>
      <c r="CO10" s="106">
        <f>-((Production!CP28*Assumptions!$C47))</f>
        <v>0</v>
      </c>
      <c r="CP10" s="106">
        <f>-((Production!CQ28*Assumptions!$C47))</f>
        <v>0</v>
      </c>
      <c r="CQ10" s="106">
        <f>-((Production!CR28*Assumptions!$C47))</f>
        <v>0</v>
      </c>
      <c r="CR10" s="106">
        <f>-((Production!CS28*Assumptions!$C47))</f>
        <v>0</v>
      </c>
      <c r="CS10" s="106">
        <f>-((Production!CT28*Assumptions!$C47))</f>
        <v>0</v>
      </c>
      <c r="CT10" s="106">
        <f>-((Production!CU28*Assumptions!$C47))</f>
        <v>0</v>
      </c>
      <c r="CU10" s="108">
        <f>-((Production!CV28*Assumptions!$C47))</f>
        <v>0</v>
      </c>
      <c r="CV10" s="107">
        <f>-((Production!CW28*Assumptions!$C47))</f>
        <v>0</v>
      </c>
      <c r="CW10" s="106">
        <f>-((Production!CX28*Assumptions!$C47))</f>
        <v>0</v>
      </c>
      <c r="CX10" s="106">
        <f>-((Production!CY28*Assumptions!$C47))</f>
        <v>0</v>
      </c>
      <c r="CY10" s="106">
        <f>-((Production!CZ28*Assumptions!$C47))</f>
        <v>0</v>
      </c>
      <c r="CZ10" s="106">
        <f>-((Production!DA28*Assumptions!$C47))</f>
        <v>0</v>
      </c>
      <c r="DA10" s="106">
        <f>-((Production!DB28*Assumptions!$C47))</f>
        <v>0</v>
      </c>
      <c r="DB10" s="106">
        <f>-((Production!DC28*Assumptions!$C47))</f>
        <v>0</v>
      </c>
      <c r="DC10" s="106">
        <f>-((Production!DD28*Assumptions!$C47))</f>
        <v>0</v>
      </c>
      <c r="DD10" s="106">
        <f>-((Production!DE28*Assumptions!$C47))</f>
        <v>0</v>
      </c>
      <c r="DE10" s="106">
        <f>-((Production!DF28*Assumptions!$C47))</f>
        <v>0</v>
      </c>
      <c r="DF10" s="106">
        <f>-((Production!DG28*Assumptions!$C47))</f>
        <v>0</v>
      </c>
      <c r="DG10" s="108">
        <f>-((Production!DH28*Assumptions!$C47))</f>
        <v>0</v>
      </c>
      <c r="DH10" s="107">
        <f>-((Production!DI28*Assumptions!$C47))</f>
        <v>0</v>
      </c>
      <c r="DI10" s="106">
        <f>-((Production!DJ28*Assumptions!$C47))</f>
        <v>0</v>
      </c>
      <c r="DJ10" s="106">
        <f>-((Production!DK28*Assumptions!$C47))</f>
        <v>0</v>
      </c>
      <c r="DK10" s="106">
        <f>-((Production!DL28*Assumptions!$C47))</f>
        <v>0</v>
      </c>
      <c r="DL10" s="106">
        <f>-((Production!DM28*Assumptions!$C47))</f>
        <v>0</v>
      </c>
      <c r="DM10" s="106">
        <f>-((Production!DN28*Assumptions!$C47))</f>
        <v>0</v>
      </c>
      <c r="DN10" s="106">
        <f>-((Production!DO28*Assumptions!$C47))</f>
        <v>0</v>
      </c>
      <c r="DO10" s="106">
        <f>-((Production!DP28*Assumptions!$C47))</f>
        <v>0</v>
      </c>
      <c r="DP10" s="106">
        <f>-((Production!DQ28*Assumptions!$C47))</f>
        <v>0</v>
      </c>
      <c r="DQ10" s="106">
        <f>-((Production!DR28*Assumptions!$C47))</f>
        <v>0</v>
      </c>
      <c r="DR10" s="106">
        <f>-((Production!DS28*Assumptions!$C47))</f>
        <v>0</v>
      </c>
      <c r="DS10" s="108">
        <f>-((Production!DT28*Assumptions!$C47))</f>
        <v>0</v>
      </c>
      <c r="DT10" s="107">
        <f>-((Production!DU28*Assumptions!$C47))</f>
        <v>0</v>
      </c>
    </row>
    <row r="11" spans="1:126" ht="17.25" thickBot="1" x14ac:dyDescent="0.35">
      <c r="A11" s="164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714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714"/>
      <c r="AB11" s="1256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714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714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714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714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714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714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714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714"/>
    </row>
    <row r="12" spans="1:126" x14ac:dyDescent="0.2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</sheetData>
  <mergeCells count="11">
    <mergeCell ref="A1:B3"/>
    <mergeCell ref="BX2:CI2"/>
    <mergeCell ref="CJ2:CU2"/>
    <mergeCell ref="CV2:DG2"/>
    <mergeCell ref="DH2:DS2"/>
    <mergeCell ref="BL2:BW2"/>
    <mergeCell ref="P2:AA2"/>
    <mergeCell ref="AB2:AM2"/>
    <mergeCell ref="AN2:AY2"/>
    <mergeCell ref="AZ2:BK2"/>
    <mergeCell ref="D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DV55"/>
  <sheetViews>
    <sheetView zoomScale="60" zoomScaleNormal="60" zoomScalePageLayoutView="85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AG22" sqref="AG22"/>
    </sheetView>
  </sheetViews>
  <sheetFormatPr defaultColWidth="8.85546875" defaultRowHeight="12.75" x14ac:dyDescent="0.2"/>
  <cols>
    <col min="1" max="1" width="3" style="2" customWidth="1"/>
    <col min="2" max="2" width="34.42578125" style="2" customWidth="1"/>
    <col min="3" max="3" width="11.28515625" style="2" customWidth="1"/>
    <col min="4" max="4" width="5.85546875" style="2" customWidth="1"/>
    <col min="5" max="5" width="9.140625" style="2" bestFit="1" customWidth="1"/>
    <col min="6" max="6" width="10.5703125" style="2" bestFit="1" customWidth="1"/>
    <col min="7" max="9" width="9.140625" style="2" bestFit="1" customWidth="1"/>
    <col min="10" max="10" width="10.5703125" style="2" bestFit="1" customWidth="1"/>
    <col min="11" max="12" width="9.140625" style="2" bestFit="1" customWidth="1"/>
    <col min="13" max="14" width="10.5703125" style="2" bestFit="1" customWidth="1"/>
    <col min="15" max="15" width="9.140625" style="2" bestFit="1" customWidth="1"/>
    <col min="16" max="123" width="12.7109375" style="2" customWidth="1"/>
    <col min="124" max="16384" width="8.85546875" style="2"/>
  </cols>
  <sheetData>
    <row r="1" spans="1:126" ht="12.75" customHeight="1" x14ac:dyDescent="0.2">
      <c r="A1" s="1346" t="s">
        <v>180</v>
      </c>
      <c r="B1" s="1346"/>
      <c r="C1" s="1346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713"/>
      <c r="P1" s="1323"/>
      <c r="Q1" s="839"/>
      <c r="R1" s="839"/>
      <c r="S1" s="887"/>
      <c r="T1" s="887"/>
      <c r="U1" s="887"/>
      <c r="V1" s="887"/>
      <c r="W1" s="887"/>
      <c r="X1" s="887"/>
      <c r="Y1" s="887"/>
      <c r="Z1" s="887"/>
      <c r="AA1" s="842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42"/>
      <c r="AN1" s="887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42"/>
      <c r="AZ1" s="887"/>
      <c r="BA1" s="887"/>
      <c r="BB1" s="887"/>
      <c r="BC1" s="887"/>
      <c r="BD1" s="887"/>
      <c r="BE1" s="887"/>
      <c r="BF1" s="887"/>
      <c r="BG1" s="887"/>
      <c r="BH1" s="887"/>
      <c r="BI1" s="887"/>
      <c r="BJ1" s="887"/>
      <c r="BK1" s="842"/>
      <c r="BL1" s="887"/>
      <c r="BM1" s="887"/>
      <c r="BN1" s="887"/>
      <c r="BO1" s="887"/>
      <c r="BP1" s="887"/>
      <c r="BQ1" s="887"/>
      <c r="BR1" s="887"/>
      <c r="BS1" s="887"/>
      <c r="BT1" s="887"/>
      <c r="BU1" s="887"/>
      <c r="BV1" s="887"/>
      <c r="BW1" s="842"/>
      <c r="BX1" s="887"/>
      <c r="BY1" s="887"/>
      <c r="BZ1" s="887"/>
      <c r="CA1" s="887"/>
      <c r="CB1" s="887"/>
      <c r="CC1" s="887"/>
      <c r="CD1" s="887"/>
      <c r="CE1" s="887"/>
      <c r="CF1" s="887"/>
      <c r="CG1" s="887"/>
      <c r="CH1" s="887"/>
      <c r="CI1" s="842"/>
      <c r="CJ1" s="887"/>
      <c r="CK1" s="887"/>
      <c r="CL1" s="887"/>
      <c r="CM1" s="887"/>
      <c r="CN1" s="887"/>
      <c r="CO1" s="887"/>
      <c r="CP1" s="887"/>
      <c r="CQ1" s="887"/>
      <c r="CR1" s="887"/>
      <c r="CS1" s="887"/>
      <c r="CT1" s="887"/>
      <c r="CU1" s="842"/>
      <c r="CV1" s="887"/>
      <c r="CW1" s="887"/>
      <c r="CX1" s="887"/>
      <c r="CY1" s="887"/>
      <c r="CZ1" s="887"/>
      <c r="DA1" s="887"/>
      <c r="DB1" s="887"/>
      <c r="DC1" s="887"/>
      <c r="DD1" s="887"/>
      <c r="DE1" s="887"/>
      <c r="DF1" s="887"/>
      <c r="DG1" s="842"/>
      <c r="DH1" s="887"/>
      <c r="DI1" s="887"/>
      <c r="DJ1" s="887"/>
      <c r="DK1" s="887"/>
      <c r="DL1" s="887"/>
      <c r="DM1" s="887"/>
      <c r="DN1" s="887"/>
      <c r="DO1" s="887"/>
      <c r="DP1" s="887"/>
      <c r="DQ1" s="887"/>
      <c r="DR1" s="887"/>
      <c r="DS1" s="842"/>
      <c r="DT1" s="832"/>
    </row>
    <row r="2" spans="1:126" ht="39" customHeight="1" x14ac:dyDescent="0.2">
      <c r="A2" s="1346"/>
      <c r="B2" s="1346"/>
      <c r="C2" s="1346"/>
      <c r="D2" s="1334" t="s">
        <v>454</v>
      </c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5"/>
      <c r="P2" s="1343" t="s">
        <v>455</v>
      </c>
      <c r="Q2" s="1340"/>
      <c r="R2" s="1340"/>
      <c r="S2" s="1340"/>
      <c r="T2" s="1340"/>
      <c r="U2" s="1340"/>
      <c r="V2" s="1340"/>
      <c r="W2" s="1340"/>
      <c r="X2" s="1340"/>
      <c r="Y2" s="1340"/>
      <c r="Z2" s="1340"/>
      <c r="AA2" s="1341"/>
      <c r="AB2" s="1340" t="s">
        <v>456</v>
      </c>
      <c r="AC2" s="1340"/>
      <c r="AD2" s="1340"/>
      <c r="AE2" s="1340"/>
      <c r="AF2" s="1340"/>
      <c r="AG2" s="1340"/>
      <c r="AH2" s="1340"/>
      <c r="AI2" s="1340"/>
      <c r="AJ2" s="1340"/>
      <c r="AK2" s="1340"/>
      <c r="AL2" s="1340"/>
      <c r="AM2" s="1341"/>
      <c r="AN2" s="1340" t="s">
        <v>457</v>
      </c>
      <c r="AO2" s="1340"/>
      <c r="AP2" s="1340"/>
      <c r="AQ2" s="1340"/>
      <c r="AR2" s="1340"/>
      <c r="AS2" s="1340"/>
      <c r="AT2" s="1340"/>
      <c r="AU2" s="1340"/>
      <c r="AV2" s="1340"/>
      <c r="AW2" s="1340"/>
      <c r="AX2" s="1340"/>
      <c r="AY2" s="1341"/>
      <c r="AZ2" s="1340" t="s">
        <v>458</v>
      </c>
      <c r="BA2" s="1340"/>
      <c r="BB2" s="1340"/>
      <c r="BC2" s="1340"/>
      <c r="BD2" s="1340"/>
      <c r="BE2" s="1340"/>
      <c r="BF2" s="1340"/>
      <c r="BG2" s="1340"/>
      <c r="BH2" s="1340"/>
      <c r="BI2" s="1340"/>
      <c r="BJ2" s="1340"/>
      <c r="BK2" s="1341"/>
      <c r="BL2" s="1340" t="s">
        <v>459</v>
      </c>
      <c r="BM2" s="1340"/>
      <c r="BN2" s="1340"/>
      <c r="BO2" s="1340"/>
      <c r="BP2" s="1340"/>
      <c r="BQ2" s="1340"/>
      <c r="BR2" s="1340"/>
      <c r="BS2" s="1340"/>
      <c r="BT2" s="1340"/>
      <c r="BU2" s="1340"/>
      <c r="BV2" s="1340"/>
      <c r="BW2" s="1341"/>
      <c r="BX2" s="1340" t="s">
        <v>460</v>
      </c>
      <c r="BY2" s="1340"/>
      <c r="BZ2" s="1340"/>
      <c r="CA2" s="1340"/>
      <c r="CB2" s="1340"/>
      <c r="CC2" s="1340"/>
      <c r="CD2" s="1340"/>
      <c r="CE2" s="1340"/>
      <c r="CF2" s="1340"/>
      <c r="CG2" s="1340"/>
      <c r="CH2" s="1340"/>
      <c r="CI2" s="1341"/>
      <c r="CJ2" s="1340" t="s">
        <v>461</v>
      </c>
      <c r="CK2" s="1340"/>
      <c r="CL2" s="1340"/>
      <c r="CM2" s="1340"/>
      <c r="CN2" s="1340"/>
      <c r="CO2" s="1340"/>
      <c r="CP2" s="1340"/>
      <c r="CQ2" s="1340"/>
      <c r="CR2" s="1340"/>
      <c r="CS2" s="1340"/>
      <c r="CT2" s="1340"/>
      <c r="CU2" s="1341"/>
      <c r="CV2" s="1340" t="s">
        <v>462</v>
      </c>
      <c r="CW2" s="1340"/>
      <c r="CX2" s="1340"/>
      <c r="CY2" s="1340"/>
      <c r="CZ2" s="1340"/>
      <c r="DA2" s="1340"/>
      <c r="DB2" s="1340"/>
      <c r="DC2" s="1340"/>
      <c r="DD2" s="1340"/>
      <c r="DE2" s="1340"/>
      <c r="DF2" s="1340"/>
      <c r="DG2" s="1341"/>
      <c r="DH2" s="1340" t="s">
        <v>463</v>
      </c>
      <c r="DI2" s="1340"/>
      <c r="DJ2" s="1340"/>
      <c r="DK2" s="1340"/>
      <c r="DL2" s="1340"/>
      <c r="DM2" s="1340"/>
      <c r="DN2" s="1340"/>
      <c r="DO2" s="1340"/>
      <c r="DP2" s="1340"/>
      <c r="DQ2" s="1340"/>
      <c r="DR2" s="1340"/>
      <c r="DS2" s="1341"/>
      <c r="DT2" s="859"/>
      <c r="DU2" s="68"/>
      <c r="DV2" s="68"/>
    </row>
    <row r="3" spans="1:126" ht="12.75" customHeight="1" x14ac:dyDescent="0.25">
      <c r="A3" s="288"/>
      <c r="B3" s="288"/>
      <c r="C3" s="7"/>
      <c r="D3" s="840" t="s">
        <v>174</v>
      </c>
      <c r="E3" s="840" t="s">
        <v>175</v>
      </c>
      <c r="F3" s="840" t="s">
        <v>176</v>
      </c>
      <c r="G3" s="840" t="s">
        <v>177</v>
      </c>
      <c r="H3" s="840" t="s">
        <v>166</v>
      </c>
      <c r="I3" s="840" t="s">
        <v>167</v>
      </c>
      <c r="J3" s="840" t="s">
        <v>168</v>
      </c>
      <c r="K3" s="840" t="s">
        <v>169</v>
      </c>
      <c r="L3" s="840" t="s">
        <v>170</v>
      </c>
      <c r="M3" s="840" t="s">
        <v>171</v>
      </c>
      <c r="N3" s="840" t="s">
        <v>172</v>
      </c>
      <c r="O3" s="682" t="s">
        <v>173</v>
      </c>
      <c r="P3" s="546" t="s">
        <v>174</v>
      </c>
      <c r="Q3" s="891" t="s">
        <v>175</v>
      </c>
      <c r="R3" s="891" t="s">
        <v>176</v>
      </c>
      <c r="S3" s="891" t="s">
        <v>177</v>
      </c>
      <c r="T3" s="891" t="s">
        <v>166</v>
      </c>
      <c r="U3" s="891" t="s">
        <v>167</v>
      </c>
      <c r="V3" s="891" t="s">
        <v>168</v>
      </c>
      <c r="W3" s="891" t="s">
        <v>169</v>
      </c>
      <c r="X3" s="891" t="s">
        <v>170</v>
      </c>
      <c r="Y3" s="891" t="s">
        <v>171</v>
      </c>
      <c r="Z3" s="891" t="s">
        <v>172</v>
      </c>
      <c r="AA3" s="846" t="s">
        <v>173</v>
      </c>
      <c r="AB3" s="891" t="s">
        <v>174</v>
      </c>
      <c r="AC3" s="891" t="s">
        <v>175</v>
      </c>
      <c r="AD3" s="891" t="s">
        <v>176</v>
      </c>
      <c r="AE3" s="891" t="s">
        <v>177</v>
      </c>
      <c r="AF3" s="891" t="s">
        <v>166</v>
      </c>
      <c r="AG3" s="891" t="s">
        <v>167</v>
      </c>
      <c r="AH3" s="891" t="s">
        <v>168</v>
      </c>
      <c r="AI3" s="891" t="s">
        <v>169</v>
      </c>
      <c r="AJ3" s="891" t="s">
        <v>170</v>
      </c>
      <c r="AK3" s="891" t="s">
        <v>171</v>
      </c>
      <c r="AL3" s="891" t="s">
        <v>172</v>
      </c>
      <c r="AM3" s="846" t="s">
        <v>173</v>
      </c>
      <c r="AN3" s="891" t="s">
        <v>174</v>
      </c>
      <c r="AO3" s="891" t="s">
        <v>175</v>
      </c>
      <c r="AP3" s="891" t="s">
        <v>176</v>
      </c>
      <c r="AQ3" s="891" t="s">
        <v>177</v>
      </c>
      <c r="AR3" s="891" t="s">
        <v>166</v>
      </c>
      <c r="AS3" s="891" t="s">
        <v>167</v>
      </c>
      <c r="AT3" s="891" t="s">
        <v>168</v>
      </c>
      <c r="AU3" s="891" t="s">
        <v>169</v>
      </c>
      <c r="AV3" s="891" t="s">
        <v>170</v>
      </c>
      <c r="AW3" s="891" t="s">
        <v>171</v>
      </c>
      <c r="AX3" s="891" t="s">
        <v>172</v>
      </c>
      <c r="AY3" s="846" t="s">
        <v>173</v>
      </c>
      <c r="AZ3" s="891" t="s">
        <v>174</v>
      </c>
      <c r="BA3" s="891" t="s">
        <v>175</v>
      </c>
      <c r="BB3" s="891" t="s">
        <v>176</v>
      </c>
      <c r="BC3" s="891" t="s">
        <v>177</v>
      </c>
      <c r="BD3" s="891" t="s">
        <v>166</v>
      </c>
      <c r="BE3" s="891" t="s">
        <v>167</v>
      </c>
      <c r="BF3" s="891" t="s">
        <v>168</v>
      </c>
      <c r="BG3" s="891" t="s">
        <v>169</v>
      </c>
      <c r="BH3" s="891" t="s">
        <v>170</v>
      </c>
      <c r="BI3" s="891" t="s">
        <v>171</v>
      </c>
      <c r="BJ3" s="891" t="s">
        <v>172</v>
      </c>
      <c r="BK3" s="846" t="s">
        <v>173</v>
      </c>
      <c r="BL3" s="891" t="s">
        <v>174</v>
      </c>
      <c r="BM3" s="891" t="s">
        <v>175</v>
      </c>
      <c r="BN3" s="891" t="s">
        <v>176</v>
      </c>
      <c r="BO3" s="891" t="s">
        <v>177</v>
      </c>
      <c r="BP3" s="891" t="s">
        <v>166</v>
      </c>
      <c r="BQ3" s="891" t="s">
        <v>167</v>
      </c>
      <c r="BR3" s="891" t="s">
        <v>168</v>
      </c>
      <c r="BS3" s="891" t="s">
        <v>169</v>
      </c>
      <c r="BT3" s="891" t="s">
        <v>170</v>
      </c>
      <c r="BU3" s="891" t="s">
        <v>171</v>
      </c>
      <c r="BV3" s="891" t="s">
        <v>172</v>
      </c>
      <c r="BW3" s="846" t="s">
        <v>173</v>
      </c>
      <c r="BX3" s="891" t="s">
        <v>174</v>
      </c>
      <c r="BY3" s="891" t="s">
        <v>175</v>
      </c>
      <c r="BZ3" s="891" t="s">
        <v>176</v>
      </c>
      <c r="CA3" s="891" t="s">
        <v>177</v>
      </c>
      <c r="CB3" s="891" t="s">
        <v>166</v>
      </c>
      <c r="CC3" s="891" t="s">
        <v>167</v>
      </c>
      <c r="CD3" s="891" t="s">
        <v>168</v>
      </c>
      <c r="CE3" s="891" t="s">
        <v>169</v>
      </c>
      <c r="CF3" s="891" t="s">
        <v>170</v>
      </c>
      <c r="CG3" s="891" t="s">
        <v>171</v>
      </c>
      <c r="CH3" s="891" t="s">
        <v>172</v>
      </c>
      <c r="CI3" s="846" t="s">
        <v>173</v>
      </c>
      <c r="CJ3" s="891" t="s">
        <v>174</v>
      </c>
      <c r="CK3" s="891" t="s">
        <v>175</v>
      </c>
      <c r="CL3" s="891" t="s">
        <v>176</v>
      </c>
      <c r="CM3" s="891" t="s">
        <v>177</v>
      </c>
      <c r="CN3" s="891" t="s">
        <v>166</v>
      </c>
      <c r="CO3" s="891" t="s">
        <v>167</v>
      </c>
      <c r="CP3" s="891" t="s">
        <v>168</v>
      </c>
      <c r="CQ3" s="891" t="s">
        <v>169</v>
      </c>
      <c r="CR3" s="891" t="s">
        <v>170</v>
      </c>
      <c r="CS3" s="891" t="s">
        <v>171</v>
      </c>
      <c r="CT3" s="891" t="s">
        <v>172</v>
      </c>
      <c r="CU3" s="846" t="s">
        <v>173</v>
      </c>
      <c r="CV3" s="891" t="s">
        <v>174</v>
      </c>
      <c r="CW3" s="891" t="s">
        <v>175</v>
      </c>
      <c r="CX3" s="891" t="s">
        <v>176</v>
      </c>
      <c r="CY3" s="891" t="s">
        <v>177</v>
      </c>
      <c r="CZ3" s="891" t="s">
        <v>166</v>
      </c>
      <c r="DA3" s="891" t="s">
        <v>167</v>
      </c>
      <c r="DB3" s="891" t="s">
        <v>168</v>
      </c>
      <c r="DC3" s="891" t="s">
        <v>169</v>
      </c>
      <c r="DD3" s="891" t="s">
        <v>170</v>
      </c>
      <c r="DE3" s="891" t="s">
        <v>171</v>
      </c>
      <c r="DF3" s="891" t="s">
        <v>172</v>
      </c>
      <c r="DG3" s="846" t="s">
        <v>173</v>
      </c>
      <c r="DH3" s="891" t="s">
        <v>174</v>
      </c>
      <c r="DI3" s="891" t="s">
        <v>175</v>
      </c>
      <c r="DJ3" s="891" t="s">
        <v>176</v>
      </c>
      <c r="DK3" s="891" t="s">
        <v>177</v>
      </c>
      <c r="DL3" s="891" t="s">
        <v>166</v>
      </c>
      <c r="DM3" s="891" t="s">
        <v>167</v>
      </c>
      <c r="DN3" s="891" t="s">
        <v>168</v>
      </c>
      <c r="DO3" s="891" t="s">
        <v>169</v>
      </c>
      <c r="DP3" s="891" t="s">
        <v>170</v>
      </c>
      <c r="DQ3" s="891" t="s">
        <v>171</v>
      </c>
      <c r="DR3" s="891" t="s">
        <v>172</v>
      </c>
      <c r="DS3" s="846" t="s">
        <v>173</v>
      </c>
      <c r="DT3" s="832"/>
    </row>
    <row r="4" spans="1:126" ht="12.75" hidden="1" customHeight="1" x14ac:dyDescent="0.2">
      <c r="B4" s="21" t="s">
        <v>88</v>
      </c>
      <c r="C4" s="20"/>
      <c r="D4" s="841" t="e">
        <f>#REF!</f>
        <v>#REF!</v>
      </c>
      <c r="E4" s="841" t="e">
        <f>#REF!</f>
        <v>#REF!</v>
      </c>
      <c r="F4" s="841" t="e">
        <f>#REF!</f>
        <v>#REF!</v>
      </c>
      <c r="G4" s="841" t="e">
        <f>#REF!</f>
        <v>#REF!</v>
      </c>
      <c r="H4" s="841" t="e">
        <f>#REF!</f>
        <v>#REF!</v>
      </c>
      <c r="I4" s="841" t="e">
        <f>#REF!</f>
        <v>#REF!</v>
      </c>
      <c r="J4" s="841" t="e">
        <f>#REF!</f>
        <v>#REF!</v>
      </c>
      <c r="K4" s="841" t="e">
        <f>#REF!</f>
        <v>#REF!</v>
      </c>
      <c r="L4" s="841" t="e">
        <f>#REF!</f>
        <v>#REF!</v>
      </c>
      <c r="M4" s="841" t="e">
        <f>#REF!</f>
        <v>#REF!</v>
      </c>
      <c r="N4" s="841" t="e">
        <f>#REF!</f>
        <v>#REF!</v>
      </c>
      <c r="O4" s="707" t="e">
        <f>#REF!</f>
        <v>#REF!</v>
      </c>
      <c r="P4" s="844" t="e">
        <f>#REF!</f>
        <v>#REF!</v>
      </c>
      <c r="Q4" s="834" t="e">
        <f>#REF!</f>
        <v>#REF!</v>
      </c>
      <c r="R4" s="834" t="e">
        <f>#REF!</f>
        <v>#REF!</v>
      </c>
      <c r="S4" s="834" t="e">
        <f>#REF!</f>
        <v>#REF!</v>
      </c>
      <c r="T4" s="834" t="e">
        <f>#REF!</f>
        <v>#REF!</v>
      </c>
      <c r="U4" s="834" t="e">
        <f>#REF!</f>
        <v>#REF!</v>
      </c>
      <c r="V4" s="834" t="e">
        <f>#REF!</f>
        <v>#REF!</v>
      </c>
      <c r="W4" s="834" t="e">
        <f>#REF!</f>
        <v>#REF!</v>
      </c>
      <c r="X4" s="834" t="e">
        <f>#REF!</f>
        <v>#REF!</v>
      </c>
      <c r="Y4" s="834" t="e">
        <f>#REF!</f>
        <v>#REF!</v>
      </c>
      <c r="Z4" s="834" t="e">
        <f>#REF!</f>
        <v>#REF!</v>
      </c>
      <c r="AA4" s="847" t="e">
        <f>#REF!</f>
        <v>#REF!</v>
      </c>
      <c r="AB4" s="690" t="e">
        <f>#REF!</f>
        <v>#REF!</v>
      </c>
      <c r="AC4" s="834" t="e">
        <f>#REF!</f>
        <v>#REF!</v>
      </c>
      <c r="AD4" s="834" t="e">
        <f>#REF!</f>
        <v>#REF!</v>
      </c>
      <c r="AE4" s="834" t="e">
        <f>#REF!</f>
        <v>#REF!</v>
      </c>
      <c r="AF4" s="834" t="e">
        <f>#REF!</f>
        <v>#REF!</v>
      </c>
      <c r="AG4" s="834" t="e">
        <f>#REF!</f>
        <v>#REF!</v>
      </c>
      <c r="AH4" s="834" t="e">
        <f>#REF!</f>
        <v>#REF!</v>
      </c>
      <c r="AI4" s="834" t="e">
        <f>#REF!</f>
        <v>#REF!</v>
      </c>
      <c r="AJ4" s="834" t="e">
        <f>#REF!</f>
        <v>#REF!</v>
      </c>
      <c r="AK4" s="834" t="e">
        <f>#REF!</f>
        <v>#REF!</v>
      </c>
      <c r="AL4" s="834" t="e">
        <f>#REF!</f>
        <v>#REF!</v>
      </c>
      <c r="AM4" s="847" t="e">
        <f>#REF!</f>
        <v>#REF!</v>
      </c>
      <c r="AN4" s="690" t="e">
        <f>#REF!</f>
        <v>#REF!</v>
      </c>
      <c r="AO4" s="834" t="e">
        <f>#REF!</f>
        <v>#REF!</v>
      </c>
      <c r="AP4" s="834" t="e">
        <f>#REF!</f>
        <v>#REF!</v>
      </c>
      <c r="AQ4" s="834" t="e">
        <f>#REF!</f>
        <v>#REF!</v>
      </c>
      <c r="AR4" s="834" t="e">
        <f>#REF!</f>
        <v>#REF!</v>
      </c>
      <c r="AS4" s="834" t="e">
        <f>#REF!</f>
        <v>#REF!</v>
      </c>
      <c r="AT4" s="834" t="e">
        <f>#REF!</f>
        <v>#REF!</v>
      </c>
      <c r="AU4" s="834" t="e">
        <f>#REF!</f>
        <v>#REF!</v>
      </c>
      <c r="AV4" s="834" t="e">
        <f>#REF!</f>
        <v>#REF!</v>
      </c>
      <c r="AW4" s="834" t="e">
        <f>#REF!</f>
        <v>#REF!</v>
      </c>
      <c r="AX4" s="834" t="e">
        <f>#REF!</f>
        <v>#REF!</v>
      </c>
      <c r="AY4" s="847" t="e">
        <f>#REF!</f>
        <v>#REF!</v>
      </c>
      <c r="AZ4" s="690" t="e">
        <f>#REF!</f>
        <v>#REF!</v>
      </c>
      <c r="BA4" s="834" t="e">
        <f>#REF!</f>
        <v>#REF!</v>
      </c>
      <c r="BB4" s="834" t="e">
        <f>#REF!</f>
        <v>#REF!</v>
      </c>
      <c r="BC4" s="834" t="e">
        <f>#REF!</f>
        <v>#REF!</v>
      </c>
      <c r="BD4" s="834" t="e">
        <f>#REF!</f>
        <v>#REF!</v>
      </c>
      <c r="BE4" s="834" t="e">
        <f>#REF!</f>
        <v>#REF!</v>
      </c>
      <c r="BF4" s="834" t="e">
        <f>#REF!</f>
        <v>#REF!</v>
      </c>
      <c r="BG4" s="834" t="e">
        <f>#REF!</f>
        <v>#REF!</v>
      </c>
      <c r="BH4" s="834" t="e">
        <f>#REF!</f>
        <v>#REF!</v>
      </c>
      <c r="BI4" s="834" t="e">
        <f>#REF!</f>
        <v>#REF!</v>
      </c>
      <c r="BJ4" s="834" t="e">
        <f>#REF!</f>
        <v>#REF!</v>
      </c>
      <c r="BK4" s="847" t="e">
        <f>#REF!</f>
        <v>#REF!</v>
      </c>
      <c r="BL4" s="690" t="e">
        <f>#REF!</f>
        <v>#REF!</v>
      </c>
      <c r="BM4" s="834" t="e">
        <f>#REF!</f>
        <v>#REF!</v>
      </c>
      <c r="BN4" s="834" t="e">
        <f>#REF!</f>
        <v>#REF!</v>
      </c>
      <c r="BO4" s="834" t="e">
        <f>#REF!</f>
        <v>#REF!</v>
      </c>
      <c r="BP4" s="834" t="e">
        <f>#REF!</f>
        <v>#REF!</v>
      </c>
      <c r="BQ4" s="834" t="e">
        <f>#REF!</f>
        <v>#REF!</v>
      </c>
      <c r="BR4" s="834" t="e">
        <f>#REF!</f>
        <v>#REF!</v>
      </c>
      <c r="BS4" s="834" t="e">
        <f>#REF!</f>
        <v>#REF!</v>
      </c>
      <c r="BT4" s="834" t="e">
        <f>#REF!</f>
        <v>#REF!</v>
      </c>
      <c r="BU4" s="834" t="e">
        <f>#REF!</f>
        <v>#REF!</v>
      </c>
      <c r="BV4" s="834" t="e">
        <f>#REF!</f>
        <v>#REF!</v>
      </c>
      <c r="BW4" s="847" t="e">
        <f>#REF!</f>
        <v>#REF!</v>
      </c>
      <c r="BX4" s="690" t="e">
        <f>#REF!</f>
        <v>#REF!</v>
      </c>
      <c r="BY4" s="834" t="e">
        <f>#REF!</f>
        <v>#REF!</v>
      </c>
      <c r="BZ4" s="834" t="e">
        <f>#REF!</f>
        <v>#REF!</v>
      </c>
      <c r="CA4" s="834" t="e">
        <f>#REF!</f>
        <v>#REF!</v>
      </c>
      <c r="CB4" s="834" t="e">
        <f>#REF!</f>
        <v>#REF!</v>
      </c>
      <c r="CC4" s="834" t="e">
        <f>#REF!</f>
        <v>#REF!</v>
      </c>
      <c r="CD4" s="834" t="e">
        <f>#REF!</f>
        <v>#REF!</v>
      </c>
      <c r="CE4" s="834" t="e">
        <f>#REF!</f>
        <v>#REF!</v>
      </c>
      <c r="CF4" s="834" t="e">
        <f>#REF!</f>
        <v>#REF!</v>
      </c>
      <c r="CG4" s="834" t="e">
        <f>#REF!</f>
        <v>#REF!</v>
      </c>
      <c r="CH4" s="834" t="e">
        <f>#REF!</f>
        <v>#REF!</v>
      </c>
      <c r="CI4" s="847" t="e">
        <f>#REF!</f>
        <v>#REF!</v>
      </c>
      <c r="CJ4" s="690" t="e">
        <f>#REF!</f>
        <v>#REF!</v>
      </c>
      <c r="CK4" s="834" t="e">
        <f>#REF!</f>
        <v>#REF!</v>
      </c>
      <c r="CL4" s="834" t="e">
        <f>#REF!</f>
        <v>#REF!</v>
      </c>
      <c r="CM4" s="834" t="e">
        <f>#REF!</f>
        <v>#REF!</v>
      </c>
      <c r="CN4" s="834" t="e">
        <f>#REF!</f>
        <v>#REF!</v>
      </c>
      <c r="CO4" s="834" t="e">
        <f>#REF!</f>
        <v>#REF!</v>
      </c>
      <c r="CP4" s="834" t="e">
        <f>#REF!</f>
        <v>#REF!</v>
      </c>
      <c r="CQ4" s="834" t="e">
        <f>#REF!</f>
        <v>#REF!</v>
      </c>
      <c r="CR4" s="834" t="e">
        <f>#REF!</f>
        <v>#REF!</v>
      </c>
      <c r="CS4" s="834" t="e">
        <f>#REF!</f>
        <v>#REF!</v>
      </c>
      <c r="CT4" s="834" t="e">
        <f>#REF!</f>
        <v>#REF!</v>
      </c>
      <c r="CU4" s="847" t="e">
        <f>#REF!</f>
        <v>#REF!</v>
      </c>
      <c r="CV4" s="690" t="e">
        <f>#REF!</f>
        <v>#REF!</v>
      </c>
      <c r="CW4" s="834" t="e">
        <f>#REF!</f>
        <v>#REF!</v>
      </c>
      <c r="CX4" s="834" t="e">
        <f>#REF!</f>
        <v>#REF!</v>
      </c>
      <c r="CY4" s="834" t="e">
        <f>#REF!</f>
        <v>#REF!</v>
      </c>
      <c r="CZ4" s="834" t="e">
        <f>#REF!</f>
        <v>#REF!</v>
      </c>
      <c r="DA4" s="834" t="e">
        <f>#REF!</f>
        <v>#REF!</v>
      </c>
      <c r="DB4" s="834" t="e">
        <f>#REF!</f>
        <v>#REF!</v>
      </c>
      <c r="DC4" s="834" t="e">
        <f>#REF!</f>
        <v>#REF!</v>
      </c>
      <c r="DD4" s="834" t="e">
        <f>#REF!</f>
        <v>#REF!</v>
      </c>
      <c r="DE4" s="834" t="e">
        <f>#REF!</f>
        <v>#REF!</v>
      </c>
      <c r="DF4" s="834" t="e">
        <f>#REF!</f>
        <v>#REF!</v>
      </c>
      <c r="DG4" s="847" t="e">
        <f>#REF!</f>
        <v>#REF!</v>
      </c>
      <c r="DH4" s="690" t="e">
        <f>#REF!</f>
        <v>#REF!</v>
      </c>
      <c r="DI4" s="834" t="e">
        <f>#REF!</f>
        <v>#REF!</v>
      </c>
      <c r="DJ4" s="834" t="e">
        <f>#REF!</f>
        <v>#REF!</v>
      </c>
      <c r="DK4" s="834" t="e">
        <f>#REF!</f>
        <v>#REF!</v>
      </c>
      <c r="DL4" s="834" t="e">
        <f>#REF!</f>
        <v>#REF!</v>
      </c>
      <c r="DM4" s="834" t="e">
        <f>#REF!</f>
        <v>#REF!</v>
      </c>
      <c r="DN4" s="834" t="e">
        <f>#REF!</f>
        <v>#REF!</v>
      </c>
      <c r="DO4" s="834" t="e">
        <f>#REF!</f>
        <v>#REF!</v>
      </c>
      <c r="DP4" s="834" t="e">
        <f>#REF!</f>
        <v>#REF!</v>
      </c>
      <c r="DQ4" s="834" t="e">
        <f>#REF!</f>
        <v>#REF!</v>
      </c>
      <c r="DR4" s="834" t="e">
        <f>#REF!</f>
        <v>#REF!</v>
      </c>
      <c r="DS4" s="847" t="e">
        <f>#REF!</f>
        <v>#REF!</v>
      </c>
      <c r="DT4" s="832"/>
    </row>
    <row r="5" spans="1:126" x14ac:dyDescent="0.2">
      <c r="B5" s="21" t="s">
        <v>307</v>
      </c>
      <c r="C5" s="22"/>
      <c r="D5" s="841">
        <f>Assumptions!$E$7</f>
        <v>1</v>
      </c>
      <c r="E5" s="841">
        <f>Assumptions!$E$7</f>
        <v>1</v>
      </c>
      <c r="F5" s="841">
        <f>Assumptions!$E$7</f>
        <v>1</v>
      </c>
      <c r="G5" s="841">
        <f>Assumptions!$E$7</f>
        <v>1</v>
      </c>
      <c r="H5" s="841">
        <f>Assumptions!$E$7</f>
        <v>1</v>
      </c>
      <c r="I5" s="841">
        <f>Assumptions!$E$7</f>
        <v>1</v>
      </c>
      <c r="J5" s="841">
        <f>Assumptions!$E$7</f>
        <v>1</v>
      </c>
      <c r="K5" s="841">
        <f>Assumptions!$E$7</f>
        <v>1</v>
      </c>
      <c r="L5" s="841">
        <f>Assumptions!$E$7</f>
        <v>1</v>
      </c>
      <c r="M5" s="841">
        <f>Assumptions!$E$7</f>
        <v>1</v>
      </c>
      <c r="N5" s="841">
        <f>Assumptions!$E$7</f>
        <v>1</v>
      </c>
      <c r="O5" s="707">
        <f>Assumptions!$E$7</f>
        <v>1</v>
      </c>
      <c r="P5" s="844">
        <f>Assumptions!$F7</f>
        <v>1.0629999999999999</v>
      </c>
      <c r="Q5" s="834">
        <f>Assumptions!$F7</f>
        <v>1.0629999999999999</v>
      </c>
      <c r="R5" s="834">
        <f>Assumptions!$F7</f>
        <v>1.0629999999999999</v>
      </c>
      <c r="S5" s="834">
        <f>Assumptions!$F7</f>
        <v>1.0629999999999999</v>
      </c>
      <c r="T5" s="834">
        <f>Assumptions!$F7</f>
        <v>1.0629999999999999</v>
      </c>
      <c r="U5" s="834">
        <f>Assumptions!$F7</f>
        <v>1.0629999999999999</v>
      </c>
      <c r="V5" s="834">
        <f>Assumptions!$F7</f>
        <v>1.0629999999999999</v>
      </c>
      <c r="W5" s="834">
        <f>Assumptions!$F7</f>
        <v>1.0629999999999999</v>
      </c>
      <c r="X5" s="834">
        <f>Assumptions!$F7</f>
        <v>1.0629999999999999</v>
      </c>
      <c r="Y5" s="834">
        <f>Assumptions!$F7</f>
        <v>1.0629999999999999</v>
      </c>
      <c r="Z5" s="834">
        <f>Assumptions!$F7</f>
        <v>1.0629999999999999</v>
      </c>
      <c r="AA5" s="847">
        <f>Assumptions!$F7</f>
        <v>1.0629999999999999</v>
      </c>
      <c r="AB5" s="690">
        <f>Assumptions!$G7</f>
        <v>1.1299689999999998</v>
      </c>
      <c r="AC5" s="834">
        <f>Assumptions!$G7</f>
        <v>1.1299689999999998</v>
      </c>
      <c r="AD5" s="834">
        <f>Assumptions!$G7</f>
        <v>1.1299689999999998</v>
      </c>
      <c r="AE5" s="834">
        <f>Assumptions!$G7</f>
        <v>1.1299689999999998</v>
      </c>
      <c r="AF5" s="834">
        <f>Assumptions!$G7</f>
        <v>1.1299689999999998</v>
      </c>
      <c r="AG5" s="834">
        <f>Assumptions!$G7</f>
        <v>1.1299689999999998</v>
      </c>
      <c r="AH5" s="834">
        <f>Assumptions!$G7</f>
        <v>1.1299689999999998</v>
      </c>
      <c r="AI5" s="834">
        <f>Assumptions!$G7</f>
        <v>1.1299689999999998</v>
      </c>
      <c r="AJ5" s="834">
        <f>Assumptions!$G7</f>
        <v>1.1299689999999998</v>
      </c>
      <c r="AK5" s="834">
        <f>Assumptions!$G7</f>
        <v>1.1299689999999998</v>
      </c>
      <c r="AL5" s="834">
        <f>Assumptions!$G7</f>
        <v>1.1299689999999998</v>
      </c>
      <c r="AM5" s="847">
        <f>Assumptions!$G7</f>
        <v>1.1299689999999998</v>
      </c>
      <c r="AN5" s="690">
        <f>Assumptions!$H7</f>
        <v>1.2011570469999997</v>
      </c>
      <c r="AO5" s="834">
        <f>Assumptions!$H7</f>
        <v>1.2011570469999997</v>
      </c>
      <c r="AP5" s="834">
        <f>Assumptions!$H7</f>
        <v>1.2011570469999997</v>
      </c>
      <c r="AQ5" s="834">
        <f>Assumptions!$H7</f>
        <v>1.2011570469999997</v>
      </c>
      <c r="AR5" s="834">
        <f>Assumptions!$H7</f>
        <v>1.2011570469999997</v>
      </c>
      <c r="AS5" s="834">
        <f>Assumptions!$H7</f>
        <v>1.2011570469999997</v>
      </c>
      <c r="AT5" s="834">
        <f>Assumptions!$H7</f>
        <v>1.2011570469999997</v>
      </c>
      <c r="AU5" s="834">
        <f>Assumptions!$H7</f>
        <v>1.2011570469999997</v>
      </c>
      <c r="AV5" s="834">
        <f>Assumptions!$H7</f>
        <v>1.2011570469999997</v>
      </c>
      <c r="AW5" s="834">
        <f>Assumptions!$H7</f>
        <v>1.2011570469999997</v>
      </c>
      <c r="AX5" s="834">
        <f>Assumptions!$H7</f>
        <v>1.2011570469999997</v>
      </c>
      <c r="AY5" s="847">
        <f>Assumptions!$H7</f>
        <v>1.2011570469999997</v>
      </c>
      <c r="AZ5" s="690">
        <f>Assumptions!$I7</f>
        <v>1.2768299409609996</v>
      </c>
      <c r="BA5" s="834">
        <f>Assumptions!$I7</f>
        <v>1.2768299409609996</v>
      </c>
      <c r="BB5" s="834">
        <f>Assumptions!$I7</f>
        <v>1.2768299409609996</v>
      </c>
      <c r="BC5" s="834">
        <f>Assumptions!$I7</f>
        <v>1.2768299409609996</v>
      </c>
      <c r="BD5" s="834">
        <f>Assumptions!$I7</f>
        <v>1.2768299409609996</v>
      </c>
      <c r="BE5" s="834">
        <f>Assumptions!$I7</f>
        <v>1.2768299409609996</v>
      </c>
      <c r="BF5" s="834">
        <f>Assumptions!$I7</f>
        <v>1.2768299409609996</v>
      </c>
      <c r="BG5" s="834">
        <f>Assumptions!$I7</f>
        <v>1.2768299409609996</v>
      </c>
      <c r="BH5" s="834">
        <f>Assumptions!$I7</f>
        <v>1.2768299409609996</v>
      </c>
      <c r="BI5" s="834">
        <f>Assumptions!$I7</f>
        <v>1.2768299409609996</v>
      </c>
      <c r="BJ5" s="834">
        <f>Assumptions!$I7</f>
        <v>1.2768299409609996</v>
      </c>
      <c r="BK5" s="847">
        <f>Assumptions!$I7</f>
        <v>1.2768299409609996</v>
      </c>
      <c r="BL5" s="690">
        <f>Assumptions!$J7</f>
        <v>1.3572702272415424</v>
      </c>
      <c r="BM5" s="834">
        <f>Assumptions!$J7</f>
        <v>1.3572702272415424</v>
      </c>
      <c r="BN5" s="834">
        <f>Assumptions!$J7</f>
        <v>1.3572702272415424</v>
      </c>
      <c r="BO5" s="834">
        <f>Assumptions!$J7</f>
        <v>1.3572702272415424</v>
      </c>
      <c r="BP5" s="834">
        <f>Assumptions!$J7</f>
        <v>1.3572702272415424</v>
      </c>
      <c r="BQ5" s="834">
        <f>Assumptions!$J7</f>
        <v>1.3572702272415424</v>
      </c>
      <c r="BR5" s="834">
        <f>Assumptions!$J7</f>
        <v>1.3572702272415424</v>
      </c>
      <c r="BS5" s="834">
        <f>Assumptions!$J7</f>
        <v>1.3572702272415424</v>
      </c>
      <c r="BT5" s="834">
        <f>Assumptions!$J7</f>
        <v>1.3572702272415424</v>
      </c>
      <c r="BU5" s="834">
        <f>Assumptions!$J7</f>
        <v>1.3572702272415424</v>
      </c>
      <c r="BV5" s="834">
        <f>Assumptions!$J7</f>
        <v>1.3572702272415424</v>
      </c>
      <c r="BW5" s="847">
        <f>Assumptions!$J7</f>
        <v>1.3572702272415424</v>
      </c>
      <c r="BX5" s="690">
        <f>Assumptions!$K7</f>
        <v>1.4427782515577596</v>
      </c>
      <c r="BY5" s="834">
        <f>Assumptions!$K7</f>
        <v>1.4427782515577596</v>
      </c>
      <c r="BZ5" s="834">
        <f>Assumptions!$K7</f>
        <v>1.4427782515577596</v>
      </c>
      <c r="CA5" s="834">
        <f>Assumptions!$K7</f>
        <v>1.4427782515577596</v>
      </c>
      <c r="CB5" s="834">
        <f>Assumptions!$K7</f>
        <v>1.4427782515577596</v>
      </c>
      <c r="CC5" s="834">
        <f>Assumptions!$K7</f>
        <v>1.4427782515577596</v>
      </c>
      <c r="CD5" s="834">
        <f>Assumptions!$K7</f>
        <v>1.4427782515577596</v>
      </c>
      <c r="CE5" s="834">
        <f>Assumptions!$K7</f>
        <v>1.4427782515577596</v>
      </c>
      <c r="CF5" s="834">
        <f>Assumptions!$K7</f>
        <v>1.4427782515577596</v>
      </c>
      <c r="CG5" s="834">
        <f>Assumptions!$K7</f>
        <v>1.4427782515577596</v>
      </c>
      <c r="CH5" s="834">
        <f>Assumptions!$K7</f>
        <v>1.4427782515577596</v>
      </c>
      <c r="CI5" s="847">
        <f>Assumptions!$K7</f>
        <v>1.4427782515577596</v>
      </c>
      <c r="CJ5" s="690">
        <f>Assumptions!$L7</f>
        <v>1.5336732814058984</v>
      </c>
      <c r="CK5" s="834">
        <f>Assumptions!$L7</f>
        <v>1.5336732814058984</v>
      </c>
      <c r="CL5" s="834">
        <f>Assumptions!$L7</f>
        <v>1.5336732814058984</v>
      </c>
      <c r="CM5" s="834">
        <f>Assumptions!$L7</f>
        <v>1.5336732814058984</v>
      </c>
      <c r="CN5" s="834">
        <f>Assumptions!$L7</f>
        <v>1.5336732814058984</v>
      </c>
      <c r="CO5" s="834">
        <f>Assumptions!$L7</f>
        <v>1.5336732814058984</v>
      </c>
      <c r="CP5" s="834">
        <f>Assumptions!$L7</f>
        <v>1.5336732814058984</v>
      </c>
      <c r="CQ5" s="834">
        <f>Assumptions!$L7</f>
        <v>1.5336732814058984</v>
      </c>
      <c r="CR5" s="834">
        <f>Assumptions!$L7</f>
        <v>1.5336732814058984</v>
      </c>
      <c r="CS5" s="834">
        <f>Assumptions!$L7</f>
        <v>1.5336732814058984</v>
      </c>
      <c r="CT5" s="834">
        <f>Assumptions!$L7</f>
        <v>1.5336732814058984</v>
      </c>
      <c r="CU5" s="847">
        <f>Assumptions!$L7</f>
        <v>1.5336732814058984</v>
      </c>
      <c r="CV5" s="690">
        <f>Assumptions!$M7</f>
        <v>1.6302946981344699</v>
      </c>
      <c r="CW5" s="834">
        <f>Assumptions!$M7</f>
        <v>1.6302946981344699</v>
      </c>
      <c r="CX5" s="834">
        <f>Assumptions!$M7</f>
        <v>1.6302946981344699</v>
      </c>
      <c r="CY5" s="834">
        <f>Assumptions!$M7</f>
        <v>1.6302946981344699</v>
      </c>
      <c r="CZ5" s="834">
        <f>Assumptions!$M7</f>
        <v>1.6302946981344699</v>
      </c>
      <c r="DA5" s="834">
        <f>Assumptions!$M7</f>
        <v>1.6302946981344699</v>
      </c>
      <c r="DB5" s="834">
        <f>Assumptions!$M7</f>
        <v>1.6302946981344699</v>
      </c>
      <c r="DC5" s="834">
        <f>Assumptions!$M7</f>
        <v>1.6302946981344699</v>
      </c>
      <c r="DD5" s="834">
        <f>Assumptions!$M7</f>
        <v>1.6302946981344699</v>
      </c>
      <c r="DE5" s="834">
        <f>Assumptions!$M7</f>
        <v>1.6302946981344699</v>
      </c>
      <c r="DF5" s="834">
        <f>Assumptions!$M7</f>
        <v>1.6302946981344699</v>
      </c>
      <c r="DG5" s="847">
        <f>Assumptions!$M7</f>
        <v>1.6302946981344699</v>
      </c>
      <c r="DH5" s="690">
        <f>Assumptions!$N7</f>
        <v>1.7330032641169415</v>
      </c>
      <c r="DI5" s="834">
        <f>Assumptions!$N7</f>
        <v>1.7330032641169415</v>
      </c>
      <c r="DJ5" s="834">
        <f>Assumptions!$N7</f>
        <v>1.7330032641169415</v>
      </c>
      <c r="DK5" s="834">
        <f>Assumptions!$N7</f>
        <v>1.7330032641169415</v>
      </c>
      <c r="DL5" s="834">
        <f>Assumptions!$N7</f>
        <v>1.7330032641169415</v>
      </c>
      <c r="DM5" s="834">
        <f>Assumptions!$N7</f>
        <v>1.7330032641169415</v>
      </c>
      <c r="DN5" s="834">
        <f>Assumptions!$N7</f>
        <v>1.7330032641169415</v>
      </c>
      <c r="DO5" s="834">
        <f>Assumptions!$N7</f>
        <v>1.7330032641169415</v>
      </c>
      <c r="DP5" s="834">
        <f>Assumptions!$N7</f>
        <v>1.7330032641169415</v>
      </c>
      <c r="DQ5" s="834">
        <f>Assumptions!$N7</f>
        <v>1.7330032641169415</v>
      </c>
      <c r="DR5" s="834">
        <f>Assumptions!$N7</f>
        <v>1.7330032641169415</v>
      </c>
      <c r="DS5" s="847">
        <f>Assumptions!$N7</f>
        <v>1.7330032641169415</v>
      </c>
      <c r="DT5" s="832"/>
    </row>
    <row r="6" spans="1:126" ht="7.5" customHeight="1" x14ac:dyDescent="0.25">
      <c r="A6" s="5"/>
      <c r="B6" s="13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707"/>
      <c r="P6" s="843"/>
      <c r="Q6" s="887"/>
      <c r="R6" s="837"/>
      <c r="S6" s="887"/>
      <c r="T6" s="887"/>
      <c r="U6" s="887"/>
      <c r="V6" s="887"/>
      <c r="W6" s="887"/>
      <c r="X6" s="887"/>
      <c r="Y6" s="887"/>
      <c r="Z6" s="887"/>
      <c r="AA6" s="842"/>
      <c r="AB6" s="887"/>
      <c r="AC6" s="887"/>
      <c r="AD6" s="837"/>
      <c r="AE6" s="887"/>
      <c r="AF6" s="887"/>
      <c r="AG6" s="887"/>
      <c r="AH6" s="887"/>
      <c r="AI6" s="887"/>
      <c r="AJ6" s="887"/>
      <c r="AK6" s="887"/>
      <c r="AL6" s="887"/>
      <c r="AM6" s="842"/>
      <c r="AN6" s="887"/>
      <c r="AO6" s="887"/>
      <c r="AP6" s="837"/>
      <c r="AQ6" s="887"/>
      <c r="AR6" s="887"/>
      <c r="AS6" s="887"/>
      <c r="AT6" s="887"/>
      <c r="AU6" s="887"/>
      <c r="AV6" s="887"/>
      <c r="AW6" s="887"/>
      <c r="AX6" s="887"/>
      <c r="AY6" s="842"/>
      <c r="AZ6" s="887"/>
      <c r="BA6" s="887"/>
      <c r="BB6" s="837"/>
      <c r="BC6" s="887"/>
      <c r="BD6" s="887"/>
      <c r="BE6" s="887"/>
      <c r="BF6" s="887"/>
      <c r="BG6" s="887"/>
      <c r="BH6" s="887"/>
      <c r="BI6" s="887"/>
      <c r="BJ6" s="887"/>
      <c r="BK6" s="842"/>
      <c r="BL6" s="887"/>
      <c r="BM6" s="887"/>
      <c r="BN6" s="837"/>
      <c r="BO6" s="887"/>
      <c r="BP6" s="887"/>
      <c r="BQ6" s="887"/>
      <c r="BR6" s="887"/>
      <c r="BS6" s="887"/>
      <c r="BT6" s="887"/>
      <c r="BU6" s="887"/>
      <c r="BV6" s="887"/>
      <c r="BW6" s="842"/>
      <c r="BX6" s="887"/>
      <c r="BY6" s="887"/>
      <c r="BZ6" s="837"/>
      <c r="CA6" s="887"/>
      <c r="CB6" s="887"/>
      <c r="CC6" s="887"/>
      <c r="CD6" s="887"/>
      <c r="CE6" s="887"/>
      <c r="CF6" s="887"/>
      <c r="CG6" s="887"/>
      <c r="CH6" s="887"/>
      <c r="CI6" s="842"/>
      <c r="CJ6" s="887"/>
      <c r="CK6" s="887"/>
      <c r="CL6" s="837"/>
      <c r="CM6" s="887"/>
      <c r="CN6" s="887"/>
      <c r="CO6" s="887"/>
      <c r="CP6" s="887"/>
      <c r="CQ6" s="887"/>
      <c r="CR6" s="887"/>
      <c r="CS6" s="887"/>
      <c r="CT6" s="887"/>
      <c r="CU6" s="842"/>
      <c r="CV6" s="887"/>
      <c r="CW6" s="887"/>
      <c r="CX6" s="837"/>
      <c r="CY6" s="887"/>
      <c r="CZ6" s="887"/>
      <c r="DA6" s="887"/>
      <c r="DB6" s="887"/>
      <c r="DC6" s="887"/>
      <c r="DD6" s="887"/>
      <c r="DE6" s="887"/>
      <c r="DF6" s="887"/>
      <c r="DG6" s="842"/>
      <c r="DH6" s="887"/>
      <c r="DI6" s="887"/>
      <c r="DJ6" s="837"/>
      <c r="DK6" s="887"/>
      <c r="DL6" s="887"/>
      <c r="DM6" s="887"/>
      <c r="DN6" s="887"/>
      <c r="DO6" s="887"/>
      <c r="DP6" s="887"/>
      <c r="DQ6" s="887"/>
      <c r="DR6" s="887"/>
      <c r="DS6" s="842"/>
      <c r="DT6" s="832"/>
    </row>
    <row r="7" spans="1:126" ht="15.75" x14ac:dyDescent="0.25">
      <c r="A7" s="125"/>
      <c r="B7" s="166" t="s">
        <v>188</v>
      </c>
      <c r="D7" s="708"/>
      <c r="E7" s="708"/>
      <c r="F7" s="709"/>
      <c r="G7" s="708"/>
      <c r="H7" s="708"/>
      <c r="I7" s="708"/>
      <c r="J7" s="708"/>
      <c r="K7" s="708"/>
      <c r="L7" s="708"/>
      <c r="M7" s="708"/>
      <c r="N7" s="708"/>
      <c r="O7" s="710"/>
      <c r="P7" s="843"/>
      <c r="Q7" s="887"/>
      <c r="R7" s="837"/>
      <c r="S7" s="887"/>
      <c r="T7" s="887"/>
      <c r="U7" s="887"/>
      <c r="V7" s="887"/>
      <c r="W7" s="887"/>
      <c r="X7" s="887"/>
      <c r="Y7" s="887"/>
      <c r="Z7" s="887"/>
      <c r="AA7" s="842"/>
      <c r="AB7" s="887"/>
      <c r="AC7" s="887"/>
      <c r="AD7" s="837"/>
      <c r="AE7" s="887"/>
      <c r="AF7" s="887"/>
      <c r="AG7" s="887"/>
      <c r="AH7" s="887"/>
      <c r="AI7" s="887"/>
      <c r="AJ7" s="887"/>
      <c r="AK7" s="887"/>
      <c r="AL7" s="887"/>
      <c r="AM7" s="842"/>
      <c r="AN7" s="887"/>
      <c r="AO7" s="887"/>
      <c r="AP7" s="837"/>
      <c r="AQ7" s="887"/>
      <c r="AR7" s="887"/>
      <c r="AS7" s="887"/>
      <c r="AT7" s="887"/>
      <c r="AU7" s="887"/>
      <c r="AV7" s="887"/>
      <c r="AW7" s="887"/>
      <c r="AX7" s="887"/>
      <c r="AY7" s="842"/>
      <c r="AZ7" s="887"/>
      <c r="BA7" s="887"/>
      <c r="BB7" s="837"/>
      <c r="BC7" s="887"/>
      <c r="BD7" s="887"/>
      <c r="BE7" s="887"/>
      <c r="BF7" s="887"/>
      <c r="BG7" s="887"/>
      <c r="BH7" s="887"/>
      <c r="BI7" s="887"/>
      <c r="BJ7" s="887"/>
      <c r="BK7" s="842"/>
      <c r="BL7" s="887"/>
      <c r="BM7" s="887"/>
      <c r="BN7" s="837"/>
      <c r="BO7" s="887"/>
      <c r="BP7" s="887"/>
      <c r="BQ7" s="887"/>
      <c r="BR7" s="887"/>
      <c r="BS7" s="887"/>
      <c r="BT7" s="887"/>
      <c r="BU7" s="887"/>
      <c r="BV7" s="887"/>
      <c r="BW7" s="842"/>
      <c r="BX7" s="887"/>
      <c r="BY7" s="887"/>
      <c r="BZ7" s="837"/>
      <c r="CA7" s="887"/>
      <c r="CB7" s="887"/>
      <c r="CC7" s="887"/>
      <c r="CD7" s="887"/>
      <c r="CE7" s="887"/>
      <c r="CF7" s="887"/>
      <c r="CG7" s="887"/>
      <c r="CH7" s="887"/>
      <c r="CI7" s="842"/>
      <c r="CJ7" s="887"/>
      <c r="CK7" s="887"/>
      <c r="CL7" s="837"/>
      <c r="CM7" s="887"/>
      <c r="CN7" s="887"/>
      <c r="CO7" s="887"/>
      <c r="CP7" s="887"/>
      <c r="CQ7" s="887"/>
      <c r="CR7" s="887"/>
      <c r="CS7" s="887"/>
      <c r="CT7" s="887"/>
      <c r="CU7" s="842"/>
      <c r="CV7" s="887"/>
      <c r="CW7" s="887"/>
      <c r="CX7" s="837"/>
      <c r="CY7" s="887"/>
      <c r="CZ7" s="887"/>
      <c r="DA7" s="887"/>
      <c r="DB7" s="887"/>
      <c r="DC7" s="887"/>
      <c r="DD7" s="887"/>
      <c r="DE7" s="887"/>
      <c r="DF7" s="887"/>
      <c r="DG7" s="842"/>
      <c r="DH7" s="887"/>
      <c r="DI7" s="887"/>
      <c r="DJ7" s="837"/>
      <c r="DK7" s="887"/>
      <c r="DL7" s="887"/>
      <c r="DM7" s="887"/>
      <c r="DN7" s="887"/>
      <c r="DO7" s="887"/>
      <c r="DP7" s="887"/>
      <c r="DQ7" s="887"/>
      <c r="DR7" s="887"/>
      <c r="DS7" s="842"/>
      <c r="DT7" s="832"/>
    </row>
    <row r="8" spans="1:126" ht="15" x14ac:dyDescent="0.25">
      <c r="B8" s="160" t="s">
        <v>190</v>
      </c>
      <c r="C8" s="7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97"/>
      <c r="P8" s="345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8">
        <v>0</v>
      </c>
      <c r="AB8" s="739">
        <v>0</v>
      </c>
      <c r="AC8" s="108"/>
      <c r="AD8" s="108"/>
      <c r="AE8" s="108"/>
      <c r="AF8" s="108"/>
      <c r="AG8" s="108"/>
      <c r="AH8" s="108"/>
      <c r="AI8" s="108"/>
      <c r="AJ8" s="108"/>
      <c r="AK8" s="108">
        <f>SUM(HR!AM12:AM18)</f>
        <v>-90162.109791666648</v>
      </c>
      <c r="AL8" s="108">
        <f>SUM(HR!AN12:AN18)</f>
        <v>-90162.109791666648</v>
      </c>
      <c r="AM8" s="108">
        <f>SUM(HR!AO12:AO18)</f>
        <v>-90162.109791666648</v>
      </c>
      <c r="AN8" s="739">
        <f>SUM(HR!AP12:AP18)</f>
        <v>-95842.322708541644</v>
      </c>
      <c r="AO8" s="108">
        <f>SUM(HR!AQ12:AQ18)</f>
        <v>-95842.322708541644</v>
      </c>
      <c r="AP8" s="108">
        <f>SUM(HR!AR12:AR18)</f>
        <v>-95842.322708541644</v>
      </c>
      <c r="AQ8" s="108">
        <f>SUM(HR!AS12:AS18)</f>
        <v>-95842.322708541644</v>
      </c>
      <c r="AR8" s="108">
        <f>SUM(HR!AT12:AT18)</f>
        <v>-95842.322708541644</v>
      </c>
      <c r="AS8" s="108">
        <f>SUM(HR!AU12:AU18)</f>
        <v>-95842.322708541644</v>
      </c>
      <c r="AT8" s="108">
        <f>SUM(HR!AV12:AV18)</f>
        <v>-95842.322708541644</v>
      </c>
      <c r="AU8" s="108">
        <f>SUM(HR!AW12:AW18)</f>
        <v>-95842.322708541644</v>
      </c>
      <c r="AV8" s="108">
        <f>SUM(HR!AX12:AX18)</f>
        <v>-95842.322708541644</v>
      </c>
      <c r="AW8" s="108">
        <f>SUM(HR!AY12:AY18)</f>
        <v>-95842.322708541644</v>
      </c>
      <c r="AX8" s="108">
        <f>SUM(HR!AZ12:AZ18)</f>
        <v>-95842.322708541644</v>
      </c>
      <c r="AY8" s="108">
        <f>SUM(HR!BA12:BA18)</f>
        <v>-95842.322708541644</v>
      </c>
      <c r="AZ8" s="739">
        <f>SUM(HR!BB12:BB18)</f>
        <v>-101880.38903917976</v>
      </c>
      <c r="BA8" s="108">
        <f>SUM(HR!BC12:BC18)</f>
        <v>-101880.38903917976</v>
      </c>
      <c r="BB8" s="108">
        <f>SUM(HR!BD12:BD18)</f>
        <v>-101880.38903917976</v>
      </c>
      <c r="BC8" s="108">
        <f>SUM(HR!BE12:BE18)</f>
        <v>-101880.38903917976</v>
      </c>
      <c r="BD8" s="108">
        <f>SUM(HR!BF12:BF18)</f>
        <v>-101880.38903917976</v>
      </c>
      <c r="BE8" s="108">
        <f>SUM(HR!BG12:BG18)</f>
        <v>-101880.38903917976</v>
      </c>
      <c r="BF8" s="108">
        <f>SUM(HR!BH12:BH18)</f>
        <v>-101880.38903917976</v>
      </c>
      <c r="BG8" s="108">
        <f>SUM(HR!BI12:BI18)</f>
        <v>-101880.38903917976</v>
      </c>
      <c r="BH8" s="108">
        <f>SUM(HR!BJ12:BJ18)</f>
        <v>-101880.38903917976</v>
      </c>
      <c r="BI8" s="108">
        <f>SUM(HR!BK12:BK18)</f>
        <v>-101880.38903917976</v>
      </c>
      <c r="BJ8" s="108">
        <f>SUM(HR!BL12:BL18)</f>
        <v>-101880.38903917976</v>
      </c>
      <c r="BK8" s="108">
        <f>SUM(HR!BM12:BM18)</f>
        <v>-101880.38903917976</v>
      </c>
      <c r="BL8" s="739">
        <f>SUM(HR!BN12:BN18)</f>
        <v>-108298.85354864807</v>
      </c>
      <c r="BM8" s="108">
        <f>SUM(HR!BO12:BO18)</f>
        <v>-108298.85354864807</v>
      </c>
      <c r="BN8" s="108">
        <f>SUM(HR!BP12:BP18)</f>
        <v>-108298.85354864807</v>
      </c>
      <c r="BO8" s="108">
        <f>SUM(HR!BQ12:BQ18)</f>
        <v>-108298.85354864807</v>
      </c>
      <c r="BP8" s="108">
        <f>SUM(HR!BR12:BR18)</f>
        <v>-108298.85354864807</v>
      </c>
      <c r="BQ8" s="108">
        <f>SUM(HR!BS12:BS18)</f>
        <v>-108298.85354864807</v>
      </c>
      <c r="BR8" s="108">
        <f>SUM(HR!BT12:BT18)</f>
        <v>-108298.85354864807</v>
      </c>
      <c r="BS8" s="108">
        <f>SUM(HR!BU12:BU18)</f>
        <v>-108298.85354864807</v>
      </c>
      <c r="BT8" s="108">
        <f>SUM(HR!BV12:BV18)</f>
        <v>-108298.85354864807</v>
      </c>
      <c r="BU8" s="108">
        <f>SUM(HR!BW12:BW18)</f>
        <v>-108298.85354864807</v>
      </c>
      <c r="BV8" s="108">
        <f>SUM(HR!BX12:BX18)</f>
        <v>-108298.85354864807</v>
      </c>
      <c r="BW8" s="108">
        <f>SUM(HR!BY12:BY18)</f>
        <v>-108298.85354864807</v>
      </c>
      <c r="BX8" s="739">
        <f>SUM(HR!BZ12:BZ18)</f>
        <v>-115121.6813222129</v>
      </c>
      <c r="BY8" s="108">
        <f>SUM(HR!CA12:CA18)</f>
        <v>-115121.6813222129</v>
      </c>
      <c r="BZ8" s="108">
        <f>SUM(HR!CB12:CB18)</f>
        <v>-115121.6813222129</v>
      </c>
      <c r="CA8" s="108">
        <f>SUM(HR!CC12:CC18)</f>
        <v>-115121.6813222129</v>
      </c>
      <c r="CB8" s="108">
        <f>SUM(HR!CD12:CD18)</f>
        <v>-115121.6813222129</v>
      </c>
      <c r="CC8" s="108">
        <f>SUM(HR!CE12:CE18)</f>
        <v>-115121.6813222129</v>
      </c>
      <c r="CD8" s="108">
        <f>SUM(HR!CF12:CF18)</f>
        <v>-115121.6813222129</v>
      </c>
      <c r="CE8" s="108">
        <f>SUM(HR!CG12:CG18)</f>
        <v>-115121.6813222129</v>
      </c>
      <c r="CF8" s="108">
        <f>SUM(HR!CH12:CH18)</f>
        <v>-115121.6813222129</v>
      </c>
      <c r="CG8" s="108">
        <f>SUM(HR!CI12:CI18)</f>
        <v>-115121.6813222129</v>
      </c>
      <c r="CH8" s="108">
        <f>SUM(HR!CJ12:CJ18)</f>
        <v>-115121.6813222129</v>
      </c>
      <c r="CI8" s="108">
        <f>SUM(HR!CK12:CK18)</f>
        <v>-115121.6813222129</v>
      </c>
      <c r="CJ8" s="739">
        <f>SUM(HR!CL12:CL18)</f>
        <v>-122374.34724551233</v>
      </c>
      <c r="CK8" s="108">
        <f>SUM(HR!CM12:CM18)</f>
        <v>-122374.34724551233</v>
      </c>
      <c r="CL8" s="108">
        <f>SUM(HR!CN12:CN18)</f>
        <v>-122374.34724551233</v>
      </c>
      <c r="CM8" s="108">
        <f>SUM(HR!CO12:CO18)</f>
        <v>-122374.34724551233</v>
      </c>
      <c r="CN8" s="108">
        <f>SUM(HR!CP12:CP18)</f>
        <v>-122374.34724551233</v>
      </c>
      <c r="CO8" s="108">
        <f>SUM(HR!CQ12:CQ18)</f>
        <v>-122374.34724551233</v>
      </c>
      <c r="CP8" s="108">
        <f>SUM(HR!CR12:CR18)</f>
        <v>-122374.34724551233</v>
      </c>
      <c r="CQ8" s="108">
        <f>SUM(HR!CS12:CS18)</f>
        <v>-122374.34724551233</v>
      </c>
      <c r="CR8" s="108">
        <f>SUM(HR!CT12:CT18)</f>
        <v>-122374.34724551233</v>
      </c>
      <c r="CS8" s="108">
        <f>SUM(HR!CU12:CU18)</f>
        <v>-122374.34724551233</v>
      </c>
      <c r="CT8" s="108">
        <f>SUM(HR!CV12:CV18)</f>
        <v>-122374.34724551233</v>
      </c>
      <c r="CU8" s="108">
        <f>SUM(HR!CW12:CW18)</f>
        <v>-122374.34724551233</v>
      </c>
      <c r="CV8" s="739">
        <f>SUM(HR!CX12:CX18)</f>
        <v>-130083.93112197958</v>
      </c>
      <c r="CW8" s="108">
        <f>SUM(HR!CY12:CY18)</f>
        <v>-130083.93112197958</v>
      </c>
      <c r="CX8" s="108">
        <f>SUM(HR!CZ12:CZ18)</f>
        <v>-130083.93112197958</v>
      </c>
      <c r="CY8" s="108">
        <f>SUM(HR!DA12:DA18)</f>
        <v>-130083.93112197958</v>
      </c>
      <c r="CZ8" s="108">
        <f>SUM(HR!DB12:DB18)</f>
        <v>-130083.93112197958</v>
      </c>
      <c r="DA8" s="108">
        <f>SUM(HR!DC12:DC18)</f>
        <v>-130083.93112197958</v>
      </c>
      <c r="DB8" s="108">
        <f>SUM(HR!DD12:DD18)</f>
        <v>-130083.93112197958</v>
      </c>
      <c r="DC8" s="108">
        <f>SUM(HR!DE12:DE18)</f>
        <v>-130083.93112197958</v>
      </c>
      <c r="DD8" s="108">
        <f>SUM(HR!DF12:DF18)</f>
        <v>-130083.93112197958</v>
      </c>
      <c r="DE8" s="108">
        <f>SUM(HR!DG12:DG18)</f>
        <v>-130083.93112197958</v>
      </c>
      <c r="DF8" s="108">
        <f>SUM(HR!DH12:DH18)</f>
        <v>-130083.93112197958</v>
      </c>
      <c r="DG8" s="108">
        <f>SUM(HR!DI12:DI18)</f>
        <v>-130083.93112197958</v>
      </c>
      <c r="DH8" s="739">
        <f>SUM(HR!DJ12:DJ18)</f>
        <v>-138279.21878266428</v>
      </c>
      <c r="DI8" s="108">
        <f>SUM(HR!DK12:DK18)</f>
        <v>-138279.21878266428</v>
      </c>
      <c r="DJ8" s="108">
        <f>SUM(HR!DL12:DL18)</f>
        <v>-138279.21878266428</v>
      </c>
      <c r="DK8" s="108">
        <f>SUM(HR!DM12:DM18)</f>
        <v>-138279.21878266428</v>
      </c>
      <c r="DL8" s="108">
        <f>SUM(HR!DN12:DN18)</f>
        <v>-138279.21878266428</v>
      </c>
      <c r="DM8" s="108">
        <f>SUM(HR!DO12:DO18)</f>
        <v>-138279.21878266428</v>
      </c>
      <c r="DN8" s="108">
        <f>SUM(HR!DP12:DP18)</f>
        <v>-138279.21878266428</v>
      </c>
      <c r="DO8" s="108">
        <f>SUM(HR!DQ12:DQ18)</f>
        <v>-138279.21878266428</v>
      </c>
      <c r="DP8" s="108">
        <f>SUM(HR!DR12:DR18)</f>
        <v>-138279.21878266428</v>
      </c>
      <c r="DQ8" s="108">
        <f>SUM(HR!DS12:DS18)</f>
        <v>-138279.21878266428</v>
      </c>
      <c r="DR8" s="108">
        <f>SUM(HR!DT12:DT18)</f>
        <v>-138279.21878266428</v>
      </c>
      <c r="DS8" s="108">
        <f>SUM(HR!DU12:DU18)</f>
        <v>-138279.21878266428</v>
      </c>
      <c r="DT8" s="832"/>
    </row>
    <row r="9" spans="1:126" ht="15" x14ac:dyDescent="0.25">
      <c r="B9" s="160" t="s">
        <v>729</v>
      </c>
      <c r="C9" s="919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97"/>
      <c r="P9" s="345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8">
        <v>0</v>
      </c>
      <c r="AB9" s="739">
        <v>0</v>
      </c>
      <c r="AC9" s="106"/>
      <c r="AD9" s="106"/>
      <c r="AE9" s="106"/>
      <c r="AF9" s="106"/>
      <c r="AG9" s="106"/>
      <c r="AH9" s="106"/>
      <c r="AI9" s="106"/>
      <c r="AJ9" s="106"/>
      <c r="AK9" s="106">
        <f>-SUM(Elec!$L$18:$L$20)*Elec!$I$31</f>
        <v>-17842.278592512008</v>
      </c>
      <c r="AL9" s="106">
        <f>-SUM(Elec!$L$18:$L$20)*Elec!$I$31</f>
        <v>-17842.278592512008</v>
      </c>
      <c r="AM9" s="108">
        <f>-SUM(Elec!$L$18:$L$20)*Elec!$I$31</f>
        <v>-17842.278592512008</v>
      </c>
      <c r="AN9" s="107">
        <f>-SUM(Elec!$N$18:$N$20)*Elec!$I$31</f>
        <v>-19626.506451763209</v>
      </c>
      <c r="AO9" s="107">
        <f>-SUM(Elec!$N$18:$N$20)*Elec!$I$31</f>
        <v>-19626.506451763209</v>
      </c>
      <c r="AP9" s="107">
        <f>-SUM(Elec!$N$18:$N$20)*Elec!$I$31</f>
        <v>-19626.506451763209</v>
      </c>
      <c r="AQ9" s="107">
        <f>-SUM(Elec!$N$18:$N$20)*Elec!$I$31</f>
        <v>-19626.506451763209</v>
      </c>
      <c r="AR9" s="107">
        <f>-SUM(Elec!$N$18:$N$20)*Elec!$I$31</f>
        <v>-19626.506451763209</v>
      </c>
      <c r="AS9" s="107">
        <f>-SUM(Elec!$N$18:$N$20)*Elec!$I$31</f>
        <v>-19626.506451763209</v>
      </c>
      <c r="AT9" s="107">
        <f>-SUM(Elec!$N$18:$N$20)*Elec!$I$31</f>
        <v>-19626.506451763209</v>
      </c>
      <c r="AU9" s="107">
        <f>-SUM(Elec!$N$18:$N$20)*Elec!$I$31</f>
        <v>-19626.506451763209</v>
      </c>
      <c r="AV9" s="107">
        <f>-SUM(Elec!$N$18:$N$20)*Elec!$I$31</f>
        <v>-19626.506451763209</v>
      </c>
      <c r="AW9" s="107">
        <f>-SUM(Elec!$N$18:$N$20)*Elec!$I$31</f>
        <v>-19626.506451763209</v>
      </c>
      <c r="AX9" s="107">
        <f>-SUM(Elec!$N$18:$N$20)*Elec!$I$31</f>
        <v>-19626.506451763209</v>
      </c>
      <c r="AY9" s="739">
        <f>-SUM(Elec!$N$18:$N$20)*Elec!$I$31</f>
        <v>-19626.506451763209</v>
      </c>
      <c r="AZ9" s="107">
        <f>-SUM(Elec!$P$18:$P$20)*Elec!$I$31</f>
        <v>-21589.157096939529</v>
      </c>
      <c r="BA9" s="107">
        <f>-SUM(Elec!$P$18:$P$20)*Elec!$I$31</f>
        <v>-21589.157096939529</v>
      </c>
      <c r="BB9" s="107">
        <f>-SUM(Elec!$P$18:$P$20)*Elec!$I$31</f>
        <v>-21589.157096939529</v>
      </c>
      <c r="BC9" s="107">
        <f>-SUM(Elec!$P$18:$P$20)*Elec!$I$31</f>
        <v>-21589.157096939529</v>
      </c>
      <c r="BD9" s="107">
        <f>-SUM(Elec!$P$18:$P$20)*Elec!$I$31</f>
        <v>-21589.157096939529</v>
      </c>
      <c r="BE9" s="107">
        <f>-SUM(Elec!$P$18:$P$20)*Elec!$I$31</f>
        <v>-21589.157096939529</v>
      </c>
      <c r="BF9" s="107">
        <f>-SUM(Elec!$P$18:$P$20)*Elec!$I$31</f>
        <v>-21589.157096939529</v>
      </c>
      <c r="BG9" s="107">
        <f>-SUM(Elec!$P$18:$P$20)*Elec!$I$31</f>
        <v>-21589.157096939529</v>
      </c>
      <c r="BH9" s="107">
        <f>-SUM(Elec!$P$18:$P$20)*Elec!$I$31</f>
        <v>-21589.157096939529</v>
      </c>
      <c r="BI9" s="107">
        <f>-SUM(Elec!$P$18:$P$20)*Elec!$I$31</f>
        <v>-21589.157096939529</v>
      </c>
      <c r="BJ9" s="107">
        <f>-SUM(Elec!$P$18:$P$20)*Elec!$I$31</f>
        <v>-21589.157096939529</v>
      </c>
      <c r="BK9" s="739">
        <f>-SUM(Elec!$P$18:$P$20)*Elec!$I$31</f>
        <v>-21589.157096939529</v>
      </c>
      <c r="BL9" s="107">
        <f>-SUM(Elec!$R$18:$R$20)*Elec!$I$31</f>
        <v>-23748.072806633489</v>
      </c>
      <c r="BM9" s="107">
        <f>-SUM(Elec!$R$18:$R$20)*Elec!$I$31</f>
        <v>-23748.072806633489</v>
      </c>
      <c r="BN9" s="107">
        <f>-SUM(Elec!$R$18:$R$20)*Elec!$I$31</f>
        <v>-23748.072806633489</v>
      </c>
      <c r="BO9" s="107">
        <f>-SUM(Elec!$R$18:$R$20)*Elec!$I$31</f>
        <v>-23748.072806633489</v>
      </c>
      <c r="BP9" s="107">
        <f>-SUM(Elec!$R$18:$R$20)*Elec!$I$31</f>
        <v>-23748.072806633489</v>
      </c>
      <c r="BQ9" s="107">
        <f>-SUM(Elec!$R$18:$R$20)*Elec!$I$31</f>
        <v>-23748.072806633489</v>
      </c>
      <c r="BR9" s="107">
        <f>-SUM(Elec!$R$18:$R$20)*Elec!$I$31</f>
        <v>-23748.072806633489</v>
      </c>
      <c r="BS9" s="107">
        <f>-SUM(Elec!$R$18:$R$20)*Elec!$I$31</f>
        <v>-23748.072806633489</v>
      </c>
      <c r="BT9" s="107">
        <f>-SUM(Elec!$R$18:$R$20)*Elec!$I$31</f>
        <v>-23748.072806633489</v>
      </c>
      <c r="BU9" s="107">
        <f>-SUM(Elec!$R$18:$R$20)*Elec!$I$31</f>
        <v>-23748.072806633489</v>
      </c>
      <c r="BV9" s="107">
        <f>-SUM(Elec!$R$18:$R$20)*Elec!$I$31</f>
        <v>-23748.072806633489</v>
      </c>
      <c r="BW9" s="739">
        <f>-SUM(Elec!$R$18:$R$20)*Elec!$I$31</f>
        <v>-23748.072806633489</v>
      </c>
      <c r="BX9" s="107">
        <f>-SUM(Elec!$T$18:$T$20)*Elec!$I$31</f>
        <v>-26122.880087296842</v>
      </c>
      <c r="BY9" s="107">
        <f>-SUM(Elec!$T$18:$T$20)*Elec!$I$31</f>
        <v>-26122.880087296842</v>
      </c>
      <c r="BZ9" s="107">
        <f>-SUM(Elec!$T$18:$T$20)*Elec!$I$31</f>
        <v>-26122.880087296842</v>
      </c>
      <c r="CA9" s="107">
        <f>-SUM(Elec!$T$18:$T$20)*Elec!$I$31</f>
        <v>-26122.880087296842</v>
      </c>
      <c r="CB9" s="107">
        <f>-SUM(Elec!$T$18:$T$20)*Elec!$I$31</f>
        <v>-26122.880087296842</v>
      </c>
      <c r="CC9" s="107">
        <f>-SUM(Elec!$T$18:$T$20)*Elec!$I$31</f>
        <v>-26122.880087296842</v>
      </c>
      <c r="CD9" s="107">
        <f>-SUM(Elec!$T$18:$T$20)*Elec!$I$31</f>
        <v>-26122.880087296842</v>
      </c>
      <c r="CE9" s="107">
        <f>-SUM(Elec!$T$18:$T$20)*Elec!$I$31</f>
        <v>-26122.880087296842</v>
      </c>
      <c r="CF9" s="107">
        <f>-SUM(Elec!$T$18:$T$20)*Elec!$I$31</f>
        <v>-26122.880087296842</v>
      </c>
      <c r="CG9" s="107">
        <f>-SUM(Elec!$T$18:$T$20)*Elec!$I$31</f>
        <v>-26122.880087296842</v>
      </c>
      <c r="CH9" s="107">
        <f>-SUM(Elec!$T$18:$T$20)*Elec!$I$31</f>
        <v>-26122.880087296842</v>
      </c>
      <c r="CI9" s="739">
        <f>-SUM(Elec!$T$18:$T$20)*Elec!$I$31</f>
        <v>-26122.880087296842</v>
      </c>
      <c r="CJ9" s="107">
        <f>-SUM(Elec!$V$18:$V$20)*Elec!$I$31</f>
        <v>-28735.168096026526</v>
      </c>
      <c r="CK9" s="107">
        <f>-SUM(Elec!$V$18:$V$20)*Elec!$I$31</f>
        <v>-28735.168096026526</v>
      </c>
      <c r="CL9" s="107">
        <f>-SUM(Elec!$V$18:$V$20)*Elec!$I$31</f>
        <v>-28735.168096026526</v>
      </c>
      <c r="CM9" s="107">
        <f>-SUM(Elec!$V$18:$V$20)*Elec!$I$31</f>
        <v>-28735.168096026526</v>
      </c>
      <c r="CN9" s="107">
        <f>-SUM(Elec!$V$18:$V$20)*Elec!$I$31</f>
        <v>-28735.168096026526</v>
      </c>
      <c r="CO9" s="107">
        <f>-SUM(Elec!$V$18:$V$20)*Elec!$I$31</f>
        <v>-28735.168096026526</v>
      </c>
      <c r="CP9" s="107">
        <f>-SUM(Elec!$V$18:$V$20)*Elec!$I$31</f>
        <v>-28735.168096026526</v>
      </c>
      <c r="CQ9" s="107">
        <f>-SUM(Elec!$V$18:$V$20)*Elec!$I$31</f>
        <v>-28735.168096026526</v>
      </c>
      <c r="CR9" s="107">
        <f>-SUM(Elec!$V$18:$V$20)*Elec!$I$31</f>
        <v>-28735.168096026526</v>
      </c>
      <c r="CS9" s="107">
        <f>-SUM(Elec!$V$18:$V$20)*Elec!$I$31</f>
        <v>-28735.168096026526</v>
      </c>
      <c r="CT9" s="107">
        <f>-SUM(Elec!$V$18:$V$20)*Elec!$I$31</f>
        <v>-28735.168096026526</v>
      </c>
      <c r="CU9" s="739">
        <f>-SUM(Elec!$V$18:$V$20)*Elec!$I$31</f>
        <v>-28735.168096026526</v>
      </c>
      <c r="CV9" s="107">
        <f>-SUM(Elec!$X$18:$X$20)*Elec!$I$31</f>
        <v>-31608.684905629176</v>
      </c>
      <c r="CW9" s="107">
        <f>-SUM(Elec!$X$18:$X$20)*Elec!$I$31</f>
        <v>-31608.684905629176</v>
      </c>
      <c r="CX9" s="107">
        <f>-SUM(Elec!$X$18:$X$20)*Elec!$I$31</f>
        <v>-31608.684905629176</v>
      </c>
      <c r="CY9" s="107">
        <f>-SUM(Elec!$X$18:$X$20)*Elec!$I$31</f>
        <v>-31608.684905629176</v>
      </c>
      <c r="CZ9" s="107">
        <f>-SUM(Elec!$X$18:$X$20)*Elec!$I$31</f>
        <v>-31608.684905629176</v>
      </c>
      <c r="DA9" s="107">
        <f>-SUM(Elec!$X$18:$X$20)*Elec!$I$31</f>
        <v>-31608.684905629176</v>
      </c>
      <c r="DB9" s="107">
        <f>-SUM(Elec!$X$18:$X$20)*Elec!$I$31</f>
        <v>-31608.684905629176</v>
      </c>
      <c r="DC9" s="107">
        <f>-SUM(Elec!$X$18:$X$20)*Elec!$I$31</f>
        <v>-31608.684905629176</v>
      </c>
      <c r="DD9" s="107">
        <f>-SUM(Elec!$X$18:$X$20)*Elec!$I$31</f>
        <v>-31608.684905629176</v>
      </c>
      <c r="DE9" s="107">
        <f>-SUM(Elec!$X$18:$X$20)*Elec!$I$31</f>
        <v>-31608.684905629176</v>
      </c>
      <c r="DF9" s="107">
        <f>-SUM(Elec!$X$18:$X$20)*Elec!$I$31</f>
        <v>-31608.684905629176</v>
      </c>
      <c r="DG9" s="739">
        <f>-SUM(Elec!$X$18:$X$20)*Elec!$I$31</f>
        <v>-31608.684905629176</v>
      </c>
      <c r="DH9" s="107">
        <f>-SUM(Elec!$Z$18:$Z$20)*Elec!$I$31</f>
        <v>-34769.553396192103</v>
      </c>
      <c r="DI9" s="107">
        <f>-SUM(Elec!$Z$18:$Z$20)*Elec!$I$31</f>
        <v>-34769.553396192103</v>
      </c>
      <c r="DJ9" s="107">
        <f>-SUM(Elec!$Z$18:$Z$20)*Elec!$I$31</f>
        <v>-34769.553396192103</v>
      </c>
      <c r="DK9" s="107">
        <f>-SUM(Elec!$Z$18:$Z$20)*Elec!$I$31</f>
        <v>-34769.553396192103</v>
      </c>
      <c r="DL9" s="107">
        <f>-SUM(Elec!$Z$18:$Z$20)*Elec!$I$31</f>
        <v>-34769.553396192103</v>
      </c>
      <c r="DM9" s="107">
        <f>-SUM(Elec!$Z$18:$Z$20)*Elec!$I$31</f>
        <v>-34769.553396192103</v>
      </c>
      <c r="DN9" s="107">
        <f>-SUM(Elec!$Z$18:$Z$20)*Elec!$I$31</f>
        <v>-34769.553396192103</v>
      </c>
      <c r="DO9" s="107">
        <f>-SUM(Elec!$Z$18:$Z$20)*Elec!$I$31</f>
        <v>-34769.553396192103</v>
      </c>
      <c r="DP9" s="107">
        <f>-SUM(Elec!$Z$18:$Z$20)*Elec!$I$31</f>
        <v>-34769.553396192103</v>
      </c>
      <c r="DQ9" s="107">
        <f>-SUM(Elec!$Z$18:$Z$20)*Elec!$I$31</f>
        <v>-34769.553396192103</v>
      </c>
      <c r="DR9" s="107">
        <f>-SUM(Elec!$Z$18:$Z$20)*Elec!$I$31</f>
        <v>-34769.553396192103</v>
      </c>
      <c r="DS9" s="739">
        <f>-SUM(Elec!$Z$18:$Z$20)*Elec!$I$31</f>
        <v>-34769.553396192103</v>
      </c>
      <c r="DT9" s="832"/>
    </row>
    <row r="10" spans="1:126" ht="15" x14ac:dyDescent="0.25">
      <c r="B10" s="160" t="s">
        <v>731</v>
      </c>
      <c r="C10" s="833">
        <v>-80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97"/>
      <c r="P10" s="345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8">
        <v>0</v>
      </c>
      <c r="AB10" s="739">
        <v>0</v>
      </c>
      <c r="AC10" s="106"/>
      <c r="AD10" s="106"/>
      <c r="AE10" s="106"/>
      <c r="AF10" s="943"/>
      <c r="AG10" s="106"/>
      <c r="AH10" s="106"/>
      <c r="AI10" s="106"/>
      <c r="AJ10" s="106"/>
      <c r="AK10" s="106">
        <f>((Production!AL22*Assumptions!$C$43)/20)*$C$10*AK5</f>
        <v>-162715.53599999996</v>
      </c>
      <c r="AL10" s="106">
        <f>((Production!AM22*Assumptions!$C$43)/20)*$C$10*AL5</f>
        <v>-176275.16399999996</v>
      </c>
      <c r="AM10" s="108">
        <f>((Production!AN22*Assumptions!$C$43)/20)*$C$10*AM5</f>
        <v>-162715.53599999996</v>
      </c>
      <c r="AN10" s="107">
        <f>((Production!AO22*Assumptions!$C$43)/20)*$C$10*AN5</f>
        <v>-172966.61476799997</v>
      </c>
      <c r="AO10" s="106">
        <f>((Production!AP22*Assumptions!$C$43)/20)*$C$10*AO5</f>
        <v>-201794.38389599996</v>
      </c>
      <c r="AP10" s="106">
        <f>((Production!AQ22*Assumptions!$C$43)/20)*$C$10*AP5</f>
        <v>-172966.61476799997</v>
      </c>
      <c r="AQ10" s="106">
        <f>((Production!AR22*Assumptions!$C$43)/20)*$C$10*AQ5</f>
        <v>-187380.49933199995</v>
      </c>
      <c r="AR10" s="106">
        <f>((Production!AS22*Assumptions!$C$43)/20)*$C$10*AR5</f>
        <v>-187380.49933199995</v>
      </c>
      <c r="AS10" s="106">
        <f>((Production!AT22*Assumptions!$C$43)/20)*$C$10*AS5</f>
        <v>-187380.49933199995</v>
      </c>
      <c r="AT10" s="106">
        <f>((Production!AU22*Assumptions!$C$43)/20)*$C$10*AT5</f>
        <v>-172966.61476799997</v>
      </c>
      <c r="AU10" s="106">
        <f>((Production!AV22*Assumptions!$C$43)/20)*$C$10*AU5</f>
        <v>-201794.38389599996</v>
      </c>
      <c r="AV10" s="106">
        <f>((Production!AW22*Assumptions!$C$43)/20)*$C$10*AV5</f>
        <v>-172966.61476799997</v>
      </c>
      <c r="AW10" s="106">
        <f>((Production!AX22*Assumptions!$C$43)/20)*$C$10*AW5</f>
        <v>-172966.61476799997</v>
      </c>
      <c r="AX10" s="106">
        <f>((Production!AY22*Assumptions!$C$43)/20)*$C$10*AX5</f>
        <v>-187380.49933199995</v>
      </c>
      <c r="AY10" s="108">
        <f>((Production!AZ22*Assumptions!$C$43)/20)*$C$10*AY5</f>
        <v>-172966.61476799997</v>
      </c>
      <c r="AZ10" s="107">
        <f>((Production!BA22*Assumptions!$C$43)/20)*$C$10*AZ5</f>
        <v>-183863.51149838394</v>
      </c>
      <c r="BA10" s="106">
        <f>((Production!BB22*Assumptions!$C$43)/20)*$C$10*BA5</f>
        <v>-214507.43008144794</v>
      </c>
      <c r="BB10" s="106">
        <f>((Production!BC22*Assumptions!$C$43)/20)*$C$10*BB5</f>
        <v>-183863.51149838394</v>
      </c>
      <c r="BC10" s="106">
        <f>((Production!BD22*Assumptions!$C$43)/20)*$C$10*BC5</f>
        <v>-199185.47078991594</v>
      </c>
      <c r="BD10" s="106">
        <f>((Production!BE22*Assumptions!$C$43)/20)*$C$10*BD5</f>
        <v>-214507.43008144794</v>
      </c>
      <c r="BE10" s="106">
        <f>((Production!BF22*Assumptions!$C$43)/20)*$C$10*BE5</f>
        <v>-183863.51149838394</v>
      </c>
      <c r="BF10" s="106">
        <f>((Production!BG22*Assumptions!$C$43)/20)*$C$10*BF5</f>
        <v>-183863.51149838394</v>
      </c>
      <c r="BG10" s="106">
        <f>((Production!BH22*Assumptions!$C$43)/20)*$C$10*BG5</f>
        <v>-214507.43008144794</v>
      </c>
      <c r="BH10" s="106">
        <f>((Production!BI22*Assumptions!$C$43)/20)*$C$10*BH5</f>
        <v>-183863.51149838394</v>
      </c>
      <c r="BI10" s="106">
        <f>((Production!BJ22*Assumptions!$C$43)/20)*$C$10*BI5</f>
        <v>-183863.51149838394</v>
      </c>
      <c r="BJ10" s="106">
        <f>((Production!BK22*Assumptions!$C$43)/20)*$C$10*BJ5</f>
        <v>-199185.47078991594</v>
      </c>
      <c r="BK10" s="108">
        <f>((Production!BL22*Assumptions!$C$43)/20)*$C$10*BK5</f>
        <v>-183863.51149838394</v>
      </c>
      <c r="BL10" s="107">
        <f>((Production!BM22*Assumptions!$C$43)/20)*$C$10*BL5</f>
        <v>-211734.15544968063</v>
      </c>
      <c r="BM10" s="106">
        <f>((Production!BN22*Assumptions!$C$43)/20)*$C$10*BM5</f>
        <v>-211734.15544968063</v>
      </c>
      <c r="BN10" s="106">
        <f>((Production!BO22*Assumptions!$C$43)/20)*$C$10*BN5</f>
        <v>-195446.91272278212</v>
      </c>
      <c r="BO10" s="106">
        <f>((Production!BP22*Assumptions!$C$43)/20)*$C$10*BO5</f>
        <v>-211734.15544968063</v>
      </c>
      <c r="BP10" s="106">
        <f>((Production!BQ22*Assumptions!$C$43)/20)*$C$10*BP5</f>
        <v>-228021.39817657912</v>
      </c>
      <c r="BQ10" s="106">
        <f>((Production!BR22*Assumptions!$C$43)/20)*$C$10*BQ5</f>
        <v>-195446.91272278212</v>
      </c>
      <c r="BR10" s="106">
        <f>((Production!BS22*Assumptions!$C$43)/20)*$C$10*BR5</f>
        <v>-195446.91272278212</v>
      </c>
      <c r="BS10" s="106">
        <f>((Production!BT22*Assumptions!$C$43)/20)*$C$10*BS5</f>
        <v>-228021.39817657912</v>
      </c>
      <c r="BT10" s="106">
        <f>((Production!BU22*Assumptions!$C$43)/20)*$C$10*BT5</f>
        <v>-195446.91272278212</v>
      </c>
      <c r="BU10" s="106">
        <f>((Production!BV22*Assumptions!$C$43)/20)*$C$10*BU5</f>
        <v>-195446.91272278212</v>
      </c>
      <c r="BV10" s="106">
        <f>((Production!BW22*Assumptions!$C$43)/20)*$C$10*BV5</f>
        <v>-228021.39817657912</v>
      </c>
      <c r="BW10" s="108">
        <f>((Production!BX22*Assumptions!$C$43)/20)*$C$10*BW5</f>
        <v>-179159.6699958836</v>
      </c>
      <c r="BX10" s="107">
        <f>((Production!BY22*Assumptions!$C$43)/20)*$C$10*BX5</f>
        <v>-225073.4072430105</v>
      </c>
      <c r="BY10" s="106">
        <f>((Production!BZ22*Assumptions!$C$43)/20)*$C$10*BY5</f>
        <v>-225073.4072430105</v>
      </c>
      <c r="BZ10" s="106">
        <f>((Production!CA22*Assumptions!$C$43)/20)*$C$10*BZ5</f>
        <v>-225073.4072430105</v>
      </c>
      <c r="CA10" s="106">
        <f>((Production!CB22*Assumptions!$C$43)/20)*$C$10*CA5</f>
        <v>-207760.06822431739</v>
      </c>
      <c r="CB10" s="106">
        <f>((Production!CC22*Assumptions!$C$43)/20)*$C$10*CB5</f>
        <v>-242386.74626170361</v>
      </c>
      <c r="CC10" s="106">
        <f>((Production!CD22*Assumptions!$C$43)/20)*$C$10*CC5</f>
        <v>-207760.06822431739</v>
      </c>
      <c r="CD10" s="106">
        <f>((Production!CE22*Assumptions!$C$43)/20)*$C$10*CD5</f>
        <v>-225073.4072430105</v>
      </c>
      <c r="CE10" s="106">
        <f>((Production!CF22*Assumptions!$C$43)/20)*$C$10*CE5</f>
        <v>-225073.4072430105</v>
      </c>
      <c r="CF10" s="106">
        <f>((Production!CG22*Assumptions!$C$43)/20)*$C$10*CF5</f>
        <v>-207760.06822431739</v>
      </c>
      <c r="CG10" s="106">
        <f>((Production!CH22*Assumptions!$C$43)/20)*$C$10*CG5</f>
        <v>-207760.06822431739</v>
      </c>
      <c r="CH10" s="106">
        <f>((Production!CI22*Assumptions!$C$43)/20)*$C$10*CH5</f>
        <v>-242386.74626170361</v>
      </c>
      <c r="CI10" s="108">
        <f>((Production!CJ22*Assumptions!$C$43)/20)*$C$10*CI5</f>
        <v>-207760.06822431739</v>
      </c>
      <c r="CJ10" s="107">
        <f>((Production!CK22*Assumptions!$C$43)/20)*$C$10*CJ5</f>
        <v>-220848.95252244937</v>
      </c>
      <c r="CK10" s="106">
        <f>((Production!CL22*Assumptions!$C$43)/20)*$C$10*CK5</f>
        <v>-257657.11127619093</v>
      </c>
      <c r="CL10" s="106">
        <f>((Production!CM22*Assumptions!$C$43)/20)*$C$10*CL5</f>
        <v>-220848.95252244937</v>
      </c>
      <c r="CM10" s="106">
        <f>((Production!CN22*Assumptions!$C$43)/20)*$C$10*CM5</f>
        <v>-220848.95252244937</v>
      </c>
      <c r="CN10" s="106">
        <f>((Production!CO22*Assumptions!$C$43)/20)*$C$10*CN5</f>
        <v>-257657.11127619093</v>
      </c>
      <c r="CO10" s="106">
        <f>((Production!CP22*Assumptions!$C$43)/20)*$C$10*CO5</f>
        <v>-220848.95252244937</v>
      </c>
      <c r="CP10" s="106">
        <f>((Production!CQ22*Assumptions!$C$43)/20)*$C$10*CP5</f>
        <v>-239253.03189932017</v>
      </c>
      <c r="CQ10" s="106">
        <f>((Production!CR22*Assumptions!$C$43)/20)*$C$10*CQ5</f>
        <v>-239253.03189932017</v>
      </c>
      <c r="CR10" s="106">
        <f>((Production!CS22*Assumptions!$C$43)/20)*$C$10*CR5</f>
        <v>-220848.95252244937</v>
      </c>
      <c r="CS10" s="106">
        <f>((Production!CT22*Assumptions!$C$43)/20)*$C$10*CS5</f>
        <v>-239253.03189932017</v>
      </c>
      <c r="CT10" s="106">
        <f>((Production!CU22*Assumptions!$C$43)/20)*$C$10*CT5</f>
        <v>-239253.03189932017</v>
      </c>
      <c r="CU10" s="108">
        <f>((Production!CV22*Assumptions!$C$43)/20)*$C$10*CU5</f>
        <v>-220848.95252244937</v>
      </c>
      <c r="CV10" s="107">
        <f>((Production!CW22*Assumptions!$C$43)/20)*$C$10*CV5</f>
        <v>-234762.43653136367</v>
      </c>
      <c r="CW10" s="106">
        <f>((Production!CX22*Assumptions!$C$43)/20)*$C$10*CW5</f>
        <v>-273889.50928659097</v>
      </c>
      <c r="CX10" s="106">
        <f>((Production!CY22*Assumptions!$C$43)/20)*$C$10*CX5</f>
        <v>-234762.43653136367</v>
      </c>
      <c r="CY10" s="106">
        <f>((Production!CZ22*Assumptions!$C$43)/20)*$C$10*CY5</f>
        <v>-234762.43653136367</v>
      </c>
      <c r="CZ10" s="106">
        <f>((Production!DA22*Assumptions!$C$43)/20)*$C$10*CZ5</f>
        <v>-273889.50928659097</v>
      </c>
      <c r="DA10" s="106">
        <f>((Production!DB22*Assumptions!$C$43)/20)*$C$10*DA5</f>
        <v>-254325.9729089773</v>
      </c>
      <c r="DB10" s="106">
        <f>((Production!DC22*Assumptions!$C$43)/20)*$C$10*DB5</f>
        <v>-234762.43653136367</v>
      </c>
      <c r="DC10" s="106">
        <f>((Production!DD22*Assumptions!$C$43)/20)*$C$10*DC5</f>
        <v>-273889.50928659097</v>
      </c>
      <c r="DD10" s="106">
        <f>((Production!DE22*Assumptions!$C$43)/20)*$C$10*DD5</f>
        <v>-234762.43653136367</v>
      </c>
      <c r="DE10" s="106">
        <f>((Production!DF22*Assumptions!$C$43)/20)*$C$10*DE5</f>
        <v>-234762.43653136367</v>
      </c>
      <c r="DF10" s="106">
        <f>((Production!DG22*Assumptions!$C$43)/20)*$C$10*DF5</f>
        <v>-254325.9729089773</v>
      </c>
      <c r="DG10" s="108">
        <f>((Production!DH22*Assumptions!$C$43)/20)*$C$10*DG5</f>
        <v>-234762.43653136367</v>
      </c>
      <c r="DH10" s="107">
        <f>((Production!DI22*Assumptions!$C$43)/20)*$C$10*DH5</f>
        <v>-249552.47003283957</v>
      </c>
      <c r="DI10" s="106">
        <f>((Production!DJ22*Assumptions!$C$43)/20)*$C$10*DI5</f>
        <v>-291144.54837164615</v>
      </c>
      <c r="DJ10" s="106">
        <f>((Production!DK22*Assumptions!$C$43)/20)*$C$10*DJ5</f>
        <v>-249552.47003283957</v>
      </c>
      <c r="DK10" s="106">
        <f>((Production!DL22*Assumptions!$C$43)/20)*$C$10*DK5</f>
        <v>-270348.50920224289</v>
      </c>
      <c r="DL10" s="106">
        <f>((Production!DM22*Assumptions!$C$43)/20)*$C$10*DL5</f>
        <v>-291144.54837164615</v>
      </c>
      <c r="DM10" s="106">
        <f>((Production!DN22*Assumptions!$C$43)/20)*$C$10*DM5</f>
        <v>-249552.47003283957</v>
      </c>
      <c r="DN10" s="106">
        <f>((Production!DO22*Assumptions!$C$43)/20)*$C$10*DN5</f>
        <v>-249552.47003283957</v>
      </c>
      <c r="DO10" s="106">
        <f>((Production!DP22*Assumptions!$C$43)/20)*$C$10*DO5</f>
        <v>-291144.54837164615</v>
      </c>
      <c r="DP10" s="106">
        <f>((Production!DQ22*Assumptions!$C$43)/20)*$C$10*DP5</f>
        <v>-249552.47003283957</v>
      </c>
      <c r="DQ10" s="106">
        <f>((Production!DR22*Assumptions!$C$43)/20)*$C$10*DQ5</f>
        <v>-249552.47003283957</v>
      </c>
      <c r="DR10" s="106">
        <f>((Production!DS22*Assumptions!$C$43)/20)*$C$10*DR5</f>
        <v>-270348.50920224289</v>
      </c>
      <c r="DS10" s="108">
        <f>((Production!DT22*Assumptions!$C$43)/20)*$C$10*DS5</f>
        <v>-249552.47003283957</v>
      </c>
      <c r="DT10" s="832"/>
    </row>
    <row r="11" spans="1:126" ht="15" x14ac:dyDescent="0.25">
      <c r="B11" s="160" t="s">
        <v>269</v>
      </c>
      <c r="C11" s="833">
        <v>-5000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97"/>
      <c r="P11" s="345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8">
        <v>0</v>
      </c>
      <c r="AB11" s="739">
        <v>0</v>
      </c>
      <c r="AC11" s="106"/>
      <c r="AD11" s="106"/>
      <c r="AE11" s="106"/>
      <c r="AF11" s="106"/>
      <c r="AG11" s="106"/>
      <c r="AH11" s="106"/>
      <c r="AI11" s="106"/>
      <c r="AJ11" s="106"/>
      <c r="AK11" s="106">
        <f t="shared" ref="AK11:AO11" si="0">$C11*AK$5</f>
        <v>-5649.8449999999993</v>
      </c>
      <c r="AL11" s="106">
        <f t="shared" si="0"/>
        <v>-5649.8449999999993</v>
      </c>
      <c r="AM11" s="108">
        <f t="shared" si="0"/>
        <v>-5649.8449999999993</v>
      </c>
      <c r="AN11" s="107">
        <f t="shared" si="0"/>
        <v>-6005.7852349999985</v>
      </c>
      <c r="AO11" s="106">
        <f t="shared" si="0"/>
        <v>-6005.7852349999985</v>
      </c>
      <c r="AP11" s="106">
        <f t="shared" ref="AP11:AY11" si="1">$C11*AP$5</f>
        <v>-6005.7852349999985</v>
      </c>
      <c r="AQ11" s="106">
        <f t="shared" si="1"/>
        <v>-6005.7852349999985</v>
      </c>
      <c r="AR11" s="106">
        <f t="shared" si="1"/>
        <v>-6005.7852349999985</v>
      </c>
      <c r="AS11" s="106">
        <f t="shared" si="1"/>
        <v>-6005.7852349999985</v>
      </c>
      <c r="AT11" s="106">
        <f t="shared" si="1"/>
        <v>-6005.7852349999985</v>
      </c>
      <c r="AU11" s="106">
        <f t="shared" si="1"/>
        <v>-6005.7852349999985</v>
      </c>
      <c r="AV11" s="106">
        <f t="shared" si="1"/>
        <v>-6005.7852349999985</v>
      </c>
      <c r="AW11" s="106">
        <f t="shared" si="1"/>
        <v>-6005.7852349999985</v>
      </c>
      <c r="AX11" s="106">
        <f t="shared" si="1"/>
        <v>-6005.7852349999985</v>
      </c>
      <c r="AY11" s="108">
        <f t="shared" si="1"/>
        <v>-6005.7852349999985</v>
      </c>
      <c r="AZ11" s="107">
        <f t="shared" ref="AZ11:BK11" si="2">$C11*AZ$5</f>
        <v>-6384.1497048049978</v>
      </c>
      <c r="BA11" s="106">
        <f t="shared" si="2"/>
        <v>-6384.1497048049978</v>
      </c>
      <c r="BB11" s="106">
        <f t="shared" si="2"/>
        <v>-6384.1497048049978</v>
      </c>
      <c r="BC11" s="106">
        <f t="shared" si="2"/>
        <v>-6384.1497048049978</v>
      </c>
      <c r="BD11" s="106">
        <f t="shared" si="2"/>
        <v>-6384.1497048049978</v>
      </c>
      <c r="BE11" s="106">
        <f t="shared" si="2"/>
        <v>-6384.1497048049978</v>
      </c>
      <c r="BF11" s="106">
        <f t="shared" si="2"/>
        <v>-6384.1497048049978</v>
      </c>
      <c r="BG11" s="106">
        <f t="shared" si="2"/>
        <v>-6384.1497048049978</v>
      </c>
      <c r="BH11" s="106">
        <f t="shared" si="2"/>
        <v>-6384.1497048049978</v>
      </c>
      <c r="BI11" s="106">
        <f t="shared" si="2"/>
        <v>-6384.1497048049978</v>
      </c>
      <c r="BJ11" s="106">
        <f t="shared" si="2"/>
        <v>-6384.1497048049978</v>
      </c>
      <c r="BK11" s="108">
        <f t="shared" si="2"/>
        <v>-6384.1497048049978</v>
      </c>
      <c r="BL11" s="107">
        <f t="shared" ref="BL11:BW11" si="3">$C11*BL$5</f>
        <v>-6786.3511362077124</v>
      </c>
      <c r="BM11" s="106">
        <f t="shared" si="3"/>
        <v>-6786.3511362077124</v>
      </c>
      <c r="BN11" s="106">
        <f t="shared" si="3"/>
        <v>-6786.3511362077124</v>
      </c>
      <c r="BO11" s="106">
        <f t="shared" si="3"/>
        <v>-6786.3511362077124</v>
      </c>
      <c r="BP11" s="106">
        <f t="shared" si="3"/>
        <v>-6786.3511362077124</v>
      </c>
      <c r="BQ11" s="106">
        <f t="shared" si="3"/>
        <v>-6786.3511362077124</v>
      </c>
      <c r="BR11" s="106">
        <f t="shared" si="3"/>
        <v>-6786.3511362077124</v>
      </c>
      <c r="BS11" s="106">
        <f t="shared" si="3"/>
        <v>-6786.3511362077124</v>
      </c>
      <c r="BT11" s="106">
        <f t="shared" si="3"/>
        <v>-6786.3511362077124</v>
      </c>
      <c r="BU11" s="106">
        <f t="shared" si="3"/>
        <v>-6786.3511362077124</v>
      </c>
      <c r="BV11" s="106">
        <f t="shared" si="3"/>
        <v>-6786.3511362077124</v>
      </c>
      <c r="BW11" s="108">
        <f t="shared" si="3"/>
        <v>-6786.3511362077124</v>
      </c>
      <c r="BX11" s="107">
        <f t="shared" ref="BX11:CI11" si="4">$C11*BX$5</f>
        <v>-7213.8912577887977</v>
      </c>
      <c r="BY11" s="106">
        <f t="shared" si="4"/>
        <v>-7213.8912577887977</v>
      </c>
      <c r="BZ11" s="106">
        <f t="shared" si="4"/>
        <v>-7213.8912577887977</v>
      </c>
      <c r="CA11" s="106">
        <f t="shared" si="4"/>
        <v>-7213.8912577887977</v>
      </c>
      <c r="CB11" s="106">
        <f t="shared" si="4"/>
        <v>-7213.8912577887977</v>
      </c>
      <c r="CC11" s="106">
        <f t="shared" si="4"/>
        <v>-7213.8912577887977</v>
      </c>
      <c r="CD11" s="106">
        <f t="shared" si="4"/>
        <v>-7213.8912577887977</v>
      </c>
      <c r="CE11" s="106">
        <f t="shared" si="4"/>
        <v>-7213.8912577887977</v>
      </c>
      <c r="CF11" s="106">
        <f t="shared" si="4"/>
        <v>-7213.8912577887977</v>
      </c>
      <c r="CG11" s="106">
        <f t="shared" si="4"/>
        <v>-7213.8912577887977</v>
      </c>
      <c r="CH11" s="106">
        <f t="shared" si="4"/>
        <v>-7213.8912577887977</v>
      </c>
      <c r="CI11" s="108">
        <f t="shared" si="4"/>
        <v>-7213.8912577887977</v>
      </c>
      <c r="CJ11" s="107">
        <f t="shared" ref="CJ11:CU11" si="5">$C11*CJ$5</f>
        <v>-7668.3664070294917</v>
      </c>
      <c r="CK11" s="106">
        <f t="shared" si="5"/>
        <v>-7668.3664070294917</v>
      </c>
      <c r="CL11" s="106">
        <f t="shared" si="5"/>
        <v>-7668.3664070294917</v>
      </c>
      <c r="CM11" s="106">
        <f t="shared" si="5"/>
        <v>-7668.3664070294917</v>
      </c>
      <c r="CN11" s="106">
        <f t="shared" si="5"/>
        <v>-7668.3664070294917</v>
      </c>
      <c r="CO11" s="106">
        <f t="shared" si="5"/>
        <v>-7668.3664070294917</v>
      </c>
      <c r="CP11" s="106">
        <f t="shared" si="5"/>
        <v>-7668.3664070294917</v>
      </c>
      <c r="CQ11" s="106">
        <f t="shared" si="5"/>
        <v>-7668.3664070294917</v>
      </c>
      <c r="CR11" s="106">
        <f t="shared" si="5"/>
        <v>-7668.3664070294917</v>
      </c>
      <c r="CS11" s="106">
        <f t="shared" si="5"/>
        <v>-7668.3664070294917</v>
      </c>
      <c r="CT11" s="106">
        <f t="shared" si="5"/>
        <v>-7668.3664070294917</v>
      </c>
      <c r="CU11" s="108">
        <f t="shared" si="5"/>
        <v>-7668.3664070294917</v>
      </c>
      <c r="CV11" s="107">
        <f t="shared" ref="CV11:DG11" si="6">$C11*CV$5</f>
        <v>-8151.4734906723497</v>
      </c>
      <c r="CW11" s="106">
        <f t="shared" si="6"/>
        <v>-8151.4734906723497</v>
      </c>
      <c r="CX11" s="106">
        <f t="shared" si="6"/>
        <v>-8151.4734906723497</v>
      </c>
      <c r="CY11" s="106">
        <f t="shared" si="6"/>
        <v>-8151.4734906723497</v>
      </c>
      <c r="CZ11" s="106">
        <f t="shared" si="6"/>
        <v>-8151.4734906723497</v>
      </c>
      <c r="DA11" s="106">
        <f t="shared" si="6"/>
        <v>-8151.4734906723497</v>
      </c>
      <c r="DB11" s="106">
        <f t="shared" si="6"/>
        <v>-8151.4734906723497</v>
      </c>
      <c r="DC11" s="106">
        <f t="shared" si="6"/>
        <v>-8151.4734906723497</v>
      </c>
      <c r="DD11" s="106">
        <f t="shared" si="6"/>
        <v>-8151.4734906723497</v>
      </c>
      <c r="DE11" s="106">
        <f t="shared" si="6"/>
        <v>-8151.4734906723497</v>
      </c>
      <c r="DF11" s="106">
        <f t="shared" si="6"/>
        <v>-8151.4734906723497</v>
      </c>
      <c r="DG11" s="108">
        <f t="shared" si="6"/>
        <v>-8151.4734906723497</v>
      </c>
      <c r="DH11" s="107">
        <f t="shared" ref="DH11:DS11" si="7">$C11*DH$5</f>
        <v>-8665.0163205847075</v>
      </c>
      <c r="DI11" s="106">
        <f t="shared" si="7"/>
        <v>-8665.0163205847075</v>
      </c>
      <c r="DJ11" s="106">
        <f t="shared" si="7"/>
        <v>-8665.0163205847075</v>
      </c>
      <c r="DK11" s="106">
        <f t="shared" si="7"/>
        <v>-8665.0163205847075</v>
      </c>
      <c r="DL11" s="106">
        <f t="shared" si="7"/>
        <v>-8665.0163205847075</v>
      </c>
      <c r="DM11" s="106">
        <f t="shared" si="7"/>
        <v>-8665.0163205847075</v>
      </c>
      <c r="DN11" s="106">
        <f t="shared" si="7"/>
        <v>-8665.0163205847075</v>
      </c>
      <c r="DO11" s="106">
        <f t="shared" si="7"/>
        <v>-8665.0163205847075</v>
      </c>
      <c r="DP11" s="106">
        <f t="shared" si="7"/>
        <v>-8665.0163205847075</v>
      </c>
      <c r="DQ11" s="106">
        <f t="shared" si="7"/>
        <v>-8665.0163205847075</v>
      </c>
      <c r="DR11" s="106">
        <f t="shared" si="7"/>
        <v>-8665.0163205847075</v>
      </c>
      <c r="DS11" s="108">
        <f t="shared" si="7"/>
        <v>-8665.0163205847075</v>
      </c>
      <c r="DT11" s="832"/>
    </row>
    <row r="12" spans="1:126" ht="15" x14ac:dyDescent="0.25">
      <c r="B12" s="160" t="s">
        <v>191</v>
      </c>
      <c r="C12" s="920">
        <f>-2000/12</f>
        <v>-166.66666666666666</v>
      </c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97"/>
      <c r="P12" s="345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739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>
        <f>SUM(HR!$D$13:$D$18)*$C12*AK5</f>
        <v>-1506.6253333333329</v>
      </c>
      <c r="AL12" s="107">
        <f>SUM(HR!$D$13:$D$18)*$C12*AL5</f>
        <v>-1506.6253333333329</v>
      </c>
      <c r="AM12" s="739">
        <f>SUM(HR!$D$13:$D$18)*$C12*AM5</f>
        <v>-1506.6253333333329</v>
      </c>
      <c r="AN12" s="107">
        <f>SUM(HR!$D$13:$D$18)*$C12*AN5</f>
        <v>-1601.5427293333328</v>
      </c>
      <c r="AO12" s="107">
        <f>SUM(HR!$D$13:$D$18)*$C12*AO5</f>
        <v>-1601.5427293333328</v>
      </c>
      <c r="AP12" s="107">
        <f>SUM(HR!$D$13:$D$18)*$C12*AP5</f>
        <v>-1601.5427293333328</v>
      </c>
      <c r="AQ12" s="107">
        <f>SUM(HR!$D$13:$D$18)*$C12*AQ5</f>
        <v>-1601.5427293333328</v>
      </c>
      <c r="AR12" s="107">
        <f>SUM(HR!$D$13:$D$18)*$C12*AR5</f>
        <v>-1601.5427293333328</v>
      </c>
      <c r="AS12" s="107">
        <f>SUM(HR!$D$13:$D$18)*$C12*AS5</f>
        <v>-1601.5427293333328</v>
      </c>
      <c r="AT12" s="107">
        <f>SUM(HR!$D$13:$D$18)*$C12*AT5</f>
        <v>-1601.5427293333328</v>
      </c>
      <c r="AU12" s="107">
        <f>SUM(HR!$D$13:$D$18)*$C12*AU5</f>
        <v>-1601.5427293333328</v>
      </c>
      <c r="AV12" s="107">
        <f>SUM(HR!$D$13:$D$18)*$C12*AV5</f>
        <v>-1601.5427293333328</v>
      </c>
      <c r="AW12" s="107">
        <f>SUM(HR!$D$13:$D$18)*$C12*AW5</f>
        <v>-1601.5427293333328</v>
      </c>
      <c r="AX12" s="107">
        <f>SUM(HR!$D$13:$D$18)*$C12*AX5</f>
        <v>-1601.5427293333328</v>
      </c>
      <c r="AY12" s="739">
        <f>SUM(HR!$D$13:$D$18)*$C12*AY5</f>
        <v>-1601.5427293333328</v>
      </c>
      <c r="AZ12" s="107">
        <f>SUM(HR!$D$13:$D$18)*$C12*AZ5</f>
        <v>-1702.4399212813325</v>
      </c>
      <c r="BA12" s="107">
        <f>SUM(HR!$D$13:$D$18)*$C12*BA5</f>
        <v>-1702.4399212813325</v>
      </c>
      <c r="BB12" s="107">
        <f>SUM(HR!$D$13:$D$18)*$C12*BB5</f>
        <v>-1702.4399212813325</v>
      </c>
      <c r="BC12" s="107">
        <f>SUM(HR!$D$13:$D$18)*$C12*BC5</f>
        <v>-1702.4399212813325</v>
      </c>
      <c r="BD12" s="107">
        <f>SUM(HR!$D$13:$D$18)*$C12*BD5</f>
        <v>-1702.4399212813325</v>
      </c>
      <c r="BE12" s="107">
        <f>SUM(HR!$D$13:$D$18)*$C12*BE5</f>
        <v>-1702.4399212813325</v>
      </c>
      <c r="BF12" s="107">
        <f>SUM(HR!$D$13:$D$18)*$C12*BF5</f>
        <v>-1702.4399212813325</v>
      </c>
      <c r="BG12" s="107">
        <f>SUM(HR!$D$13:$D$18)*$C12*BG5</f>
        <v>-1702.4399212813325</v>
      </c>
      <c r="BH12" s="107">
        <f>SUM(HR!$D$13:$D$18)*$C12*BH5</f>
        <v>-1702.4399212813325</v>
      </c>
      <c r="BI12" s="107">
        <f>SUM(HR!$D$13:$D$18)*$C12*BI5</f>
        <v>-1702.4399212813325</v>
      </c>
      <c r="BJ12" s="107">
        <f>SUM(HR!$D$13:$D$18)*$C12*BJ5</f>
        <v>-1702.4399212813325</v>
      </c>
      <c r="BK12" s="739">
        <f>SUM(HR!$D$13:$D$18)*$C12*BK5</f>
        <v>-1702.4399212813325</v>
      </c>
      <c r="BL12" s="107">
        <f>SUM(HR!$D$13:$D$18)*$C12*BL5</f>
        <v>-1809.6936363220566</v>
      </c>
      <c r="BM12" s="107">
        <f>SUM(HR!$D$13:$D$18)*$C12*BM5</f>
        <v>-1809.6936363220566</v>
      </c>
      <c r="BN12" s="107">
        <f>SUM(HR!$D$13:$D$18)*$C12*BN5</f>
        <v>-1809.6936363220566</v>
      </c>
      <c r="BO12" s="107">
        <f>SUM(HR!$D$13:$D$18)*$C12*BO5</f>
        <v>-1809.6936363220566</v>
      </c>
      <c r="BP12" s="107">
        <f>SUM(HR!$D$13:$D$18)*$C12*BP5</f>
        <v>-1809.6936363220566</v>
      </c>
      <c r="BQ12" s="107">
        <f>SUM(HR!$D$13:$D$18)*$C12*BQ5</f>
        <v>-1809.6936363220566</v>
      </c>
      <c r="BR12" s="107">
        <f>SUM(HR!$D$13:$D$18)*$C12*BR5</f>
        <v>-1809.6936363220566</v>
      </c>
      <c r="BS12" s="107">
        <f>SUM(HR!$D$13:$D$18)*$C12*BS5</f>
        <v>-1809.6936363220566</v>
      </c>
      <c r="BT12" s="107">
        <f>SUM(HR!$D$13:$D$18)*$C12*BT5</f>
        <v>-1809.6936363220566</v>
      </c>
      <c r="BU12" s="107">
        <f>SUM(HR!$D$13:$D$18)*$C12*BU5</f>
        <v>-1809.6936363220566</v>
      </c>
      <c r="BV12" s="107">
        <f>SUM(HR!$D$13:$D$18)*$C12*BV5</f>
        <v>-1809.6936363220566</v>
      </c>
      <c r="BW12" s="739">
        <f>SUM(HR!$D$13:$D$18)*$C12*BW5</f>
        <v>-1809.6936363220566</v>
      </c>
      <c r="BX12" s="107">
        <f>SUM(HR!$D$13:$D$18)*$C12*BX5</f>
        <v>-1923.7043354103459</v>
      </c>
      <c r="BY12" s="107">
        <f>SUM(HR!$D$13:$D$18)*$C12*BY5</f>
        <v>-1923.7043354103459</v>
      </c>
      <c r="BZ12" s="107">
        <f>SUM(HR!$D$13:$D$18)*$C12*BZ5</f>
        <v>-1923.7043354103459</v>
      </c>
      <c r="CA12" s="107">
        <f>SUM(HR!$D$13:$D$18)*$C12*CA5</f>
        <v>-1923.7043354103459</v>
      </c>
      <c r="CB12" s="107">
        <f>SUM(HR!$D$13:$D$18)*$C12*CB5</f>
        <v>-1923.7043354103459</v>
      </c>
      <c r="CC12" s="107">
        <f>SUM(HR!$D$13:$D$18)*$C12*CC5</f>
        <v>-1923.7043354103459</v>
      </c>
      <c r="CD12" s="107">
        <f>SUM(HR!$D$13:$D$18)*$C12*CD5</f>
        <v>-1923.7043354103459</v>
      </c>
      <c r="CE12" s="107">
        <f>SUM(HR!$D$13:$D$18)*$C12*CE5</f>
        <v>-1923.7043354103459</v>
      </c>
      <c r="CF12" s="107">
        <f>SUM(HR!$D$13:$D$18)*$C12*CF5</f>
        <v>-1923.7043354103459</v>
      </c>
      <c r="CG12" s="107">
        <f>SUM(HR!$D$13:$D$18)*$C12*CG5</f>
        <v>-1923.7043354103459</v>
      </c>
      <c r="CH12" s="107">
        <f>SUM(HR!$D$13:$D$18)*$C12*CH5</f>
        <v>-1923.7043354103459</v>
      </c>
      <c r="CI12" s="739">
        <f>SUM(HR!$D$13:$D$18)*$C12*CI5</f>
        <v>-1923.7043354103459</v>
      </c>
      <c r="CJ12" s="107">
        <f>SUM(HR!$D$13:$D$18)*$C12*CJ5</f>
        <v>-2044.8977085411977</v>
      </c>
      <c r="CK12" s="107">
        <f>SUM(HR!$D$13:$D$18)*$C12*CK5</f>
        <v>-2044.8977085411977</v>
      </c>
      <c r="CL12" s="107">
        <f>SUM(HR!$D$13:$D$18)*$C12*CL5</f>
        <v>-2044.8977085411977</v>
      </c>
      <c r="CM12" s="107">
        <f>SUM(HR!$D$13:$D$18)*$C12*CM5</f>
        <v>-2044.8977085411977</v>
      </c>
      <c r="CN12" s="107">
        <f>SUM(HR!$D$13:$D$18)*$C12*CN5</f>
        <v>-2044.8977085411977</v>
      </c>
      <c r="CO12" s="107">
        <f>SUM(HR!$D$13:$D$18)*$C12*CO5</f>
        <v>-2044.8977085411977</v>
      </c>
      <c r="CP12" s="107">
        <f>SUM(HR!$D$13:$D$18)*$C12*CP5</f>
        <v>-2044.8977085411977</v>
      </c>
      <c r="CQ12" s="107">
        <f>SUM(HR!$D$13:$D$18)*$C12*CQ5</f>
        <v>-2044.8977085411977</v>
      </c>
      <c r="CR12" s="107">
        <f>SUM(HR!$D$13:$D$18)*$C12*CR5</f>
        <v>-2044.8977085411977</v>
      </c>
      <c r="CS12" s="107">
        <f>SUM(HR!$D$13:$D$18)*$C12*CS5</f>
        <v>-2044.8977085411977</v>
      </c>
      <c r="CT12" s="107">
        <f>SUM(HR!$D$13:$D$18)*$C12*CT5</f>
        <v>-2044.8977085411977</v>
      </c>
      <c r="CU12" s="739">
        <f>SUM(HR!$D$13:$D$18)*$C12*CU5</f>
        <v>-2044.8977085411977</v>
      </c>
      <c r="CV12" s="107">
        <f>SUM(HR!$D$13:$D$18)*$C12*CV5</f>
        <v>-2173.7262641792931</v>
      </c>
      <c r="CW12" s="107">
        <f>SUM(HR!$D$13:$D$18)*$C12*CW5</f>
        <v>-2173.7262641792931</v>
      </c>
      <c r="CX12" s="107">
        <f>SUM(HR!$D$13:$D$18)*$C12*CX5</f>
        <v>-2173.7262641792931</v>
      </c>
      <c r="CY12" s="107">
        <f>SUM(HR!$D$13:$D$18)*$C12*CY5</f>
        <v>-2173.7262641792931</v>
      </c>
      <c r="CZ12" s="107">
        <f>SUM(HR!$D$13:$D$18)*$C12*CZ5</f>
        <v>-2173.7262641792931</v>
      </c>
      <c r="DA12" s="107">
        <f>SUM(HR!$D$13:$D$18)*$C12*DA5</f>
        <v>-2173.7262641792931</v>
      </c>
      <c r="DB12" s="107">
        <f>SUM(HR!$D$13:$D$18)*$C12*DB5</f>
        <v>-2173.7262641792931</v>
      </c>
      <c r="DC12" s="107">
        <f>SUM(HR!$D$13:$D$18)*$C12*DC5</f>
        <v>-2173.7262641792931</v>
      </c>
      <c r="DD12" s="107">
        <f>SUM(HR!$D$13:$D$18)*$C12*DD5</f>
        <v>-2173.7262641792931</v>
      </c>
      <c r="DE12" s="107">
        <f>SUM(HR!$D$13:$D$18)*$C12*DE5</f>
        <v>-2173.7262641792931</v>
      </c>
      <c r="DF12" s="107">
        <f>SUM(HR!$D$13:$D$18)*$C12*DF5</f>
        <v>-2173.7262641792931</v>
      </c>
      <c r="DG12" s="739">
        <f>SUM(HR!$D$13:$D$18)*$C12*DG5</f>
        <v>-2173.7262641792931</v>
      </c>
      <c r="DH12" s="107">
        <f>SUM(HR!$D$13:$D$18)*$C12*DH5</f>
        <v>-2310.6710188225884</v>
      </c>
      <c r="DI12" s="107">
        <f>SUM(HR!$D$13:$D$18)*$C12*DI5</f>
        <v>-2310.6710188225884</v>
      </c>
      <c r="DJ12" s="107">
        <f>SUM(HR!$D$13:$D$18)*$C12*DJ5</f>
        <v>-2310.6710188225884</v>
      </c>
      <c r="DK12" s="107">
        <f>SUM(HR!$D$13:$D$18)*$C12*DK5</f>
        <v>-2310.6710188225884</v>
      </c>
      <c r="DL12" s="107">
        <f>SUM(HR!$D$13:$D$18)*$C12*DL5</f>
        <v>-2310.6710188225884</v>
      </c>
      <c r="DM12" s="107">
        <f>SUM(HR!$D$13:$D$18)*$C12*DM5</f>
        <v>-2310.6710188225884</v>
      </c>
      <c r="DN12" s="107">
        <f>SUM(HR!$D$13:$D$18)*$C12*DN5</f>
        <v>-2310.6710188225884</v>
      </c>
      <c r="DO12" s="107">
        <f>SUM(HR!$D$13:$D$18)*$C12*DO5</f>
        <v>-2310.6710188225884</v>
      </c>
      <c r="DP12" s="107">
        <f>SUM(HR!$D$13:$D$18)*$C12*DP5</f>
        <v>-2310.6710188225884</v>
      </c>
      <c r="DQ12" s="107">
        <f>SUM(HR!$D$13:$D$18)*$C12*DQ5</f>
        <v>-2310.6710188225884</v>
      </c>
      <c r="DR12" s="107">
        <f>SUM(HR!$D$13:$D$18)*$C12*DR5</f>
        <v>-2310.6710188225884</v>
      </c>
      <c r="DS12" s="739">
        <f>SUM(HR!$D$13:$D$18)*$C12*DS5</f>
        <v>-2310.6710188225884</v>
      </c>
      <c r="DT12" s="832"/>
    </row>
    <row r="13" spans="1:126" ht="15" x14ac:dyDescent="0.25">
      <c r="B13" s="160" t="s">
        <v>683</v>
      </c>
      <c r="C13" s="833">
        <v>-250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97"/>
      <c r="P13" s="345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8">
        <v>0</v>
      </c>
      <c r="AB13" s="739">
        <v>0</v>
      </c>
      <c r="AC13" s="106"/>
      <c r="AD13" s="108"/>
      <c r="AE13" s="108"/>
      <c r="AF13" s="106"/>
      <c r="AG13" s="106"/>
      <c r="AH13" s="108"/>
      <c r="AI13" s="106"/>
      <c r="AJ13" s="106"/>
      <c r="AK13" s="108">
        <f>SUM(HR!$D$12:$D17)*'3. Variable Costs'!$C$13*AK5</f>
        <v>-1694.9534999999996</v>
      </c>
      <c r="AL13" s="106"/>
      <c r="AM13" s="108"/>
      <c r="AN13" s="739">
        <f>SUM(HR!$D$12:$D17)*'3. Variable Costs'!$C$13*AN5</f>
        <v>-1801.7355704999995</v>
      </c>
      <c r="AO13" s="106"/>
      <c r="AP13" s="106"/>
      <c r="AQ13" s="108">
        <f>SUM(HR!$D$12:$D17)*'3. Variable Costs'!$C$13*AQ5</f>
        <v>-1801.7355704999995</v>
      </c>
      <c r="AR13" s="106"/>
      <c r="AS13" s="106"/>
      <c r="AT13" s="108">
        <f>SUM(HR!$D$12:$D17)*'3. Variable Costs'!$C$13*AT5</f>
        <v>-1801.7355704999995</v>
      </c>
      <c r="AU13" s="106"/>
      <c r="AV13" s="106"/>
      <c r="AW13" s="108">
        <f>SUM(HR!$D$12:$D17)*'3. Variable Costs'!$C$13*AW5</f>
        <v>-1801.7355704999995</v>
      </c>
      <c r="AX13" s="106"/>
      <c r="AY13" s="108"/>
      <c r="AZ13" s="739">
        <f>SUM(HR!$D$12:$D17)*'3. Variable Costs'!$C$13*AZ5</f>
        <v>-1915.2449114414994</v>
      </c>
      <c r="BA13" s="106"/>
      <c r="BB13" s="106"/>
      <c r="BC13" s="108">
        <f>SUM(HR!$D$12:$D17)*'3. Variable Costs'!$C$13*BC5</f>
        <v>-1915.2449114414994</v>
      </c>
      <c r="BD13" s="106"/>
      <c r="BE13" s="106"/>
      <c r="BF13" s="108">
        <f>SUM(HR!$D$12:$D17)*'3. Variable Costs'!$C$13*BF5</f>
        <v>-1915.2449114414994</v>
      </c>
      <c r="BG13" s="106"/>
      <c r="BH13" s="106"/>
      <c r="BI13" s="108">
        <f>SUM(HR!$D$12:$D17)*'3. Variable Costs'!$C$13*BI5</f>
        <v>-1915.2449114414994</v>
      </c>
      <c r="BJ13" s="106"/>
      <c r="BK13" s="108"/>
      <c r="BL13" s="739">
        <f>SUM(HR!$D$12:$D17)*'3. Variable Costs'!$C$13*BL5</f>
        <v>-2035.9053408623138</v>
      </c>
      <c r="BM13" s="106"/>
      <c r="BN13" s="106"/>
      <c r="BO13" s="108">
        <f>SUM(HR!$D$12:$D17)*'3. Variable Costs'!$C$13*BO5</f>
        <v>-2035.9053408623138</v>
      </c>
      <c r="BP13" s="106"/>
      <c r="BQ13" s="106"/>
      <c r="BR13" s="108">
        <f>SUM(HR!$D$12:$D17)*'3. Variable Costs'!$C$13*BR5</f>
        <v>-2035.9053408623138</v>
      </c>
      <c r="BS13" s="106"/>
      <c r="BT13" s="106"/>
      <c r="BU13" s="108">
        <f>SUM(HR!$D$12:$D17)*'3. Variable Costs'!$C$13*BU5</f>
        <v>-2035.9053408623138</v>
      </c>
      <c r="BV13" s="106"/>
      <c r="BW13" s="108"/>
      <c r="BX13" s="739">
        <f>SUM(HR!$D$12:$D17)*'3. Variable Costs'!$C$13*BX5</f>
        <v>-2164.1673773366392</v>
      </c>
      <c r="BY13" s="106"/>
      <c r="BZ13" s="106"/>
      <c r="CA13" s="108">
        <f>SUM(HR!$D$12:$D17)*'3. Variable Costs'!$C$13*CA5</f>
        <v>-2164.1673773366392</v>
      </c>
      <c r="CB13" s="106"/>
      <c r="CC13" s="106"/>
      <c r="CD13" s="108">
        <f>SUM(HR!$D$12:$D17)*'3. Variable Costs'!$C$13*CD5</f>
        <v>-2164.1673773366392</v>
      </c>
      <c r="CE13" s="106"/>
      <c r="CF13" s="106"/>
      <c r="CG13" s="108">
        <f>SUM(HR!$D$12:$D17)*'3. Variable Costs'!$C$13*CG5</f>
        <v>-2164.1673773366392</v>
      </c>
      <c r="CH13" s="106"/>
      <c r="CI13" s="108"/>
      <c r="CJ13" s="739">
        <f>SUM(HR!$D$12:$D17)*'3. Variable Costs'!$C$13*CJ5</f>
        <v>-2300.5099221088476</v>
      </c>
      <c r="CK13" s="106"/>
      <c r="CL13" s="106"/>
      <c r="CM13" s="108">
        <f>SUM(HR!$D$12:$D17)*'3. Variable Costs'!$C$13*CM5</f>
        <v>-2300.5099221088476</v>
      </c>
      <c r="CN13" s="106"/>
      <c r="CO13" s="106"/>
      <c r="CP13" s="108">
        <f>SUM(HR!$D$12:$D17)*'3. Variable Costs'!$C$13*CP5</f>
        <v>-2300.5099221088476</v>
      </c>
      <c r="CQ13" s="106"/>
      <c r="CR13" s="106"/>
      <c r="CS13" s="108">
        <f>SUM(HR!$D$12:$D17)*'3. Variable Costs'!$C$13*CS5</f>
        <v>-2300.5099221088476</v>
      </c>
      <c r="CT13" s="106"/>
      <c r="CU13" s="108"/>
      <c r="CV13" s="739">
        <f>SUM(HR!$D$12:$D17)*'3. Variable Costs'!$C$13*CV5</f>
        <v>-2445.442047201705</v>
      </c>
      <c r="CW13" s="106"/>
      <c r="CX13" s="106"/>
      <c r="CY13" s="108">
        <f>SUM(HR!$D$12:$D17)*'3. Variable Costs'!$C$13*CY5</f>
        <v>-2445.442047201705</v>
      </c>
      <c r="CZ13" s="106"/>
      <c r="DA13" s="106"/>
      <c r="DB13" s="108">
        <f>SUM(HR!$D$12:$D17)*'3. Variable Costs'!$C$13*DB5</f>
        <v>-2445.442047201705</v>
      </c>
      <c r="DC13" s="106"/>
      <c r="DD13" s="106"/>
      <c r="DE13" s="108">
        <f>SUM(HR!$D$12:$D17)*'3. Variable Costs'!$C$13*DE5</f>
        <v>-2445.442047201705</v>
      </c>
      <c r="DF13" s="106"/>
      <c r="DG13" s="108"/>
      <c r="DH13" s="739">
        <f>SUM(HR!$D$12:$D17)*'3. Variable Costs'!$C$13*DH5</f>
        <v>-2599.5048961754123</v>
      </c>
      <c r="DI13" s="106"/>
      <c r="DJ13" s="106"/>
      <c r="DK13" s="108">
        <f>SUM(HR!$D$12:$D17)*'3. Variable Costs'!$C$13*DK5</f>
        <v>-2599.5048961754123</v>
      </c>
      <c r="DL13" s="106"/>
      <c r="DM13" s="106"/>
      <c r="DN13" s="108">
        <f>SUM(HR!$D$12:$D17)*'3. Variable Costs'!$C$13*DN5</f>
        <v>-2599.5048961754123</v>
      </c>
      <c r="DO13" s="106"/>
      <c r="DP13" s="106"/>
      <c r="DQ13" s="108">
        <f>SUM(HR!$D$12:$D17)*'3. Variable Costs'!$C$13*DQ5</f>
        <v>-2599.5048961754123</v>
      </c>
      <c r="DR13" s="106"/>
      <c r="DS13" s="108"/>
      <c r="DT13" s="832"/>
    </row>
    <row r="14" spans="1:126" ht="15" x14ac:dyDescent="0.25">
      <c r="B14" s="836" t="s">
        <v>682</v>
      </c>
      <c r="C14" s="833">
        <f>-5*31</f>
        <v>-155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97"/>
      <c r="P14" s="345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8"/>
      <c r="AB14" s="739"/>
      <c r="AC14" s="108"/>
      <c r="AD14" s="108"/>
      <c r="AE14" s="108"/>
      <c r="AF14" s="108"/>
      <c r="AG14" s="106"/>
      <c r="AH14" s="106"/>
      <c r="AI14" s="106"/>
      <c r="AJ14" s="106"/>
      <c r="AK14" s="106">
        <f>SUM(HR!$D$12:$D$17)*$C$14*AK5</f>
        <v>-1050.8711699999999</v>
      </c>
      <c r="AL14" s="106">
        <f>SUM(HR!$D$12:$D$17)*$C$14*AL5</f>
        <v>-1050.8711699999999</v>
      </c>
      <c r="AM14" s="108">
        <f>SUM(HR!$D$12:$D$17)*$C$14*AM5</f>
        <v>-1050.8711699999999</v>
      </c>
      <c r="AN14" s="107">
        <f>SUM(HR!$D$12:$D$17)*$C$14*AN5</f>
        <v>-1117.0760537099998</v>
      </c>
      <c r="AO14" s="106">
        <f>SUM(HR!$D$12:$D$17)*$C$14*AO5</f>
        <v>-1117.0760537099998</v>
      </c>
      <c r="AP14" s="106">
        <f>SUM(HR!$D$12:$D$17)*$C$14*AP5</f>
        <v>-1117.0760537099998</v>
      </c>
      <c r="AQ14" s="106">
        <f>SUM(HR!$D$12:$D$17)*$C$14*AQ5</f>
        <v>-1117.0760537099998</v>
      </c>
      <c r="AR14" s="106">
        <f>SUM(HR!$D$12:$D$17)*$C$14*AR5</f>
        <v>-1117.0760537099998</v>
      </c>
      <c r="AS14" s="106">
        <f>SUM(HR!$D$12:$D$17)*$C$14*AS5</f>
        <v>-1117.0760537099998</v>
      </c>
      <c r="AT14" s="106">
        <f>SUM(HR!$D$12:$D$17)*$C$14*AT5</f>
        <v>-1117.0760537099998</v>
      </c>
      <c r="AU14" s="106">
        <f>SUM(HR!$D$12:$D$17)*$C$14*AU5</f>
        <v>-1117.0760537099998</v>
      </c>
      <c r="AV14" s="106">
        <f>SUM(HR!$D$12:$D$17)*$C$14*AV5</f>
        <v>-1117.0760537099998</v>
      </c>
      <c r="AW14" s="106">
        <f>SUM(HR!$D$12:$D$17)*$C$14*AW5</f>
        <v>-1117.0760537099998</v>
      </c>
      <c r="AX14" s="106">
        <f>SUM(HR!$D$12:$D$17)*$C$14*AX5</f>
        <v>-1117.0760537099998</v>
      </c>
      <c r="AY14" s="108">
        <f>SUM(HR!$D$12:$D$17)*$C$14*AY5</f>
        <v>-1117.0760537099998</v>
      </c>
      <c r="AZ14" s="107">
        <f>SUM(HR!$D$12:$D$17)*$C$14*AZ5</f>
        <v>-1187.4518450937296</v>
      </c>
      <c r="BA14" s="106">
        <f>SUM(HR!$D$12:$D$17)*$C$14*BA5</f>
        <v>-1187.4518450937296</v>
      </c>
      <c r="BB14" s="106">
        <f>SUM(HR!$D$12:$D$17)*$C$14*BB5</f>
        <v>-1187.4518450937296</v>
      </c>
      <c r="BC14" s="106">
        <f>SUM(HR!$D$12:$D$17)*$C$14*BC5</f>
        <v>-1187.4518450937296</v>
      </c>
      <c r="BD14" s="106">
        <f>SUM(HR!$D$12:$D$17)*$C$14*BD5</f>
        <v>-1187.4518450937296</v>
      </c>
      <c r="BE14" s="106">
        <f>SUM(HR!$D$12:$D$17)*$C$14*BE5</f>
        <v>-1187.4518450937296</v>
      </c>
      <c r="BF14" s="106">
        <f>SUM(HR!$D$12:$D$17)*$C$14*BF5</f>
        <v>-1187.4518450937296</v>
      </c>
      <c r="BG14" s="106">
        <f>SUM(HR!$D$12:$D$17)*$C$14*BG5</f>
        <v>-1187.4518450937296</v>
      </c>
      <c r="BH14" s="106">
        <f>SUM(HR!$D$12:$D$17)*$C$14*BH5</f>
        <v>-1187.4518450937296</v>
      </c>
      <c r="BI14" s="106">
        <f>SUM(HR!$D$12:$D$17)*$C$14*BI5</f>
        <v>-1187.4518450937296</v>
      </c>
      <c r="BJ14" s="106">
        <f>SUM(HR!$D$12:$D$17)*$C$14*BJ5</f>
        <v>-1187.4518450937296</v>
      </c>
      <c r="BK14" s="108">
        <f>SUM(HR!$D$12:$D$17)*$C$14*BK5</f>
        <v>-1187.4518450937296</v>
      </c>
      <c r="BL14" s="107">
        <f>SUM(HR!$D$12:$D$17)*$C$14*BL5</f>
        <v>-1262.2613113346345</v>
      </c>
      <c r="BM14" s="106">
        <f>SUM(HR!$D$12:$D$17)*$C$14*BM5</f>
        <v>-1262.2613113346345</v>
      </c>
      <c r="BN14" s="106">
        <f>SUM(HR!$D$12:$D$17)*$C$14*BN5</f>
        <v>-1262.2613113346345</v>
      </c>
      <c r="BO14" s="106">
        <f>SUM(HR!$D$12:$D$17)*$C$14*BO5</f>
        <v>-1262.2613113346345</v>
      </c>
      <c r="BP14" s="106">
        <f>SUM(HR!$D$12:$D$17)*$C$14*BP5</f>
        <v>-1262.2613113346345</v>
      </c>
      <c r="BQ14" s="106">
        <f>SUM(HR!$D$12:$D$17)*$C$14*BQ5</f>
        <v>-1262.2613113346345</v>
      </c>
      <c r="BR14" s="106">
        <f>SUM(HR!$D$12:$D$17)*$C$14*BR5</f>
        <v>-1262.2613113346345</v>
      </c>
      <c r="BS14" s="106">
        <f>SUM(HR!$D$12:$D$17)*$C$14*BS5</f>
        <v>-1262.2613113346345</v>
      </c>
      <c r="BT14" s="106">
        <f>SUM(HR!$D$12:$D$17)*$C$14*BT5</f>
        <v>-1262.2613113346345</v>
      </c>
      <c r="BU14" s="106">
        <f>SUM(HR!$D$12:$D$17)*$C$14*BU5</f>
        <v>-1262.2613113346345</v>
      </c>
      <c r="BV14" s="106">
        <f>SUM(HR!$D$12:$D$17)*$C$14*BV5</f>
        <v>-1262.2613113346345</v>
      </c>
      <c r="BW14" s="108">
        <f>SUM(HR!$D$12:$D$17)*$C$14*BW5</f>
        <v>-1262.2613113346345</v>
      </c>
      <c r="BX14" s="107">
        <f>SUM(HR!$D$12:$D$17)*$C$14*BX5</f>
        <v>-1341.7837739487165</v>
      </c>
      <c r="BY14" s="106">
        <f>SUM(HR!$D$12:$D$17)*$C$14*BY5</f>
        <v>-1341.7837739487165</v>
      </c>
      <c r="BZ14" s="106">
        <f>SUM(HR!$D$12:$D$17)*$C$14*BZ5</f>
        <v>-1341.7837739487165</v>
      </c>
      <c r="CA14" s="106">
        <f>SUM(HR!$D$12:$D$17)*$C$14*CA5</f>
        <v>-1341.7837739487165</v>
      </c>
      <c r="CB14" s="106">
        <f>SUM(HR!$D$12:$D$17)*$C$14*CB5</f>
        <v>-1341.7837739487165</v>
      </c>
      <c r="CC14" s="106">
        <f>SUM(HR!$D$12:$D$17)*$C$14*CC5</f>
        <v>-1341.7837739487165</v>
      </c>
      <c r="CD14" s="106">
        <f>SUM(HR!$D$12:$D$17)*$C$14*CD5</f>
        <v>-1341.7837739487165</v>
      </c>
      <c r="CE14" s="106">
        <f>SUM(HR!$D$12:$D$17)*$C$14*CE5</f>
        <v>-1341.7837739487165</v>
      </c>
      <c r="CF14" s="106">
        <f>SUM(HR!$D$12:$D$17)*$C$14*CF5</f>
        <v>-1341.7837739487165</v>
      </c>
      <c r="CG14" s="106">
        <f>SUM(HR!$D$12:$D$17)*$C$14*CG5</f>
        <v>-1341.7837739487165</v>
      </c>
      <c r="CH14" s="106">
        <f>SUM(HR!$D$12:$D$17)*$C$14*CH5</f>
        <v>-1341.7837739487165</v>
      </c>
      <c r="CI14" s="108">
        <f>SUM(HR!$D$12:$D$17)*$C$14*CI5</f>
        <v>-1341.7837739487165</v>
      </c>
      <c r="CJ14" s="107">
        <f>SUM(HR!$D$12:$D$17)*$C$14*CJ5</f>
        <v>-1426.3161517074855</v>
      </c>
      <c r="CK14" s="106">
        <f>SUM(HR!$D$12:$D$17)*$C$14*CK5</f>
        <v>-1426.3161517074855</v>
      </c>
      <c r="CL14" s="106">
        <f>SUM(HR!$D$12:$D$17)*$C$14*CL5</f>
        <v>-1426.3161517074855</v>
      </c>
      <c r="CM14" s="106">
        <f>SUM(HR!$D$12:$D$17)*$C$14*CM5</f>
        <v>-1426.3161517074855</v>
      </c>
      <c r="CN14" s="106">
        <f>SUM(HR!$D$12:$D$17)*$C$14*CN5</f>
        <v>-1426.3161517074855</v>
      </c>
      <c r="CO14" s="106">
        <f>SUM(HR!$D$12:$D$17)*$C$14*CO5</f>
        <v>-1426.3161517074855</v>
      </c>
      <c r="CP14" s="106">
        <f>SUM(HR!$D$12:$D$17)*$C$14*CP5</f>
        <v>-1426.3161517074855</v>
      </c>
      <c r="CQ14" s="106">
        <f>SUM(HR!$D$12:$D$17)*$C$14*CQ5</f>
        <v>-1426.3161517074855</v>
      </c>
      <c r="CR14" s="106">
        <f>SUM(HR!$D$12:$D$17)*$C$14*CR5</f>
        <v>-1426.3161517074855</v>
      </c>
      <c r="CS14" s="106">
        <f>SUM(HR!$D$12:$D$17)*$C$14*CS5</f>
        <v>-1426.3161517074855</v>
      </c>
      <c r="CT14" s="106">
        <f>SUM(HR!$D$12:$D$17)*$C$14*CT5</f>
        <v>-1426.3161517074855</v>
      </c>
      <c r="CU14" s="108">
        <f>SUM(HR!$D$12:$D$17)*$C$14*CU5</f>
        <v>-1426.3161517074855</v>
      </c>
      <c r="CV14" s="107">
        <f>SUM(HR!$D$12:$D$17)*$C$14*CV5</f>
        <v>-1516.1740692650569</v>
      </c>
      <c r="CW14" s="106">
        <f>SUM(HR!$D$12:$D$17)*$C$14*CW5</f>
        <v>-1516.1740692650569</v>
      </c>
      <c r="CX14" s="106">
        <f>SUM(HR!$D$12:$D$17)*$C$14*CX5</f>
        <v>-1516.1740692650569</v>
      </c>
      <c r="CY14" s="106">
        <f>SUM(HR!$D$12:$D$17)*$C$14*CY5</f>
        <v>-1516.1740692650569</v>
      </c>
      <c r="CZ14" s="106">
        <f>SUM(HR!$D$12:$D$17)*$C$14*CZ5</f>
        <v>-1516.1740692650569</v>
      </c>
      <c r="DA14" s="106">
        <f>SUM(HR!$D$12:$D$17)*$C$14*DA5</f>
        <v>-1516.1740692650569</v>
      </c>
      <c r="DB14" s="106">
        <f>SUM(HR!$D$12:$D$17)*$C$14*DB5</f>
        <v>-1516.1740692650569</v>
      </c>
      <c r="DC14" s="106">
        <f>SUM(HR!$D$12:$D$17)*$C$14*DC5</f>
        <v>-1516.1740692650569</v>
      </c>
      <c r="DD14" s="106">
        <f>SUM(HR!$D$12:$D$17)*$C$14*DD5</f>
        <v>-1516.1740692650569</v>
      </c>
      <c r="DE14" s="106">
        <f>SUM(HR!$D$12:$D$17)*$C$14*DE5</f>
        <v>-1516.1740692650569</v>
      </c>
      <c r="DF14" s="106">
        <f>SUM(HR!$D$12:$D$17)*$C$14*DF5</f>
        <v>-1516.1740692650569</v>
      </c>
      <c r="DG14" s="108">
        <f>SUM(HR!$D$12:$D$17)*$C$14*DG5</f>
        <v>-1516.1740692650569</v>
      </c>
      <c r="DH14" s="107">
        <f>SUM(HR!$D$12:$D$17)*$C$14*DH5</f>
        <v>-1611.6930356287555</v>
      </c>
      <c r="DI14" s="106">
        <f>SUM(HR!$D$12:$D$17)*$C$14*DI5</f>
        <v>-1611.6930356287555</v>
      </c>
      <c r="DJ14" s="106">
        <f>SUM(HR!$D$12:$D$17)*$C$14*DJ5</f>
        <v>-1611.6930356287555</v>
      </c>
      <c r="DK14" s="106">
        <f>SUM(HR!$D$12:$D$17)*$C$14*DK5</f>
        <v>-1611.6930356287555</v>
      </c>
      <c r="DL14" s="106">
        <f>SUM(HR!$D$12:$D$17)*$C$14*DL5</f>
        <v>-1611.6930356287555</v>
      </c>
      <c r="DM14" s="106">
        <f>SUM(HR!$D$12:$D$17)*$C$14*DM5</f>
        <v>-1611.6930356287555</v>
      </c>
      <c r="DN14" s="106">
        <f>SUM(HR!$D$12:$D$17)*$C$14*DN5</f>
        <v>-1611.6930356287555</v>
      </c>
      <c r="DO14" s="106">
        <f>SUM(HR!$D$12:$D$17)*$C$14*DO5</f>
        <v>-1611.6930356287555</v>
      </c>
      <c r="DP14" s="106">
        <f>SUM(HR!$D$12:$D$17)*$C$14*DP5</f>
        <v>-1611.6930356287555</v>
      </c>
      <c r="DQ14" s="106">
        <f>SUM(HR!$D$12:$D$17)*$C$14*DQ5</f>
        <v>-1611.6930356287555</v>
      </c>
      <c r="DR14" s="106">
        <f>SUM(HR!$D$12:$D$17)*$C$14*DR5</f>
        <v>-1611.6930356287555</v>
      </c>
      <c r="DS14" s="108">
        <f>SUM(HR!$D$12:$D$17)*$C$14*DS5</f>
        <v>-1611.6930356287555</v>
      </c>
      <c r="DT14" s="832"/>
    </row>
    <row r="15" spans="1:126" ht="15" x14ac:dyDescent="0.25">
      <c r="B15" s="160" t="s">
        <v>192</v>
      </c>
      <c r="C15" s="833">
        <v>-5000</v>
      </c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97"/>
      <c r="P15" s="345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8">
        <v>0</v>
      </c>
      <c r="AB15" s="739">
        <v>0</v>
      </c>
      <c r="AC15" s="108">
        <v>0</v>
      </c>
      <c r="AD15" s="108"/>
      <c r="AE15" s="108"/>
      <c r="AF15" s="108"/>
      <c r="AG15" s="106"/>
      <c r="AH15" s="106"/>
      <c r="AI15" s="106"/>
      <c r="AJ15" s="106"/>
      <c r="AK15" s="106">
        <f t="shared" ref="AK15:AN16" si="8">$C15*AK$5</f>
        <v>-5649.8449999999993</v>
      </c>
      <c r="AL15" s="106">
        <f t="shared" si="8"/>
        <v>-5649.8449999999993</v>
      </c>
      <c r="AM15" s="108">
        <f t="shared" si="8"/>
        <v>-5649.8449999999993</v>
      </c>
      <c r="AN15" s="107">
        <f t="shared" si="8"/>
        <v>-6005.7852349999985</v>
      </c>
      <c r="AO15" s="106">
        <f t="shared" ref="AO15:CB16" si="9">$C15*AO$5</f>
        <v>-6005.7852349999985</v>
      </c>
      <c r="AP15" s="106">
        <f t="shared" si="9"/>
        <v>-6005.7852349999985</v>
      </c>
      <c r="AQ15" s="106">
        <f t="shared" si="9"/>
        <v>-6005.7852349999985</v>
      </c>
      <c r="AR15" s="106">
        <f t="shared" si="9"/>
        <v>-6005.7852349999985</v>
      </c>
      <c r="AS15" s="106">
        <f t="shared" si="9"/>
        <v>-6005.7852349999985</v>
      </c>
      <c r="AT15" s="106">
        <f t="shared" si="9"/>
        <v>-6005.7852349999985</v>
      </c>
      <c r="AU15" s="106">
        <f t="shared" si="9"/>
        <v>-6005.7852349999985</v>
      </c>
      <c r="AV15" s="106">
        <f t="shared" si="9"/>
        <v>-6005.7852349999985</v>
      </c>
      <c r="AW15" s="106">
        <f t="shared" si="9"/>
        <v>-6005.7852349999985</v>
      </c>
      <c r="AX15" s="106">
        <f t="shared" si="9"/>
        <v>-6005.7852349999985</v>
      </c>
      <c r="AY15" s="108">
        <f t="shared" si="9"/>
        <v>-6005.7852349999985</v>
      </c>
      <c r="AZ15" s="107">
        <f t="shared" si="9"/>
        <v>-6384.1497048049978</v>
      </c>
      <c r="BA15" s="106">
        <f t="shared" si="9"/>
        <v>-6384.1497048049978</v>
      </c>
      <c r="BB15" s="106">
        <f t="shared" si="9"/>
        <v>-6384.1497048049978</v>
      </c>
      <c r="BC15" s="106">
        <f t="shared" si="9"/>
        <v>-6384.1497048049978</v>
      </c>
      <c r="BD15" s="106">
        <f t="shared" si="9"/>
        <v>-6384.1497048049978</v>
      </c>
      <c r="BE15" s="106">
        <f t="shared" si="9"/>
        <v>-6384.1497048049978</v>
      </c>
      <c r="BF15" s="106">
        <f t="shared" si="9"/>
        <v>-6384.1497048049978</v>
      </c>
      <c r="BG15" s="106">
        <f t="shared" si="9"/>
        <v>-6384.1497048049978</v>
      </c>
      <c r="BH15" s="106">
        <f t="shared" si="9"/>
        <v>-6384.1497048049978</v>
      </c>
      <c r="BI15" s="106">
        <f t="shared" si="9"/>
        <v>-6384.1497048049978</v>
      </c>
      <c r="BJ15" s="106">
        <f t="shared" si="9"/>
        <v>-6384.1497048049978</v>
      </c>
      <c r="BK15" s="108">
        <f t="shared" si="9"/>
        <v>-6384.1497048049978</v>
      </c>
      <c r="BL15" s="107">
        <f t="shared" si="9"/>
        <v>-6786.3511362077124</v>
      </c>
      <c r="BM15" s="106">
        <f t="shared" si="9"/>
        <v>-6786.3511362077124</v>
      </c>
      <c r="BN15" s="106">
        <f t="shared" si="9"/>
        <v>-6786.3511362077124</v>
      </c>
      <c r="BO15" s="106">
        <f t="shared" si="9"/>
        <v>-6786.3511362077124</v>
      </c>
      <c r="BP15" s="106">
        <f t="shared" si="9"/>
        <v>-6786.3511362077124</v>
      </c>
      <c r="BQ15" s="106">
        <f t="shared" si="9"/>
        <v>-6786.3511362077124</v>
      </c>
      <c r="BR15" s="106">
        <f t="shared" si="9"/>
        <v>-6786.3511362077124</v>
      </c>
      <c r="BS15" s="106">
        <f t="shared" si="9"/>
        <v>-6786.3511362077124</v>
      </c>
      <c r="BT15" s="106">
        <f t="shared" si="9"/>
        <v>-6786.3511362077124</v>
      </c>
      <c r="BU15" s="106">
        <f t="shared" si="9"/>
        <v>-6786.3511362077124</v>
      </c>
      <c r="BV15" s="106">
        <f t="shared" si="9"/>
        <v>-6786.3511362077124</v>
      </c>
      <c r="BW15" s="108">
        <f t="shared" si="9"/>
        <v>-6786.3511362077124</v>
      </c>
      <c r="BX15" s="107">
        <f t="shared" si="9"/>
        <v>-7213.8912577887977</v>
      </c>
      <c r="BY15" s="106">
        <f t="shared" si="9"/>
        <v>-7213.8912577887977</v>
      </c>
      <c r="BZ15" s="106">
        <f t="shared" si="9"/>
        <v>-7213.8912577887977</v>
      </c>
      <c r="CA15" s="106">
        <f t="shared" si="9"/>
        <v>-7213.8912577887977</v>
      </c>
      <c r="CB15" s="106">
        <f t="shared" si="9"/>
        <v>-7213.8912577887977</v>
      </c>
      <c r="CC15" s="106">
        <f t="shared" ref="CC15:DS16" si="10">$C15*CC$5</f>
        <v>-7213.8912577887977</v>
      </c>
      <c r="CD15" s="106">
        <f t="shared" si="10"/>
        <v>-7213.8912577887977</v>
      </c>
      <c r="CE15" s="106">
        <f t="shared" si="10"/>
        <v>-7213.8912577887977</v>
      </c>
      <c r="CF15" s="106">
        <f t="shared" si="10"/>
        <v>-7213.8912577887977</v>
      </c>
      <c r="CG15" s="106">
        <f t="shared" si="10"/>
        <v>-7213.8912577887977</v>
      </c>
      <c r="CH15" s="106">
        <f t="shared" si="10"/>
        <v>-7213.8912577887977</v>
      </c>
      <c r="CI15" s="108">
        <f t="shared" si="10"/>
        <v>-7213.8912577887977</v>
      </c>
      <c r="CJ15" s="107">
        <f t="shared" si="10"/>
        <v>-7668.3664070294917</v>
      </c>
      <c r="CK15" s="106">
        <f t="shared" si="10"/>
        <v>-7668.3664070294917</v>
      </c>
      <c r="CL15" s="106">
        <f t="shared" si="10"/>
        <v>-7668.3664070294917</v>
      </c>
      <c r="CM15" s="106">
        <f t="shared" si="10"/>
        <v>-7668.3664070294917</v>
      </c>
      <c r="CN15" s="106">
        <f t="shared" si="10"/>
        <v>-7668.3664070294917</v>
      </c>
      <c r="CO15" s="106">
        <f t="shared" si="10"/>
        <v>-7668.3664070294917</v>
      </c>
      <c r="CP15" s="106">
        <f t="shared" si="10"/>
        <v>-7668.3664070294917</v>
      </c>
      <c r="CQ15" s="106">
        <f t="shared" si="10"/>
        <v>-7668.3664070294917</v>
      </c>
      <c r="CR15" s="106">
        <f t="shared" si="10"/>
        <v>-7668.3664070294917</v>
      </c>
      <c r="CS15" s="106">
        <f t="shared" si="10"/>
        <v>-7668.3664070294917</v>
      </c>
      <c r="CT15" s="106">
        <f t="shared" si="10"/>
        <v>-7668.3664070294917</v>
      </c>
      <c r="CU15" s="108">
        <f t="shared" si="10"/>
        <v>-7668.3664070294917</v>
      </c>
      <c r="CV15" s="107">
        <f t="shared" si="10"/>
        <v>-8151.4734906723497</v>
      </c>
      <c r="CW15" s="106">
        <f t="shared" si="10"/>
        <v>-8151.4734906723497</v>
      </c>
      <c r="CX15" s="106">
        <f t="shared" si="10"/>
        <v>-8151.4734906723497</v>
      </c>
      <c r="CY15" s="106">
        <f t="shared" si="10"/>
        <v>-8151.4734906723497</v>
      </c>
      <c r="CZ15" s="106">
        <f t="shared" si="10"/>
        <v>-8151.4734906723497</v>
      </c>
      <c r="DA15" s="106">
        <f t="shared" si="10"/>
        <v>-8151.4734906723497</v>
      </c>
      <c r="DB15" s="106">
        <f t="shared" si="10"/>
        <v>-8151.4734906723497</v>
      </c>
      <c r="DC15" s="106">
        <f t="shared" si="10"/>
        <v>-8151.4734906723497</v>
      </c>
      <c r="DD15" s="106">
        <f t="shared" si="10"/>
        <v>-8151.4734906723497</v>
      </c>
      <c r="DE15" s="106">
        <f t="shared" si="10"/>
        <v>-8151.4734906723497</v>
      </c>
      <c r="DF15" s="106">
        <f t="shared" si="10"/>
        <v>-8151.4734906723497</v>
      </c>
      <c r="DG15" s="108">
        <f t="shared" si="10"/>
        <v>-8151.4734906723497</v>
      </c>
      <c r="DH15" s="107">
        <f t="shared" si="10"/>
        <v>-8665.0163205847075</v>
      </c>
      <c r="DI15" s="106">
        <f t="shared" si="10"/>
        <v>-8665.0163205847075</v>
      </c>
      <c r="DJ15" s="106">
        <f t="shared" si="10"/>
        <v>-8665.0163205847075</v>
      </c>
      <c r="DK15" s="106">
        <f t="shared" si="10"/>
        <v>-8665.0163205847075</v>
      </c>
      <c r="DL15" s="106">
        <f t="shared" si="10"/>
        <v>-8665.0163205847075</v>
      </c>
      <c r="DM15" s="106">
        <f t="shared" si="10"/>
        <v>-8665.0163205847075</v>
      </c>
      <c r="DN15" s="106">
        <f t="shared" si="10"/>
        <v>-8665.0163205847075</v>
      </c>
      <c r="DO15" s="106">
        <f t="shared" si="10"/>
        <v>-8665.0163205847075</v>
      </c>
      <c r="DP15" s="106">
        <f t="shared" si="10"/>
        <v>-8665.0163205847075</v>
      </c>
      <c r="DQ15" s="106">
        <f t="shared" si="10"/>
        <v>-8665.0163205847075</v>
      </c>
      <c r="DR15" s="106">
        <f t="shared" si="10"/>
        <v>-8665.0163205847075</v>
      </c>
      <c r="DS15" s="108">
        <f t="shared" si="10"/>
        <v>-8665.0163205847075</v>
      </c>
      <c r="DT15" s="832"/>
    </row>
    <row r="16" spans="1:126" ht="15" x14ac:dyDescent="0.25">
      <c r="B16" s="160" t="s">
        <v>193</v>
      </c>
      <c r="C16" s="833">
        <v>-5000</v>
      </c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97"/>
      <c r="P16" s="345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8">
        <v>0</v>
      </c>
      <c r="AB16" s="739">
        <v>0</v>
      </c>
      <c r="AC16" s="108">
        <v>0</v>
      </c>
      <c r="AD16" s="108"/>
      <c r="AE16" s="108"/>
      <c r="AF16" s="108"/>
      <c r="AG16" s="106"/>
      <c r="AH16" s="106"/>
      <c r="AI16" s="106"/>
      <c r="AJ16" s="106"/>
      <c r="AK16" s="106">
        <f t="shared" si="8"/>
        <v>-5649.8449999999993</v>
      </c>
      <c r="AL16" s="106">
        <f t="shared" si="8"/>
        <v>-5649.8449999999993</v>
      </c>
      <c r="AM16" s="108">
        <f t="shared" si="8"/>
        <v>-5649.8449999999993</v>
      </c>
      <c r="AN16" s="107">
        <f t="shared" si="8"/>
        <v>-6005.7852349999985</v>
      </c>
      <c r="AO16" s="106">
        <f t="shared" si="9"/>
        <v>-6005.7852349999985</v>
      </c>
      <c r="AP16" s="106">
        <f t="shared" si="9"/>
        <v>-6005.7852349999985</v>
      </c>
      <c r="AQ16" s="106">
        <f t="shared" si="9"/>
        <v>-6005.7852349999985</v>
      </c>
      <c r="AR16" s="106">
        <f t="shared" si="9"/>
        <v>-6005.7852349999985</v>
      </c>
      <c r="AS16" s="106">
        <f t="shared" si="9"/>
        <v>-6005.7852349999985</v>
      </c>
      <c r="AT16" s="106">
        <f t="shared" si="9"/>
        <v>-6005.7852349999985</v>
      </c>
      <c r="AU16" s="106">
        <f t="shared" si="9"/>
        <v>-6005.7852349999985</v>
      </c>
      <c r="AV16" s="106">
        <f t="shared" si="9"/>
        <v>-6005.7852349999985</v>
      </c>
      <c r="AW16" s="106">
        <f t="shared" si="9"/>
        <v>-6005.7852349999985</v>
      </c>
      <c r="AX16" s="106">
        <f t="shared" si="9"/>
        <v>-6005.7852349999985</v>
      </c>
      <c r="AY16" s="108">
        <f t="shared" si="9"/>
        <v>-6005.7852349999985</v>
      </c>
      <c r="AZ16" s="107">
        <f t="shared" si="9"/>
        <v>-6384.1497048049978</v>
      </c>
      <c r="BA16" s="106">
        <f t="shared" si="9"/>
        <v>-6384.1497048049978</v>
      </c>
      <c r="BB16" s="106">
        <f t="shared" si="9"/>
        <v>-6384.1497048049978</v>
      </c>
      <c r="BC16" s="106">
        <f t="shared" si="9"/>
        <v>-6384.1497048049978</v>
      </c>
      <c r="BD16" s="106">
        <f t="shared" si="9"/>
        <v>-6384.1497048049978</v>
      </c>
      <c r="BE16" s="106">
        <f t="shared" si="9"/>
        <v>-6384.1497048049978</v>
      </c>
      <c r="BF16" s="106">
        <f t="shared" si="9"/>
        <v>-6384.1497048049978</v>
      </c>
      <c r="BG16" s="106">
        <f t="shared" si="9"/>
        <v>-6384.1497048049978</v>
      </c>
      <c r="BH16" s="106">
        <f t="shared" si="9"/>
        <v>-6384.1497048049978</v>
      </c>
      <c r="BI16" s="106">
        <f t="shared" si="9"/>
        <v>-6384.1497048049978</v>
      </c>
      <c r="BJ16" s="106">
        <f t="shared" si="9"/>
        <v>-6384.1497048049978</v>
      </c>
      <c r="BK16" s="108">
        <f t="shared" si="9"/>
        <v>-6384.1497048049978</v>
      </c>
      <c r="BL16" s="107">
        <f t="shared" si="9"/>
        <v>-6786.3511362077124</v>
      </c>
      <c r="BM16" s="106">
        <f t="shared" si="9"/>
        <v>-6786.3511362077124</v>
      </c>
      <c r="BN16" s="106">
        <f t="shared" si="9"/>
        <v>-6786.3511362077124</v>
      </c>
      <c r="BO16" s="106">
        <f t="shared" si="9"/>
        <v>-6786.3511362077124</v>
      </c>
      <c r="BP16" s="106">
        <f t="shared" si="9"/>
        <v>-6786.3511362077124</v>
      </c>
      <c r="BQ16" s="106">
        <f t="shared" si="9"/>
        <v>-6786.3511362077124</v>
      </c>
      <c r="BR16" s="106">
        <f t="shared" si="9"/>
        <v>-6786.3511362077124</v>
      </c>
      <c r="BS16" s="106">
        <f t="shared" si="9"/>
        <v>-6786.3511362077124</v>
      </c>
      <c r="BT16" s="106">
        <f t="shared" si="9"/>
        <v>-6786.3511362077124</v>
      </c>
      <c r="BU16" s="106">
        <f t="shared" si="9"/>
        <v>-6786.3511362077124</v>
      </c>
      <c r="BV16" s="106">
        <f t="shared" si="9"/>
        <v>-6786.3511362077124</v>
      </c>
      <c r="BW16" s="108">
        <f t="shared" si="9"/>
        <v>-6786.3511362077124</v>
      </c>
      <c r="BX16" s="107">
        <f t="shared" si="9"/>
        <v>-7213.8912577887977</v>
      </c>
      <c r="BY16" s="106">
        <f t="shared" si="9"/>
        <v>-7213.8912577887977</v>
      </c>
      <c r="BZ16" s="106">
        <f t="shared" si="9"/>
        <v>-7213.8912577887977</v>
      </c>
      <c r="CA16" s="106">
        <f t="shared" si="9"/>
        <v>-7213.8912577887977</v>
      </c>
      <c r="CB16" s="106">
        <f t="shared" si="9"/>
        <v>-7213.8912577887977</v>
      </c>
      <c r="CC16" s="106">
        <f t="shared" si="10"/>
        <v>-7213.8912577887977</v>
      </c>
      <c r="CD16" s="106">
        <f t="shared" si="10"/>
        <v>-7213.8912577887977</v>
      </c>
      <c r="CE16" s="106">
        <f t="shared" si="10"/>
        <v>-7213.8912577887977</v>
      </c>
      <c r="CF16" s="106">
        <f t="shared" si="10"/>
        <v>-7213.8912577887977</v>
      </c>
      <c r="CG16" s="106">
        <f t="shared" si="10"/>
        <v>-7213.8912577887977</v>
      </c>
      <c r="CH16" s="106">
        <f t="shared" si="10"/>
        <v>-7213.8912577887977</v>
      </c>
      <c r="CI16" s="108">
        <f t="shared" si="10"/>
        <v>-7213.8912577887977</v>
      </c>
      <c r="CJ16" s="107">
        <f t="shared" si="10"/>
        <v>-7668.3664070294917</v>
      </c>
      <c r="CK16" s="106">
        <f t="shared" si="10"/>
        <v>-7668.3664070294917</v>
      </c>
      <c r="CL16" s="106">
        <f t="shared" si="10"/>
        <v>-7668.3664070294917</v>
      </c>
      <c r="CM16" s="106">
        <f t="shared" si="10"/>
        <v>-7668.3664070294917</v>
      </c>
      <c r="CN16" s="106">
        <f t="shared" si="10"/>
        <v>-7668.3664070294917</v>
      </c>
      <c r="CO16" s="106">
        <f t="shared" si="10"/>
        <v>-7668.3664070294917</v>
      </c>
      <c r="CP16" s="106">
        <f t="shared" si="10"/>
        <v>-7668.3664070294917</v>
      </c>
      <c r="CQ16" s="106">
        <f t="shared" si="10"/>
        <v>-7668.3664070294917</v>
      </c>
      <c r="CR16" s="106">
        <f t="shared" si="10"/>
        <v>-7668.3664070294917</v>
      </c>
      <c r="CS16" s="106">
        <f t="shared" si="10"/>
        <v>-7668.3664070294917</v>
      </c>
      <c r="CT16" s="106">
        <f t="shared" si="10"/>
        <v>-7668.3664070294917</v>
      </c>
      <c r="CU16" s="108">
        <f t="shared" si="10"/>
        <v>-7668.3664070294917</v>
      </c>
      <c r="CV16" s="107">
        <f t="shared" si="10"/>
        <v>-8151.4734906723497</v>
      </c>
      <c r="CW16" s="106">
        <f t="shared" si="10"/>
        <v>-8151.4734906723497</v>
      </c>
      <c r="CX16" s="106">
        <f t="shared" si="10"/>
        <v>-8151.4734906723497</v>
      </c>
      <c r="CY16" s="106">
        <f t="shared" si="10"/>
        <v>-8151.4734906723497</v>
      </c>
      <c r="CZ16" s="106">
        <f t="shared" si="10"/>
        <v>-8151.4734906723497</v>
      </c>
      <c r="DA16" s="106">
        <f t="shared" si="10"/>
        <v>-8151.4734906723497</v>
      </c>
      <c r="DB16" s="106">
        <f t="shared" si="10"/>
        <v>-8151.4734906723497</v>
      </c>
      <c r="DC16" s="106">
        <f t="shared" si="10"/>
        <v>-8151.4734906723497</v>
      </c>
      <c r="DD16" s="106">
        <f t="shared" si="10"/>
        <v>-8151.4734906723497</v>
      </c>
      <c r="DE16" s="106">
        <f t="shared" si="10"/>
        <v>-8151.4734906723497</v>
      </c>
      <c r="DF16" s="106">
        <f t="shared" si="10"/>
        <v>-8151.4734906723497</v>
      </c>
      <c r="DG16" s="108">
        <f t="shared" si="10"/>
        <v>-8151.4734906723497</v>
      </c>
      <c r="DH16" s="107">
        <f t="shared" si="10"/>
        <v>-8665.0163205847075</v>
      </c>
      <c r="DI16" s="106">
        <f t="shared" si="10"/>
        <v>-8665.0163205847075</v>
      </c>
      <c r="DJ16" s="106">
        <f t="shared" si="10"/>
        <v>-8665.0163205847075</v>
      </c>
      <c r="DK16" s="106">
        <f t="shared" si="10"/>
        <v>-8665.0163205847075</v>
      </c>
      <c r="DL16" s="106">
        <f t="shared" si="10"/>
        <v>-8665.0163205847075</v>
      </c>
      <c r="DM16" s="106">
        <f t="shared" si="10"/>
        <v>-8665.0163205847075</v>
      </c>
      <c r="DN16" s="106">
        <f t="shared" si="10"/>
        <v>-8665.0163205847075</v>
      </c>
      <c r="DO16" s="106">
        <f t="shared" si="10"/>
        <v>-8665.0163205847075</v>
      </c>
      <c r="DP16" s="106">
        <f t="shared" si="10"/>
        <v>-8665.0163205847075</v>
      </c>
      <c r="DQ16" s="106">
        <f t="shared" si="10"/>
        <v>-8665.0163205847075</v>
      </c>
      <c r="DR16" s="106">
        <f t="shared" si="10"/>
        <v>-8665.0163205847075</v>
      </c>
      <c r="DS16" s="108">
        <f t="shared" si="10"/>
        <v>-8665.0163205847075</v>
      </c>
      <c r="DT16" s="832"/>
    </row>
    <row r="17" spans="1:124" ht="15" x14ac:dyDescent="0.25">
      <c r="B17" s="160" t="s">
        <v>554</v>
      </c>
      <c r="C17" s="833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97"/>
      <c r="P17" s="345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8"/>
      <c r="AB17" s="739"/>
      <c r="AC17" s="108"/>
      <c r="AD17" s="108"/>
      <c r="AE17" s="108"/>
      <c r="AF17" s="108"/>
      <c r="AG17" s="106"/>
      <c r="AH17" s="106"/>
      <c r="AI17" s="106"/>
      <c r="AJ17" s="106"/>
      <c r="AK17" s="106">
        <f>-((Production!AL7-(Production!AL8+Production!AL9))*Assumptions!$C$50)*AK5</f>
        <v>-11346.181865345347</v>
      </c>
      <c r="AL17" s="106">
        <f>-((Production!AM7-(Production!AM8+Production!AM9))*Assumptions!$C$50)*AL5</f>
        <v>-12661.214509135334</v>
      </c>
      <c r="AM17" s="108">
        <f>-((Production!AN7-(Production!AN8+Production!AN9))*Assumptions!$C$50)*AM5</f>
        <v>-11140.936215147567</v>
      </c>
      <c r="AN17" s="107">
        <f>-((Production!AO7-(Production!AO8+Production!AO9))*Assumptions!$C$50)*AN5</f>
        <v>-12341.863272354458</v>
      </c>
      <c r="AO17" s="106">
        <f>-((Production!AP7-(Production!AP8+Production!AP9))*Assumptions!$C$50)*AO5</f>
        <v>-13772.296283296222</v>
      </c>
      <c r="AP17" s="106">
        <f>-((Production!AQ7-(Production!AQ8+Production!AQ9))*Assumptions!$C$50)*AP5</f>
        <v>-12073.692205454547</v>
      </c>
      <c r="AQ17" s="106">
        <f>-((Production!AR7-(Production!AR8+Production!AR9))*Assumptions!$C$50)*AQ5</f>
        <v>-12546.401687069549</v>
      </c>
      <c r="AR17" s="106">
        <f>-((Production!AS7-(Production!AS8+Production!AS9))*Assumptions!$C$50)*AR5</f>
        <v>-13951.101667000283</v>
      </c>
      <c r="AS17" s="106">
        <f>-((Production!AT7-(Production!AT8+Production!AT9))*Assumptions!$C$50)*AS5</f>
        <v>-12275.941908333049</v>
      </c>
      <c r="AT17" s="106">
        <f>-((Production!AU7-(Production!AU8+Production!AU9))*Assumptions!$C$50)*AT5</f>
        <v>-12301.250621277479</v>
      </c>
      <c r="AU17" s="106">
        <f>-((Production!AV7-(Production!AV8+Production!AV9))*Assumptions!$C$50)*AU5</f>
        <v>-13678.503393173014</v>
      </c>
      <c r="AV17" s="106">
        <f>-((Production!AW7-(Production!AW8+Production!AW9))*Assumptions!$C$50)*AV5</f>
        <v>-12036.075505400075</v>
      </c>
      <c r="AW17" s="106">
        <f>-((Production!AX7-(Production!AX8+Production!AX9))*Assumptions!$C$50)*AW5</f>
        <v>-12060.991322862103</v>
      </c>
      <c r="AX17" s="106">
        <f>-((Production!AY7-(Production!AY8+Production!AY9))*Assumptions!$C$50)*AX5</f>
        <v>-13458.871023210859</v>
      </c>
      <c r="AY17" s="108">
        <f>-((Production!AZ7-(Production!AZ8+Production!AZ9))*Assumptions!$C$50)*AY5</f>
        <v>-11842.815196701862</v>
      </c>
      <c r="AZ17" s="107">
        <f>-((Production!BA7-(Production!BA8+Production!BA9))*Assumptions!$C$50)*AZ5</f>
        <v>-13119.400658512788</v>
      </c>
      <c r="BA17" s="106">
        <f>-((Production!BB7-(Production!BB8+Production!BB9))*Assumptions!$C$50)*BA5</f>
        <v>-14639.950949143882</v>
      </c>
      <c r="BB17" s="106">
        <f>-((Production!BC7-(Production!BC8+Production!BC9))*Assumptions!$C$50)*BB5</f>
        <v>-12834.334814398182</v>
      </c>
      <c r="BC17" s="106">
        <f>-((Production!BD7-(Production!BD8+Production!BD9))*Assumptions!$C$50)*BC5</f>
        <v>-13336.824993354929</v>
      </c>
      <c r="BD17" s="106">
        <f>-((Production!BE7-(Production!BE8+Production!BE9))*Assumptions!$C$50)*BD5</f>
        <v>-14830.021072021298</v>
      </c>
      <c r="BE17" s="106">
        <f>-((Production!BF7-(Production!BF8+Production!BF9))*Assumptions!$C$50)*BE5</f>
        <v>-13049.326248558029</v>
      </c>
      <c r="BF17" s="106">
        <f>-((Production!BG7-(Production!BG8+Production!BG9))*Assumptions!$C$50)*BF5</f>
        <v>-13076.229410417958</v>
      </c>
      <c r="BG17" s="106">
        <f>-((Production!BH7-(Production!BH8+Production!BH9))*Assumptions!$C$50)*BG5</f>
        <v>-14540.249106942912</v>
      </c>
      <c r="BH17" s="106">
        <f>-((Production!BI7-(Production!BI8+Production!BI9))*Assumptions!$C$50)*BH5</f>
        <v>-12794.348262240279</v>
      </c>
      <c r="BI17" s="106">
        <f>-((Production!BJ7-(Production!BJ8+Production!BJ9))*Assumptions!$C$50)*BI5</f>
        <v>-12820.833776202415</v>
      </c>
      <c r="BJ17" s="106">
        <f>-((Production!BK7-(Production!BK8+Production!BK9))*Assumptions!$C$50)*BJ5</f>
        <v>-14306.779897673141</v>
      </c>
      <c r="BK17" s="108">
        <f>-((Production!BL7-(Production!BL8+Production!BL9))*Assumptions!$C$50)*BK5</f>
        <v>-12588.912554094079</v>
      </c>
      <c r="BL17" s="107">
        <f>-((Production!BM7-(Production!BM8+Production!BM9))*Assumptions!$C$50)*BL5</f>
        <v>-13945.922899999094</v>
      </c>
      <c r="BM17" s="106">
        <f>-((Production!BN7-(Production!BN8+Production!BN9))*Assumptions!$C$50)*BM5</f>
        <v>-15562.267858939946</v>
      </c>
      <c r="BN17" s="106">
        <f>-((Production!BO7-(Production!BO8+Production!BO9))*Assumptions!$C$50)*BN5</f>
        <v>-13642.897907705266</v>
      </c>
      <c r="BO17" s="106">
        <f>-((Production!BP7-(Production!BP8+Production!BP9))*Assumptions!$C$50)*BO5</f>
        <v>-14177.044967936288</v>
      </c>
      <c r="BP17" s="106">
        <f>-((Production!BQ7-(Production!BQ8+Production!BQ9))*Assumptions!$C$50)*BP5</f>
        <v>-15764.312399558639</v>
      </c>
      <c r="BQ17" s="106">
        <f>-((Production!BR7-(Production!BR8+Production!BR9))*Assumptions!$C$50)*BQ5</f>
        <v>-13871.433802217183</v>
      </c>
      <c r="BR17" s="106">
        <f>-((Production!BS7-(Production!BS8+Production!BS9))*Assumptions!$C$50)*BR5</f>
        <v>-13900.031863274289</v>
      </c>
      <c r="BS17" s="106">
        <f>-((Production!BT7-(Production!BT8+Production!BT9))*Assumptions!$C$50)*BS5</f>
        <v>-15456.284800680316</v>
      </c>
      <c r="BT17" s="106">
        <f>-((Production!BU7-(Production!BU8+Production!BU9))*Assumptions!$C$50)*BT5</f>
        <v>-13600.392202761415</v>
      </c>
      <c r="BU17" s="106">
        <f>-((Production!BV7-(Production!BV8+Production!BV9))*Assumptions!$C$50)*BU5</f>
        <v>-13628.546304103165</v>
      </c>
      <c r="BV17" s="106">
        <f>-((Production!BW7-(Production!BW8+Production!BW9))*Assumptions!$C$50)*BV5</f>
        <v>-15208.107031226549</v>
      </c>
      <c r="BW17" s="108">
        <f>-((Production!BX7-(Production!BX8+Production!BX9))*Assumptions!$C$50)*BW5</f>
        <v>-13382.014045002004</v>
      </c>
      <c r="BX17" s="107">
        <f>-((Production!BY7-(Production!BY8+Production!BY9))*Assumptions!$C$50)*BX5</f>
        <v>-14824.516042699037</v>
      </c>
      <c r="BY17" s="106">
        <f>-((Production!BZ7-(Production!BZ8+Production!BZ9))*Assumptions!$C$50)*BY5</f>
        <v>-16542.690734053162</v>
      </c>
      <c r="BZ17" s="106">
        <f>-((Production!CA7-(Production!CA8+Production!CA9))*Assumptions!$C$50)*BZ5</f>
        <v>-14502.400475890699</v>
      </c>
      <c r="CA17" s="106">
        <f>-((Production!CB7-(Production!CB8+Production!CB9))*Assumptions!$C$50)*CA5</f>
        <v>-15070.198800916274</v>
      </c>
      <c r="CB17" s="106">
        <f>-((Production!CC7-(Production!CC8+Production!CC9))*Assumptions!$C$50)*CB5</f>
        <v>-16757.464080730835</v>
      </c>
      <c r="CC17" s="106">
        <f>-((Production!CD7-(Production!CD8+Production!CD9))*Assumptions!$C$50)*CC5</f>
        <v>-14745.334131756867</v>
      </c>
      <c r="CD17" s="106">
        <f>-((Production!CE7-(Production!CE8+Production!CE9))*Assumptions!$C$50)*CD5</f>
        <v>-14775.73387066057</v>
      </c>
      <c r="CE17" s="106">
        <f>-((Production!CF7-(Production!CF8+Production!CF9))*Assumptions!$C$50)*CE5</f>
        <v>-16430.030743123178</v>
      </c>
      <c r="CF17" s="106">
        <f>-((Production!CG7-(Production!CG8+Production!CG9))*Assumptions!$C$50)*CF5</f>
        <v>-14457.216911535384</v>
      </c>
      <c r="CG17" s="106">
        <f>-((Production!CH7-(Production!CH8+Production!CH9))*Assumptions!$C$50)*CG5</f>
        <v>-14487.144721261666</v>
      </c>
      <c r="CH17" s="106">
        <f>-((Production!CI7-(Production!CI8+Production!CI9))*Assumptions!$C$50)*CH5</f>
        <v>-16166.217774193821</v>
      </c>
      <c r="CI17" s="108">
        <f>-((Production!CJ7-(Production!CJ8+Production!CJ9))*Assumptions!$C$50)*CI5</f>
        <v>-14225.080929837131</v>
      </c>
      <c r="CJ17" s="107">
        <f>-((Production!CK7-(Production!CK8+Production!CK9))*Assumptions!$C$50)*CJ5</f>
        <v>-15758.460553389075</v>
      </c>
      <c r="CK17" s="106">
        <f>-((Production!CL7-(Production!CL8+Production!CL9))*Assumptions!$C$50)*CK5</f>
        <v>-17584.880250298513</v>
      </c>
      <c r="CL17" s="106">
        <f>-((Production!CM7-(Production!CM8+Production!CM9))*Assumptions!$C$50)*CL5</f>
        <v>-15416.051705871812</v>
      </c>
      <c r="CM17" s="106">
        <f>-((Production!CN7-(Production!CN8+Production!CN9))*Assumptions!$C$50)*CM5</f>
        <v>-16019.621325373999</v>
      </c>
      <c r="CN17" s="106">
        <f>-((Production!CO7-(Production!CO8+Production!CO9))*Assumptions!$C$50)*CN5</f>
        <v>-17813.184317816875</v>
      </c>
      <c r="CO17" s="106">
        <f>-((Production!CP7-(Production!CP8+Production!CP9))*Assumptions!$C$50)*CO5</f>
        <v>-15674.290182057548</v>
      </c>
      <c r="CP17" s="106">
        <f>-((Production!CQ7-(Production!CQ8+Production!CQ9))*Assumptions!$C$50)*CP5</f>
        <v>-15706.605104512186</v>
      </c>
      <c r="CQ17" s="106">
        <f>-((Production!CR7-(Production!CR8+Production!CR9))*Assumptions!$C$50)*CQ5</f>
        <v>-17465.122679939934</v>
      </c>
      <c r="CR17" s="106">
        <f>-((Production!CS7-(Production!CS8+Production!CS9))*Assumptions!$C$50)*CR5</f>
        <v>-15368.021576962114</v>
      </c>
      <c r="CS17" s="106">
        <f>-((Production!CT7-(Production!CT8+Production!CT9))*Assumptions!$C$50)*CS5</f>
        <v>-15399.83483870115</v>
      </c>
      <c r="CT17" s="106">
        <f>-((Production!CU7-(Production!CU8+Production!CU9))*Assumptions!$C$50)*CT5</f>
        <v>-17184.689493968031</v>
      </c>
      <c r="CU17" s="108">
        <f>-((Production!CV7-(Production!CV8+Production!CV9))*Assumptions!$C$50)*CU5</f>
        <v>-15121.26102841687</v>
      </c>
      <c r="CV17" s="107">
        <f>-((Production!CW7-(Production!CW8+Production!CW9))*Assumptions!$C$50)*CV5</f>
        <v>-16751.243568252587</v>
      </c>
      <c r="CW17" s="106">
        <f>-((Production!CX7-(Production!CX8+Production!CX9))*Assumptions!$C$50)*CW5</f>
        <v>-18692.727706067315</v>
      </c>
      <c r="CX17" s="106">
        <f>-((Production!CY7-(Production!CY8+Production!CY9))*Assumptions!$C$50)*CX5</f>
        <v>-16387.262963341735</v>
      </c>
      <c r="CY17" s="106">
        <f>-((Production!CZ7-(Production!CZ8+Production!CZ9))*Assumptions!$C$50)*CY5</f>
        <v>-17028.85746887256</v>
      </c>
      <c r="CZ17" s="106">
        <f>-((Production!DA7-(Production!DA8+Production!DA9))*Assumptions!$C$50)*CZ5</f>
        <v>-18935.414929839339</v>
      </c>
      <c r="DA17" s="106">
        <f>-((Production!DB7-(Production!DB8+Production!DB9))*Assumptions!$C$50)*DA5</f>
        <v>-16661.770463527173</v>
      </c>
      <c r="DB17" s="106">
        <f>-((Production!DC7-(Production!DC8+Production!DC9))*Assumptions!$C$50)*DB5</f>
        <v>-16696.121226096453</v>
      </c>
      <c r="DC17" s="106">
        <f>-((Production!DD7-(Production!DD8+Production!DD9))*Assumptions!$C$50)*DC5</f>
        <v>-18565.425408776151</v>
      </c>
      <c r="DD17" s="106">
        <f>-((Production!DE7-(Production!DE8+Production!DE9))*Assumptions!$C$50)*DD5</f>
        <v>-16336.206936310726</v>
      </c>
      <c r="DE17" s="106">
        <f>-((Production!DF7-(Production!DF8+Production!DF9))*Assumptions!$C$50)*DE5</f>
        <v>-16370.024433539322</v>
      </c>
      <c r="DF17" s="106">
        <f>-((Production!DG7-(Production!DG8+Production!DG9))*Assumptions!$C$50)*DF5</f>
        <v>-18267.324932088017</v>
      </c>
      <c r="DG17" s="108">
        <f>-((Production!DH7-(Production!DH8+Production!DH9))*Assumptions!$C$50)*DG5</f>
        <v>-16073.900473207132</v>
      </c>
      <c r="DH17" s="107">
        <f>-((Production!DI7-(Production!DI8+Production!DI9))*Assumptions!$C$50)*DH5</f>
        <v>-17806.571913052499</v>
      </c>
      <c r="DI17" s="106">
        <f>-((Production!DJ7-(Production!DJ8+Production!DJ9))*Assumptions!$C$50)*DI5</f>
        <v>-19870.369551549556</v>
      </c>
      <c r="DJ17" s="106">
        <f>-((Production!DK7-(Production!DK8+Production!DK9))*Assumptions!$C$50)*DJ5</f>
        <v>-17419.660530032263</v>
      </c>
      <c r="DK17" s="106">
        <f>-((Production!DL7-(Production!DL8+Production!DL9))*Assumptions!$C$50)*DK5</f>
        <v>-18101.675489411529</v>
      </c>
      <c r="DL17" s="106">
        <f>-((Production!DM7-(Production!DM8+Production!DM9))*Assumptions!$C$50)*DL5</f>
        <v>-20128.346070419215</v>
      </c>
      <c r="DM17" s="106">
        <f>-((Production!DN7-(Production!DN8+Production!DN9))*Assumptions!$C$50)*DM5</f>
        <v>-17711.462002729386</v>
      </c>
      <c r="DN17" s="106">
        <f>-((Production!DO7-(Production!DO8+Production!DO9))*Assumptions!$C$50)*DN5</f>
        <v>-17747.976863340529</v>
      </c>
      <c r="DO17" s="106">
        <f>-((Production!DP7-(Production!DP8+Production!DP9))*Assumptions!$C$50)*DO5</f>
        <v>-19735.047209529046</v>
      </c>
      <c r="DP17" s="106">
        <f>-((Production!DQ7-(Production!DQ8+Production!DQ9))*Assumptions!$C$50)*DP5</f>
        <v>-17365.3879732983</v>
      </c>
      <c r="DQ17" s="106">
        <f>-((Production!DR7-(Production!DR8+Production!DR9))*Assumptions!$C$50)*DQ5</f>
        <v>-17401.335972852299</v>
      </c>
      <c r="DR17" s="106">
        <f>-((Production!DS7-(Production!DS8+Production!DS9))*Assumptions!$C$50)*DR5</f>
        <v>-19418.166402809562</v>
      </c>
      <c r="DS17" s="108">
        <f>-((Production!DT7-(Production!DT8+Production!DT9))*Assumptions!$C$50)*DS5</f>
        <v>-17086.55620301918</v>
      </c>
      <c r="DT17" s="832"/>
    </row>
    <row r="18" spans="1:124" ht="15" x14ac:dyDescent="0.25">
      <c r="A18" s="9"/>
      <c r="B18" s="160" t="s">
        <v>270</v>
      </c>
      <c r="C18" s="833">
        <v>-20000</v>
      </c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97"/>
      <c r="P18" s="345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8"/>
      <c r="AB18" s="739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739">
        <f>$C18*AN5</f>
        <v>-24023.140939999994</v>
      </c>
      <c r="AO18" s="106"/>
      <c r="AP18" s="108"/>
      <c r="AQ18" s="106"/>
      <c r="AR18" s="106"/>
      <c r="AS18" s="108"/>
      <c r="AT18" s="106"/>
      <c r="AU18" s="106"/>
      <c r="AV18" s="106"/>
      <c r="AW18" s="106"/>
      <c r="AX18" s="106"/>
      <c r="AY18" s="108"/>
      <c r="AZ18" s="739">
        <f>$C18*AZ5</f>
        <v>-25536.598819219991</v>
      </c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8"/>
      <c r="BL18" s="739">
        <f>$C18*BL5</f>
        <v>-27145.40454483085</v>
      </c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8"/>
      <c r="BX18" s="739">
        <f>$C18*BX5</f>
        <v>-28855.565031155191</v>
      </c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8"/>
      <c r="CJ18" s="739">
        <f>$C18*CJ5</f>
        <v>-30673.465628117967</v>
      </c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8"/>
      <c r="CV18" s="739">
        <f>$C18*CV5</f>
        <v>-32605.893962689399</v>
      </c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8"/>
      <c r="DH18" s="739">
        <f>$C18*DH5</f>
        <v>-34660.06528233883</v>
      </c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8"/>
      <c r="DT18" s="832"/>
    </row>
    <row r="19" spans="1:124" ht="15" customHeight="1" x14ac:dyDescent="0.25">
      <c r="A19" s="9"/>
      <c r="B19" s="160"/>
      <c r="C19" s="833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595"/>
      <c r="P19" s="1324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595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595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595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595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595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595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595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595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595"/>
      <c r="DT19" s="832"/>
    </row>
    <row r="20" spans="1:124" ht="15.75" x14ac:dyDescent="0.25">
      <c r="A20" s="125"/>
      <c r="B20" s="166" t="s">
        <v>194</v>
      </c>
      <c r="D20" s="887"/>
      <c r="E20" s="887"/>
      <c r="F20" s="837"/>
      <c r="G20" s="887"/>
      <c r="H20" s="887"/>
      <c r="I20" s="887"/>
      <c r="J20" s="887"/>
      <c r="K20" s="887"/>
      <c r="L20" s="887"/>
      <c r="M20" s="887"/>
      <c r="N20" s="887"/>
      <c r="O20" s="842"/>
      <c r="P20" s="843"/>
      <c r="Q20" s="887"/>
      <c r="R20" s="837"/>
      <c r="S20" s="887"/>
      <c r="T20" s="887"/>
      <c r="U20" s="887"/>
      <c r="V20" s="887"/>
      <c r="W20" s="887"/>
      <c r="X20" s="887"/>
      <c r="Y20" s="887"/>
      <c r="Z20" s="887"/>
      <c r="AA20" s="842"/>
      <c r="AB20" s="887"/>
      <c r="AC20" s="887"/>
      <c r="AD20" s="837"/>
      <c r="AE20" s="887"/>
      <c r="AF20" s="887"/>
      <c r="AG20" s="887"/>
      <c r="AH20" s="887"/>
      <c r="AI20" s="887"/>
      <c r="AJ20" s="887"/>
      <c r="AK20" s="887"/>
      <c r="AL20" s="887"/>
      <c r="AM20" s="842"/>
      <c r="AN20" s="887"/>
      <c r="AO20" s="887"/>
      <c r="AP20" s="837"/>
      <c r="AQ20" s="887"/>
      <c r="AR20" s="887"/>
      <c r="AS20" s="887"/>
      <c r="AT20" s="887"/>
      <c r="AU20" s="887"/>
      <c r="AV20" s="887"/>
      <c r="AW20" s="887"/>
      <c r="AX20" s="887"/>
      <c r="AY20" s="842"/>
      <c r="AZ20" s="887"/>
      <c r="BA20" s="887"/>
      <c r="BB20" s="837"/>
      <c r="BC20" s="887"/>
      <c r="BD20" s="887"/>
      <c r="BE20" s="887"/>
      <c r="BF20" s="887"/>
      <c r="BG20" s="887"/>
      <c r="BH20" s="887"/>
      <c r="BI20" s="887"/>
      <c r="BJ20" s="887"/>
      <c r="BK20" s="842"/>
      <c r="BL20" s="887"/>
      <c r="BM20" s="887"/>
      <c r="BN20" s="837"/>
      <c r="BO20" s="887"/>
      <c r="BP20" s="887"/>
      <c r="BQ20" s="887"/>
      <c r="BR20" s="887"/>
      <c r="BS20" s="887"/>
      <c r="BT20" s="887"/>
      <c r="BU20" s="887"/>
      <c r="BV20" s="887"/>
      <c r="BW20" s="842"/>
      <c r="BX20" s="887"/>
      <c r="BY20" s="887"/>
      <c r="BZ20" s="837"/>
      <c r="CA20" s="887"/>
      <c r="CB20" s="887"/>
      <c r="CC20" s="887"/>
      <c r="CD20" s="887"/>
      <c r="CE20" s="887"/>
      <c r="CF20" s="887"/>
      <c r="CG20" s="887"/>
      <c r="CH20" s="887"/>
      <c r="CI20" s="842"/>
      <c r="CJ20" s="887"/>
      <c r="CK20" s="887"/>
      <c r="CL20" s="837"/>
      <c r="CM20" s="887"/>
      <c r="CN20" s="887"/>
      <c r="CO20" s="887"/>
      <c r="CP20" s="887"/>
      <c r="CQ20" s="887"/>
      <c r="CR20" s="887"/>
      <c r="CS20" s="887"/>
      <c r="CT20" s="887"/>
      <c r="CU20" s="842"/>
      <c r="CV20" s="887"/>
      <c r="CW20" s="887"/>
      <c r="CX20" s="837"/>
      <c r="CY20" s="887"/>
      <c r="CZ20" s="887"/>
      <c r="DA20" s="887"/>
      <c r="DB20" s="887"/>
      <c r="DC20" s="887"/>
      <c r="DD20" s="887"/>
      <c r="DE20" s="887"/>
      <c r="DF20" s="887"/>
      <c r="DG20" s="842"/>
      <c r="DH20" s="887"/>
      <c r="DI20" s="887"/>
      <c r="DJ20" s="837"/>
      <c r="DK20" s="887"/>
      <c r="DL20" s="887"/>
      <c r="DM20" s="887"/>
      <c r="DN20" s="887"/>
      <c r="DO20" s="887"/>
      <c r="DP20" s="887"/>
      <c r="DQ20" s="887"/>
      <c r="DR20" s="887"/>
      <c r="DS20" s="842"/>
      <c r="DT20" s="832"/>
    </row>
    <row r="21" spans="1:124" ht="15" x14ac:dyDescent="0.25">
      <c r="B21" s="160" t="s">
        <v>732</v>
      </c>
      <c r="C21" s="7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97"/>
      <c r="P21" s="345"/>
      <c r="Q21" s="106">
        <f>-Production!R6*(Feed!$F$3*Q5)</f>
        <v>-46394.466874186459</v>
      </c>
      <c r="R21" s="106">
        <f>-Production!S6*(Feed!$F$3*R5)</f>
        <v>-83400.266789874207</v>
      </c>
      <c r="S21" s="106">
        <f>-Production!T6*(Feed!$F$3*S5)</f>
        <v>-124802.27617935321</v>
      </c>
      <c r="T21" s="106">
        <f>-Production!U6*(Feed!$F$3*T5)</f>
        <v>-164706.07893154953</v>
      </c>
      <c r="U21" s="106">
        <f>-Production!V6*(Feed!$F$3*U5)</f>
        <v>-217897.00966515916</v>
      </c>
      <c r="V21" s="106">
        <f>-Production!W6*(Feed!$F$3*V5)</f>
        <v>-249818.63743241012</v>
      </c>
      <c r="W21" s="106">
        <f>-Production!X6*(Feed!$F$3*W5)</f>
        <v>-290188.05108554458</v>
      </c>
      <c r="X21" s="106">
        <f>-Production!Y6*(Feed!$F$3*X5)</f>
        <v>-353250.50760400255</v>
      </c>
      <c r="Y21" s="106">
        <f>-Production!Z6*(Feed!$F$3*Y5)</f>
        <v>-414118.08992814826</v>
      </c>
      <c r="Z21" s="106">
        <f>-Production!AA6*(Feed!$F$3*Z5)</f>
        <v>-443933.39428802306</v>
      </c>
      <c r="AA21" s="108">
        <f>-Production!AB6*(Feed!$F$3*AA5)</f>
        <v>-482904.87172394287</v>
      </c>
      <c r="AB21" s="107">
        <f>-Production!AC6*(Feed!$F$3*AB5)</f>
        <v>-638836.36717234878</v>
      </c>
      <c r="AC21" s="106">
        <f>-Production!AD6*(Feed!$F$3*AC5)</f>
        <v>-670591.60112568759</v>
      </c>
      <c r="AD21" s="106">
        <f>-Production!AE6*(Feed!$F$3*AD5)</f>
        <v>-821218.34023775079</v>
      </c>
      <c r="AE21" s="106">
        <f>-Production!AF6*(Feed!$F$3*AE5)</f>
        <v>-898334.55025454948</v>
      </c>
      <c r="AF21" s="106">
        <f>-Production!AG6*(Feed!$F$3*AF5)</f>
        <v>-1016636.3445749246</v>
      </c>
      <c r="AG21" s="106">
        <f>-Production!AH6*(Feed!$F$3*AG5)</f>
        <v>-1187860.1082601331</v>
      </c>
      <c r="AH21" s="106">
        <f>-Production!AI6*(Feed!$F$3*AH5)</f>
        <v>-1293693.2616553097</v>
      </c>
      <c r="AI21" s="106">
        <f>-Production!AJ6*(Feed!$F$3*AI5)</f>
        <v>-1451509.9735483369</v>
      </c>
      <c r="AJ21" s="106">
        <f>-Production!AK6*(Feed!$F$3*AJ5)</f>
        <v>-1655538.6577302779</v>
      </c>
      <c r="AK21" s="106">
        <f>-Production!AL6*(Feed!$F$3*AK5)</f>
        <v>-1685887.6354342019</v>
      </c>
      <c r="AL21" s="106">
        <f>-Production!AM6*(Feed!$F$3*AL5)</f>
        <v>-1653568.4848246344</v>
      </c>
      <c r="AM21" s="108">
        <f>-Production!AN6*(Feed!$F$3*AM5)</f>
        <v>-1554342.4177879228</v>
      </c>
      <c r="AN21" s="107">
        <f>-Production!AO6*(Feed!$F$3*AN5)</f>
        <v>-1794220.3422188596</v>
      </c>
      <c r="AO21" s="106">
        <f>-Production!AP6*(Feed!$F$3*AO5)</f>
        <v>-1685429.4049920386</v>
      </c>
      <c r="AP21" s="106">
        <f>-Production!AQ6*(Feed!$F$3*AP5)</f>
        <v>-1821488.4535239427</v>
      </c>
      <c r="AQ21" s="106">
        <f>-Production!AR6*(Feed!$F$3*AQ5)</f>
        <v>-1730147.4503839845</v>
      </c>
      <c r="AR21" s="106">
        <f>-Production!AS6*(Feed!$F$3*AR5)</f>
        <v>-2737610.3178799679</v>
      </c>
      <c r="AS21" s="106">
        <f>-Production!AT6*(Feed!$F$3*AS5)</f>
        <v>-1812948.2850101634</v>
      </c>
      <c r="AT21" s="106">
        <f>-Production!AU6*(Feed!$F$3*AT5)</f>
        <v>-1750841.3162901802</v>
      </c>
      <c r="AU21" s="106">
        <f>-Production!AV6*(Feed!$F$3*AU5)</f>
        <v>-1740888.8655353007</v>
      </c>
      <c r="AV21" s="106">
        <f>-Production!AW6*(Feed!$F$3*AV5)</f>
        <v>-1759837.5931672854</v>
      </c>
      <c r="AW21" s="106">
        <f>-Production!AX6*(Feed!$F$3*AW5)</f>
        <v>-1792098.5564665566</v>
      </c>
      <c r="AX21" s="106">
        <f>-Production!AY6*(Feed!$F$3*AX5)</f>
        <v>-1757743.2993685864</v>
      </c>
      <c r="AY21" s="108">
        <f>-Production!AZ6*(Feed!$F$3*AY5)</f>
        <v>-1652265.9901085619</v>
      </c>
      <c r="AZ21" s="107">
        <f>-Production!BA6*(Feed!$F$3*AZ5)</f>
        <v>-1907256.2237786476</v>
      </c>
      <c r="BA21" s="106">
        <f>-Production!BB6*(Feed!$F$3*BA5)</f>
        <v>-1791611.4575065367</v>
      </c>
      <c r="BB21" s="106">
        <f>-Production!BC6*(Feed!$F$3*BB5)</f>
        <v>-1936242.2260959509</v>
      </c>
      <c r="BC21" s="106">
        <f>-Production!BD6*(Feed!$F$3*BC5)</f>
        <v>-1839146.7397581753</v>
      </c>
      <c r="BD21" s="106">
        <f>-Production!BE6*(Feed!$F$3*BD5)</f>
        <v>-2910079.7679064055</v>
      </c>
      <c r="BE21" s="106">
        <f>-Production!BF6*(Feed!$F$3*BE5)</f>
        <v>-1927164.0269658035</v>
      </c>
      <c r="BF21" s="106">
        <f>-Production!BG6*(Feed!$F$3*BF5)</f>
        <v>-1861144.3192164614</v>
      </c>
      <c r="BG21" s="106">
        <f>-Production!BH6*(Feed!$F$3*BG5)</f>
        <v>-1640161.2733004405</v>
      </c>
      <c r="BH21" s="106">
        <f>-Production!BI6*(Feed!$F$3*BH5)</f>
        <v>-1870707.3615368241</v>
      </c>
      <c r="BI21" s="106">
        <f>-Production!BJ6*(Feed!$F$3*BI5)</f>
        <v>-1905000.7655239496</v>
      </c>
      <c r="BJ21" s="106">
        <f>-Production!BK6*(Feed!$F$3*BJ5)</f>
        <v>-1868481.1272288072</v>
      </c>
      <c r="BK21" s="108">
        <f>-Production!BL6*(Feed!$F$3*BK5)</f>
        <v>-1756358.7474854011</v>
      </c>
      <c r="BL21" s="107">
        <f>-Production!BM6*(Feed!$F$3*BL5)</f>
        <v>-2027413.3658767021</v>
      </c>
      <c r="BM21" s="106">
        <f>-Production!BN6*(Feed!$F$3*BM5)</f>
        <v>-1904482.9793294484</v>
      </c>
      <c r="BN21" s="106">
        <f>-Production!BO6*(Feed!$F$3*BN5)</f>
        <v>-2058225.4863399954</v>
      </c>
      <c r="BO21" s="106">
        <f>-Production!BP6*(Feed!$F$3*BO5)</f>
        <v>-1955012.9843629401</v>
      </c>
      <c r="BP21" s="106">
        <f>-Production!BQ6*(Feed!$F$3*BP5)</f>
        <v>-3093414.7932845084</v>
      </c>
      <c r="BQ21" s="106">
        <f>-Production!BR6*(Feed!$F$3*BQ5)</f>
        <v>-2048575.3606646489</v>
      </c>
      <c r="BR21" s="106">
        <f>-Production!BS6*(Feed!$F$3*BR5)</f>
        <v>-1978396.4113270983</v>
      </c>
      <c r="BS21" s="106">
        <f>-Production!BT6*(Feed!$F$3*BS5)</f>
        <v>-1743491.4335183681</v>
      </c>
      <c r="BT21" s="106">
        <f>-Production!BU6*(Feed!$F$3*BT5)</f>
        <v>-1988561.9253136439</v>
      </c>
      <c r="BU21" s="106">
        <f>-Production!BV6*(Feed!$F$3*BU5)</f>
        <v>-2025015.8137519581</v>
      </c>
      <c r="BV21" s="106">
        <f>-Production!BW6*(Feed!$F$3*BV5)</f>
        <v>-1986195.4382442217</v>
      </c>
      <c r="BW21" s="108">
        <f>-Production!BX6*(Feed!$F$3*BW5)</f>
        <v>-1867009.3485769811</v>
      </c>
      <c r="BX21" s="107">
        <f>-Production!BY6*(Feed!$F$3*BX5)</f>
        <v>-2155140.4079269348</v>
      </c>
      <c r="BY21" s="106">
        <f>-Production!BZ6*(Feed!$F$3*BY5)</f>
        <v>-2024465.4070272038</v>
      </c>
      <c r="BZ21" s="106">
        <f>-Production!CA6*(Feed!$F$3*BZ5)</f>
        <v>-2187893.6919794152</v>
      </c>
      <c r="CA21" s="106">
        <f>-Production!CB6*(Feed!$F$3*CA5)</f>
        <v>-2078178.8023778056</v>
      </c>
      <c r="CB21" s="106">
        <f>-Production!CC6*(Feed!$F$3*CB5)</f>
        <v>-3288299.9252614328</v>
      </c>
      <c r="CC21" s="106">
        <f>-Production!CD6*(Feed!$F$3*CC5)</f>
        <v>-2177635.6083865222</v>
      </c>
      <c r="CD21" s="106">
        <f>-Production!CE6*(Feed!$F$3*CD5)</f>
        <v>-2103035.3852407057</v>
      </c>
      <c r="CE21" s="106">
        <f>-Production!CF6*(Feed!$F$3*CE5)</f>
        <v>-1853331.3938300253</v>
      </c>
      <c r="CF21" s="106">
        <f>-Production!CG6*(Feed!$F$3*CF5)</f>
        <v>-2113841.3266084036</v>
      </c>
      <c r="CG21" s="106">
        <f>-Production!CH6*(Feed!$F$3*CG5)</f>
        <v>-2152591.8100183317</v>
      </c>
      <c r="CH21" s="106">
        <f>-Production!CI6*(Feed!$F$3*CH5)</f>
        <v>-2111325.7508536079</v>
      </c>
      <c r="CI21" s="108">
        <f>-Production!CJ6*(Feed!$F$3*CI5)</f>
        <v>-1984630.9375373311</v>
      </c>
      <c r="CJ21" s="107">
        <f>-Production!CK6*(Feed!$F$3*CJ5)</f>
        <v>-2290914.2536263312</v>
      </c>
      <c r="CK21" s="106">
        <f>-Production!CL6*(Feed!$F$3*CK5)</f>
        <v>-2152006.7276699175</v>
      </c>
      <c r="CL21" s="106">
        <f>-Production!CM6*(Feed!$F$3*CL5)</f>
        <v>-2325730.9945741184</v>
      </c>
      <c r="CM21" s="106">
        <f>-Production!CN6*(Feed!$F$3*CM5)</f>
        <v>-2209104.0669276072</v>
      </c>
      <c r="CN21" s="106">
        <f>-Production!CO6*(Feed!$F$3*CN5)</f>
        <v>-3495462.8205529032</v>
      </c>
      <c r="CO21" s="106">
        <f>-Production!CP6*(Feed!$F$3*CO5)</f>
        <v>-2314826.651714873</v>
      </c>
      <c r="CP21" s="106">
        <f>-Production!CQ6*(Feed!$F$3*CP5)</f>
        <v>-2235526.6145108701</v>
      </c>
      <c r="CQ21" s="106">
        <f>-Production!CR6*(Feed!$F$3*CQ5)</f>
        <v>-1970091.2716413168</v>
      </c>
      <c r="CR21" s="106">
        <f>-Production!CS6*(Feed!$F$3*CR5)</f>
        <v>-2247013.330184733</v>
      </c>
      <c r="CS21" s="106">
        <f>-Production!CT6*(Feed!$F$3*CS5)</f>
        <v>-2288205.0940494863</v>
      </c>
      <c r="CT21" s="106">
        <f>-Production!CU6*(Feed!$F$3*CT5)</f>
        <v>-2244339.2731573852</v>
      </c>
      <c r="CU21" s="108">
        <f>-Production!CV6*(Feed!$F$3*CU5)</f>
        <v>-2109662.6866021827</v>
      </c>
      <c r="CV21" s="107">
        <f>-Production!CW6*(Feed!$F$3*CV5)</f>
        <v>-2435241.85160479</v>
      </c>
      <c r="CW21" s="106">
        <f>-Production!CX6*(Feed!$F$3*CW5)</f>
        <v>-2287583.151513122</v>
      </c>
      <c r="CX21" s="106">
        <f>-Production!CY6*(Feed!$F$3*CX5)</f>
        <v>-2472252.0472322879</v>
      </c>
      <c r="CY21" s="106">
        <f>-Production!CZ6*(Feed!$F$3*CY5)</f>
        <v>-2348277.6231440464</v>
      </c>
      <c r="CZ21" s="106">
        <f>-Production!DA6*(Feed!$F$3*CZ5)</f>
        <v>-3715676.9782477356</v>
      </c>
      <c r="DA21" s="106">
        <f>-Production!DB6*(Feed!$F$3*DA5)</f>
        <v>-2460660.7307729097</v>
      </c>
      <c r="DB21" s="106">
        <f>-Production!DC6*(Feed!$F$3*DB5)</f>
        <v>-2376364.7912250548</v>
      </c>
      <c r="DC21" s="106">
        <f>-Production!DD6*(Feed!$F$3*DC5)</f>
        <v>-2094207.0217547195</v>
      </c>
      <c r="DD21" s="106">
        <f>-Production!DE6*(Feed!$F$3*DD5)</f>
        <v>-2388575.169986371</v>
      </c>
      <c r="DE21" s="106">
        <f>-Production!DF6*(Feed!$F$3*DE5)</f>
        <v>-2432362.0149746039</v>
      </c>
      <c r="DF21" s="106">
        <f>-Production!DG6*(Feed!$F$3*DF5)</f>
        <v>-2385732.6473663002</v>
      </c>
      <c r="DG21" s="108">
        <f>-Production!DH6*(Feed!$F$3*DG5)</f>
        <v>-2242571.4358581202</v>
      </c>
      <c r="DH21" s="107">
        <f>-Production!DI6*(Feed!$F$3*DH5)</f>
        <v>-2588662.0882558916</v>
      </c>
      <c r="DI21" s="106">
        <f>-Production!DJ6*(Feed!$F$3*DI5)</f>
        <v>-2431700.890058449</v>
      </c>
      <c r="DJ21" s="106">
        <f>-Production!DK6*(Feed!$F$3*DJ5)</f>
        <v>-2628003.9262079219</v>
      </c>
      <c r="DK21" s="106">
        <f>-Production!DL6*(Feed!$F$3*DK5)</f>
        <v>-2496219.1134021212</v>
      </c>
      <c r="DL21" s="106">
        <f>-Production!DM6*(Feed!$F$3*DL5)</f>
        <v>-3949764.627877343</v>
      </c>
      <c r="DM21" s="106">
        <f>-Production!DN6*(Feed!$F$3*DM5)</f>
        <v>-2615682.3568116026</v>
      </c>
      <c r="DN21" s="106">
        <f>-Production!DO6*(Feed!$F$3*DN5)</f>
        <v>-2526075.773072233</v>
      </c>
      <c r="DO21" s="106">
        <f>-Production!DP6*(Feed!$F$3*DO5)</f>
        <v>-2226142.0641252669</v>
      </c>
      <c r="DP21" s="106">
        <f>-Production!DQ6*(Feed!$F$3*DP5)</f>
        <v>-2539055.405695512</v>
      </c>
      <c r="DQ21" s="106">
        <f>-Production!DR6*(Feed!$F$3*DQ5)</f>
        <v>-2585600.8219180037</v>
      </c>
      <c r="DR21" s="106">
        <f>-Production!DS6*(Feed!$F$3*DR5)</f>
        <v>-2523768.4693774004</v>
      </c>
      <c r="DS21" s="108">
        <f>-Production!DT6*(Feed!$F$3*DS5)</f>
        <v>-2362416.0429939805</v>
      </c>
      <c r="DT21" s="832"/>
    </row>
    <row r="22" spans="1:124" ht="15" x14ac:dyDescent="0.25">
      <c r="B22" s="160" t="s">
        <v>187</v>
      </c>
      <c r="C22" s="7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97"/>
      <c r="P22" s="345"/>
      <c r="Q22" s="107">
        <f>-Production!U6*Feed!$I$9*Q5</f>
        <v>-3201.2843329747238</v>
      </c>
      <c r="R22" s="107">
        <f>-Production!V6*Feed!$I$9*R5</f>
        <v>-4235.1216650176711</v>
      </c>
      <c r="S22" s="107">
        <f>-Production!W6*Feed!$I$9*S5</f>
        <v>-4855.5614661304198</v>
      </c>
      <c r="T22" s="107">
        <f>-Production!X6*Feed!$I$9*T5</f>
        <v>-5640.195356375988</v>
      </c>
      <c r="U22" s="107">
        <f>-Production!Y6*Feed!$I$9*U5</f>
        <v>-6865.8990787949951</v>
      </c>
      <c r="V22" s="107">
        <f>-Production!Z6*Feed!$I$9*V5</f>
        <v>-8048.9424670194012</v>
      </c>
      <c r="W22" s="107">
        <f>-Production!AA6*Feed!$I$9*W5</f>
        <v>-8628.4430376680866</v>
      </c>
      <c r="X22" s="107">
        <f>-Production!AB6*Feed!$I$9*X5</f>
        <v>-9385.9061559561287</v>
      </c>
      <c r="Y22" s="107">
        <f>-Production!AC6*Feed!$I$9*Y5</f>
        <v>-11680.756960147244</v>
      </c>
      <c r="Z22" s="107">
        <f>-Production!AD6*Feed!$I$9*Z5</f>
        <v>-12261.383219205371</v>
      </c>
      <c r="AA22" s="739">
        <f>-Production!AE6*Feed!$I$9*AA5</f>
        <v>-15015.506844094192</v>
      </c>
      <c r="AB22" s="107">
        <f>-Production!AF6*Feed!$I$9*AB5</f>
        <v>-17460.341112819231</v>
      </c>
      <c r="AC22" s="106">
        <f>-Production!AG6*Feed!$I$9*AC5</f>
        <v>-19759.695715741975</v>
      </c>
      <c r="AD22" s="106">
        <f>-Production!AH6*Feed!$I$9*AD5</f>
        <v>-23087.660024492379</v>
      </c>
      <c r="AE22" s="106">
        <f>-Production!AI6*Feed!$I$9*AE5</f>
        <v>-25144.669808655191</v>
      </c>
      <c r="AF22" s="106">
        <f>-Production!AJ6*Feed!$I$9*AF5</f>
        <v>-28212.050020375838</v>
      </c>
      <c r="AG22" s="106">
        <f>-Production!AK6*Feed!$I$9*AG5</f>
        <v>-32177.622113319299</v>
      </c>
      <c r="AH22" s="106">
        <f>-Production!AL6*Feed!$I$9*AH5</f>
        <v>-32767.495343716266</v>
      </c>
      <c r="AI22" s="106">
        <f>-Production!AM6*Feed!$I$9*AI5</f>
        <v>-32139.329151110484</v>
      </c>
      <c r="AJ22" s="106">
        <f>-Production!AN6*Feed!$I$9*AJ5</f>
        <v>-30210.736983244366</v>
      </c>
      <c r="AK22" s="106">
        <f>-Production!AO6*Feed!$I$9*AK5</f>
        <v>-32806.290980545542</v>
      </c>
      <c r="AL22" s="106">
        <f>-Production!AP6*Feed!$I$9*AL5</f>
        <v>-30817.111023809772</v>
      </c>
      <c r="AM22" s="108">
        <f>-Production!AQ6*Feed!$I$9*AM5</f>
        <v>-33304.872772823175</v>
      </c>
      <c r="AN22" s="107">
        <f>-Production!AR6*Feed!$I$9*AN5</f>
        <v>-33627.744419513787</v>
      </c>
      <c r="AO22" s="106">
        <f>-Production!AS6*Feed!$I$9*AO5</f>
        <v>-53209.141261029501</v>
      </c>
      <c r="AP22" s="106">
        <f>-Production!AT6*Feed!$I$9*AP5</f>
        <v>-35237.09008766109</v>
      </c>
      <c r="AQ22" s="106">
        <f>-Production!AU6*Feed!$I$9*AQ5</f>
        <v>-34029.957556660447</v>
      </c>
      <c r="AR22" s="106">
        <f>-Production!AV6*Feed!$I$9*AR5</f>
        <v>-33836.518280569493</v>
      </c>
      <c r="AS22" s="106">
        <f>-Production!AW6*Feed!$I$9*AS5</f>
        <v>-34204.812306458414</v>
      </c>
      <c r="AT22" s="106">
        <f>-Production!AX6*Feed!$I$9*AT5</f>
        <v>-34831.847550370388</v>
      </c>
      <c r="AU22" s="106">
        <f>-Production!AY6*Feed!$I$9*AU5</f>
        <v>-34164.106887630442</v>
      </c>
      <c r="AV22" s="106">
        <f>-Production!AZ6*Feed!$I$9*AV5</f>
        <v>-32114.013413188761</v>
      </c>
      <c r="AW22" s="106">
        <f>-Production!BA6*Feed!$I$9*AW5</f>
        <v>-34873.087312319913</v>
      </c>
      <c r="AX22" s="106">
        <f>-Production!BB6*Feed!$I$9*AX5</f>
        <v>-32758.589018309787</v>
      </c>
      <c r="AY22" s="108">
        <f>-Production!BC6*Feed!$I$9*AY5</f>
        <v>-35403.079757511026</v>
      </c>
      <c r="AZ22" s="107">
        <f>-Production!BD6*Feed!$I$9*AZ5</f>
        <v>-35746.292317943153</v>
      </c>
      <c r="BA22" s="106">
        <f>-Production!BE6*Feed!$I$9*BA5</f>
        <v>-56561.317160474355</v>
      </c>
      <c r="BB22" s="106">
        <f>-Production!BF6*Feed!$I$9*BB5</f>
        <v>-37457.026763183741</v>
      </c>
      <c r="BC22" s="106">
        <f>-Production!BG6*Feed!$I$9*BC5</f>
        <v>-36173.844882730053</v>
      </c>
      <c r="BD22" s="106">
        <f>-Production!BH6*Feed!$I$9*BD5</f>
        <v>-31878.741949474061</v>
      </c>
      <c r="BE22" s="106">
        <f>-Production!BI6*Feed!$I$9*BE5</f>
        <v>-36359.715481765292</v>
      </c>
      <c r="BF22" s="106">
        <f>-Production!BJ6*Feed!$I$9*BF5</f>
        <v>-37026.253946043718</v>
      </c>
      <c r="BG22" s="106">
        <f>-Production!BK6*Feed!$I$9*BG5</f>
        <v>-36316.44562155116</v>
      </c>
      <c r="BH22" s="106">
        <f>-Production!BL6*Feed!$I$9*BH5</f>
        <v>-34137.19625821965</v>
      </c>
      <c r="BI22" s="106">
        <f>-Production!BM6*Feed!$I$9*BI5</f>
        <v>-37070.091812996063</v>
      </c>
      <c r="BJ22" s="106">
        <f>-Production!BN6*Feed!$I$9*BJ5</f>
        <v>-34822.3801264633</v>
      </c>
      <c r="BK22" s="108">
        <f>-Production!BO6*Feed!$I$9*BK5</f>
        <v>-37633.473782234221</v>
      </c>
      <c r="BL22" s="107">
        <f>-Production!BP6*Feed!$I$9*BL5</f>
        <v>-37998.308733973572</v>
      </c>
      <c r="BM22" s="106">
        <f>-Production!BQ6*Feed!$I$9*BM5</f>
        <v>-60124.680141584235</v>
      </c>
      <c r="BN22" s="106">
        <f>-Production!BR6*Feed!$I$9*BN5</f>
        <v>-39816.819449264309</v>
      </c>
      <c r="BO22" s="106">
        <f>-Production!BS6*Feed!$I$9*BO5</f>
        <v>-38452.797110342042</v>
      </c>
      <c r="BP22" s="106">
        <f>-Production!BT6*Feed!$I$9*BP5</f>
        <v>-33887.102692290922</v>
      </c>
      <c r="BQ22" s="106">
        <f>-Production!BU6*Feed!$I$9*BQ5</f>
        <v>-38650.377557116502</v>
      </c>
      <c r="BR22" s="106">
        <f>-Production!BV6*Feed!$I$9*BR5</f>
        <v>-39358.907944644474</v>
      </c>
      <c r="BS22" s="106">
        <f>-Production!BW6*Feed!$I$9*BS5</f>
        <v>-38604.381695708878</v>
      </c>
      <c r="BT22" s="106">
        <f>-Production!BX6*Feed!$I$9*BT5</f>
        <v>-36287.839622487481</v>
      </c>
      <c r="BU22" s="106">
        <f>-Production!BY6*Feed!$I$9*BU5</f>
        <v>-39405.507597214812</v>
      </c>
      <c r="BV22" s="106">
        <f>-Production!BZ6*Feed!$I$9*BV5</f>
        <v>-37016.190074430488</v>
      </c>
      <c r="BW22" s="108">
        <f>-Production!CA6*Feed!$I$9*BW5</f>
        <v>-40004.382630514978</v>
      </c>
      <c r="BX22" s="107">
        <f>-Production!CB6*Feed!$I$9*BX5</f>
        <v>-40392.202184213907</v>
      </c>
      <c r="BY22" s="106">
        <f>-Production!CC6*Feed!$I$9*BY5</f>
        <v>-63912.534990504042</v>
      </c>
      <c r="BZ22" s="106">
        <f>-Production!CD6*Feed!$I$9*BZ5</f>
        <v>-42325.279074567967</v>
      </c>
      <c r="CA22" s="106">
        <f>-Production!CE6*Feed!$I$9*CA5</f>
        <v>-40875.323328293591</v>
      </c>
      <c r="CB22" s="106">
        <f>-Production!CF6*Feed!$I$9*CB5</f>
        <v>-36021.990161905254</v>
      </c>
      <c r="CC22" s="106">
        <f>-Production!CG6*Feed!$I$9*CC5</f>
        <v>-41085.351343214839</v>
      </c>
      <c r="CD22" s="106">
        <f>-Production!CH6*Feed!$I$9*CD5</f>
        <v>-41838.519145157072</v>
      </c>
      <c r="CE22" s="106">
        <f>-Production!CI6*Feed!$I$9*CE5</f>
        <v>-41036.457742538536</v>
      </c>
      <c r="CF22" s="106">
        <f>-Production!CJ6*Feed!$I$9*CF5</f>
        <v>-38573.973518704195</v>
      </c>
      <c r="CG22" s="106">
        <f>-Production!CK6*Feed!$I$9*CG5</f>
        <v>-41888.054575839342</v>
      </c>
      <c r="CH22" s="106">
        <f>-Production!CL6*Feed!$I$9*CH5</f>
        <v>-39348.210049119603</v>
      </c>
      <c r="CI22" s="108">
        <f>-Production!CM6*Feed!$I$9*CI5</f>
        <v>-42524.658736237419</v>
      </c>
      <c r="CJ22" s="107">
        <f>-Production!CN6*Feed!$I$9*CJ5</f>
        <v>-42936.910921819384</v>
      </c>
      <c r="CK22" s="106">
        <f>-Production!CO6*Feed!$I$9*CK5</f>
        <v>-67939.024694905791</v>
      </c>
      <c r="CL22" s="106">
        <f>-Production!CP6*Feed!$I$9*CL5</f>
        <v>-44991.771656265744</v>
      </c>
      <c r="CM22" s="106">
        <f>-Production!CQ6*Feed!$I$9*CM5</f>
        <v>-43450.468697976088</v>
      </c>
      <c r="CN22" s="106">
        <f>-Production!CR6*Feed!$I$9*CN5</f>
        <v>-38291.375542105277</v>
      </c>
      <c r="CO22" s="106">
        <f>-Production!CS6*Feed!$I$9*CO5</f>
        <v>-43673.728477837372</v>
      </c>
      <c r="CP22" s="106">
        <f>-Production!CT6*Feed!$I$9*CP5</f>
        <v>-44474.345851301965</v>
      </c>
      <c r="CQ22" s="106">
        <f>-Production!CU6*Feed!$I$9*CQ5</f>
        <v>-43621.754580318462</v>
      </c>
      <c r="CR22" s="106">
        <f>-Production!CV6*Feed!$I$9*CR5</f>
        <v>-41004.133850382561</v>
      </c>
      <c r="CS22" s="106">
        <f>-Production!CW6*Feed!$I$9*CS5</f>
        <v>-44527.002014117221</v>
      </c>
      <c r="CT22" s="106">
        <f>-Production!CX6*Feed!$I$9*CT5</f>
        <v>-41827.147282214137</v>
      </c>
      <c r="CU22" s="108">
        <f>-Production!CY6*Feed!$I$9*CU5</f>
        <v>-45203.712236620377</v>
      </c>
      <c r="CV22" s="107">
        <f>-Production!CZ6*Feed!$I$9*CV5</f>
        <v>-45641.936309894001</v>
      </c>
      <c r="CW22" s="106">
        <f>-Production!DA6*Feed!$I$9*CW5</f>
        <v>-72219.183250684844</v>
      </c>
      <c r="CX22" s="106">
        <f>-Production!DB6*Feed!$I$9*CX5</f>
        <v>-47826.253270610483</v>
      </c>
      <c r="CY22" s="106">
        <f>-Production!DC6*Feed!$I$9*CY5</f>
        <v>-46187.848225948575</v>
      </c>
      <c r="CZ22" s="106">
        <f>-Production!DD6*Feed!$I$9*CZ5</f>
        <v>-40703.73220125791</v>
      </c>
      <c r="DA22" s="106">
        <f>-Production!DE6*Feed!$I$9*DA5</f>
        <v>-46425.17337194112</v>
      </c>
      <c r="DB22" s="106">
        <f>-Production!DF6*Feed!$I$9*DB5</f>
        <v>-47276.22963993399</v>
      </c>
      <c r="DC22" s="106">
        <f>-Production!DG6*Feed!$I$9*DC5</f>
        <v>-46369.92511887852</v>
      </c>
      <c r="DD22" s="106">
        <f>-Production!DH6*Feed!$I$9*DD5</f>
        <v>-43587.394282956659</v>
      </c>
      <c r="DE22" s="106">
        <f>-Production!DI6*Feed!$I$9*DE5</f>
        <v>-47332.203141006605</v>
      </c>
      <c r="DF22" s="106">
        <f>-Production!DJ6*Feed!$I$9*DF5</f>
        <v>-44462.257560993625</v>
      </c>
      <c r="DG22" s="108">
        <f>-Production!DK6*Feed!$I$9*DG5</f>
        <v>-48051.546107527451</v>
      </c>
      <c r="DH22" s="107">
        <f>-Production!DL6*Feed!$I$9*DH5</f>
        <v>-48517.378297417323</v>
      </c>
      <c r="DI22" s="106">
        <f>-Production!DM6*Feed!$I$9*DI5</f>
        <v>-76768.991795477996</v>
      </c>
      <c r="DJ22" s="106">
        <f>-Production!DN6*Feed!$I$9*DJ5</f>
        <v>-50839.307226658944</v>
      </c>
      <c r="DK22" s="106">
        <f>-Production!DO6*Feed!$I$9*DK5</f>
        <v>-49097.68266418334</v>
      </c>
      <c r="DL22" s="106">
        <f>-Production!DP6*Feed!$I$9*DL5</f>
        <v>-43268.067329937156</v>
      </c>
      <c r="DM22" s="106">
        <f>-Production!DQ6*Feed!$I$9*DM5</f>
        <v>-49349.959294373417</v>
      </c>
      <c r="DN22" s="106">
        <f>-Production!DR6*Feed!$I$9*DN5</f>
        <v>-50254.632107249832</v>
      </c>
      <c r="DO22" s="106">
        <f>-Production!DS6*Feed!$I$9*DO5</f>
        <v>-49052.837111319728</v>
      </c>
      <c r="DP22" s="106">
        <f>-Production!DT6*Feed!$I$9*DP5</f>
        <v>-45916.735529523423</v>
      </c>
      <c r="DQ22" s="106">
        <f>DE22</f>
        <v>-47332.203141006605</v>
      </c>
      <c r="DR22" s="106">
        <f t="shared" ref="DR22:DS22" si="11">DF22</f>
        <v>-44462.257560993625</v>
      </c>
      <c r="DS22" s="108">
        <f t="shared" si="11"/>
        <v>-48051.546107527451</v>
      </c>
      <c r="DT22" s="832"/>
    </row>
    <row r="23" spans="1:124" ht="15" x14ac:dyDescent="0.25">
      <c r="B23" s="160" t="s">
        <v>190</v>
      </c>
      <c r="C23" s="7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97"/>
      <c r="P23" s="345"/>
      <c r="Q23" s="107">
        <f>SUM(HR!S20:S25)</f>
        <v>-217959.29166666666</v>
      </c>
      <c r="R23" s="107">
        <f>SUM(HR!T20:T25)</f>
        <v>-217959.29166666666</v>
      </c>
      <c r="S23" s="107">
        <f>SUM(HR!U20:U25)</f>
        <v>-217959.29166666666</v>
      </c>
      <c r="T23" s="107">
        <f>SUM(HR!V20:V25)</f>
        <v>-217959.29166666666</v>
      </c>
      <c r="U23" s="107">
        <f>SUM(HR!W20:W25)</f>
        <v>-217959.29166666666</v>
      </c>
      <c r="V23" s="107">
        <f>SUM(HR!X20:X25)</f>
        <v>-217959.29166666666</v>
      </c>
      <c r="W23" s="107">
        <f>SUM(HR!Y20:Y25)</f>
        <v>-217959.29166666666</v>
      </c>
      <c r="X23" s="107">
        <f>SUM(HR!Z20:Z25)</f>
        <v>-217959.29166666666</v>
      </c>
      <c r="Y23" s="107">
        <f>SUM(HR!AA20:AA25)</f>
        <v>-217959.29166666666</v>
      </c>
      <c r="Z23" s="107">
        <f>SUM(HR!AB20:AB25)</f>
        <v>-217959.29166666666</v>
      </c>
      <c r="AA23" s="739">
        <f>SUM(HR!AC20:AC25)</f>
        <v>-217959.29166666666</v>
      </c>
      <c r="AB23" s="107">
        <f>SUM(HR!AD20:AD25)</f>
        <v>-231690.72704166663</v>
      </c>
      <c r="AC23" s="106">
        <f>SUM(HR!AE20:AE25)</f>
        <v>-231690.72704166663</v>
      </c>
      <c r="AD23" s="106">
        <f>SUM(HR!AF20:AF25)</f>
        <v>-231690.72704166663</v>
      </c>
      <c r="AE23" s="106">
        <f>SUM(HR!AG20:AG25)</f>
        <v>-231690.72704166663</v>
      </c>
      <c r="AF23" s="106">
        <f>SUM(HR!AH20:AH25)</f>
        <v>-231690.72704166663</v>
      </c>
      <c r="AG23" s="106">
        <f>SUM(HR!AI20:AI25)</f>
        <v>-231690.72704166663</v>
      </c>
      <c r="AH23" s="106">
        <f>SUM(HR!AJ20:AJ25)</f>
        <v>-231690.72704166663</v>
      </c>
      <c r="AI23" s="106">
        <f>SUM(HR!AK20:AK25)</f>
        <v>-231690.72704166663</v>
      </c>
      <c r="AJ23" s="106">
        <f>SUM(HR!AL20:AL25)</f>
        <v>-231690.72704166663</v>
      </c>
      <c r="AK23" s="106">
        <f>SUM(HR!AM20:AM25)</f>
        <v>-231690.72704166663</v>
      </c>
      <c r="AL23" s="106">
        <f>SUM(HR!AN20:AN25)</f>
        <v>-231690.72704166663</v>
      </c>
      <c r="AM23" s="108">
        <f>SUM(HR!AO20:AO25)</f>
        <v>-231690.72704166663</v>
      </c>
      <c r="AN23" s="107">
        <f>SUM(HR!AP20:AP25)</f>
        <v>-276616.4582820416</v>
      </c>
      <c r="AO23" s="106">
        <f>SUM(HR!AQ20:AQ25)</f>
        <v>-276616.4582820416</v>
      </c>
      <c r="AP23" s="106">
        <f>SUM(HR!AR20:AR25)</f>
        <v>-276616.4582820416</v>
      </c>
      <c r="AQ23" s="106">
        <f>SUM(HR!AS20:AS25)</f>
        <v>-276616.4582820416</v>
      </c>
      <c r="AR23" s="106">
        <f>SUM(HR!AT20:AT25)</f>
        <v>-276616.4582820416</v>
      </c>
      <c r="AS23" s="106">
        <f>SUM(HR!AU20:AU25)</f>
        <v>-276616.4582820416</v>
      </c>
      <c r="AT23" s="106">
        <f>SUM(HR!AV20:AV25)</f>
        <v>-276616.4582820416</v>
      </c>
      <c r="AU23" s="106">
        <f>SUM(HR!AW20:AW25)</f>
        <v>-276616.4582820416</v>
      </c>
      <c r="AV23" s="106">
        <f>SUM(HR!AX20:AX25)</f>
        <v>-276616.4582820416</v>
      </c>
      <c r="AW23" s="106">
        <f>SUM(HR!AY20:AY25)</f>
        <v>-276616.4582820416</v>
      </c>
      <c r="AX23" s="106">
        <f>SUM(HR!AZ20:AZ25)</f>
        <v>-276616.4582820416</v>
      </c>
      <c r="AY23" s="108">
        <f>SUM(HR!BA20:BA25)</f>
        <v>-276616.4582820416</v>
      </c>
      <c r="AZ23" s="107">
        <f>SUM(HR!BB20:BB25)</f>
        <v>-326283.25116307539</v>
      </c>
      <c r="BA23" s="106">
        <f>SUM(HR!BC20:BC25)</f>
        <v>-326283.25116307539</v>
      </c>
      <c r="BB23" s="106">
        <f>SUM(HR!BD20:BD25)</f>
        <v>-326283.25116307539</v>
      </c>
      <c r="BC23" s="106">
        <f>SUM(HR!BE20:BE25)</f>
        <v>-326283.25116307539</v>
      </c>
      <c r="BD23" s="106">
        <f>SUM(HR!BF20:BF25)</f>
        <v>-326283.25116307539</v>
      </c>
      <c r="BE23" s="106">
        <f>SUM(HR!BG20:BG25)</f>
        <v>-326283.25116307539</v>
      </c>
      <c r="BF23" s="106">
        <f>SUM(HR!BH20:BH25)</f>
        <v>-326283.25116307539</v>
      </c>
      <c r="BG23" s="106">
        <f>SUM(HR!BI20:BI25)</f>
        <v>-326283.25116307539</v>
      </c>
      <c r="BH23" s="106">
        <f>SUM(HR!BJ20:BJ25)</f>
        <v>-326283.25116307539</v>
      </c>
      <c r="BI23" s="106">
        <f>SUM(HR!BK20:BK25)</f>
        <v>-326283.25116307539</v>
      </c>
      <c r="BJ23" s="106">
        <f>SUM(HR!BL20:BL25)</f>
        <v>-326283.25116307539</v>
      </c>
      <c r="BK23" s="108">
        <f>SUM(HR!BM20:BM25)</f>
        <v>-326283.25116307539</v>
      </c>
      <c r="BL23" s="107">
        <f>SUM(HR!BN20:BN25)</f>
        <v>-346839.09598634916</v>
      </c>
      <c r="BM23" s="106">
        <f>SUM(HR!BO20:BO25)</f>
        <v>-346839.09598634916</v>
      </c>
      <c r="BN23" s="106">
        <f>SUM(HR!BP20:BP25)</f>
        <v>-346839.09598634916</v>
      </c>
      <c r="BO23" s="106">
        <f>SUM(HR!BQ20:BQ25)</f>
        <v>-346839.09598634916</v>
      </c>
      <c r="BP23" s="106">
        <f>SUM(HR!BR20:BR25)</f>
        <v>-346839.09598634916</v>
      </c>
      <c r="BQ23" s="106">
        <f>SUM(HR!BS20:BS25)</f>
        <v>-346839.09598634916</v>
      </c>
      <c r="BR23" s="106">
        <f>SUM(HR!BT20:BT25)</f>
        <v>-346839.09598634916</v>
      </c>
      <c r="BS23" s="106">
        <f>SUM(HR!BU20:BU25)</f>
        <v>-346839.09598634916</v>
      </c>
      <c r="BT23" s="106">
        <f>SUM(HR!BV20:BV25)</f>
        <v>-346839.09598634916</v>
      </c>
      <c r="BU23" s="106">
        <f>SUM(HR!BW20:BW25)</f>
        <v>-346839.09598634916</v>
      </c>
      <c r="BV23" s="106">
        <f>SUM(HR!BX20:BX25)</f>
        <v>-346839.09598634916</v>
      </c>
      <c r="BW23" s="108">
        <f>SUM(HR!BY20:BY25)</f>
        <v>-346839.09598634916</v>
      </c>
      <c r="BX23" s="107">
        <f>SUM(HR!BZ20:BZ25)</f>
        <v>-368689.95903348911</v>
      </c>
      <c r="BY23" s="106">
        <f>SUM(HR!CA20:CA25)</f>
        <v>-368689.95903348911</v>
      </c>
      <c r="BZ23" s="106">
        <f>SUM(HR!CB20:CB25)</f>
        <v>-368689.95903348911</v>
      </c>
      <c r="CA23" s="106">
        <f>SUM(HR!CC20:CC25)</f>
        <v>-368689.95903348911</v>
      </c>
      <c r="CB23" s="106">
        <f>SUM(HR!CD20:CD25)</f>
        <v>-368689.95903348911</v>
      </c>
      <c r="CC23" s="106">
        <f>SUM(HR!CE20:CE25)</f>
        <v>-368689.95903348911</v>
      </c>
      <c r="CD23" s="106">
        <f>SUM(HR!CF20:CF25)</f>
        <v>-368689.95903348911</v>
      </c>
      <c r="CE23" s="106">
        <f>SUM(HR!CG20:CG25)</f>
        <v>-368689.95903348911</v>
      </c>
      <c r="CF23" s="106">
        <f>SUM(HR!CH20:CH25)</f>
        <v>-368689.95903348911</v>
      </c>
      <c r="CG23" s="106">
        <f>SUM(HR!CI20:CI25)</f>
        <v>-368689.95903348911</v>
      </c>
      <c r="CH23" s="106">
        <f>SUM(HR!CJ20:CJ25)</f>
        <v>-368689.95903348911</v>
      </c>
      <c r="CI23" s="108">
        <f>SUM(HR!CK20:CK25)</f>
        <v>-368689.95903348911</v>
      </c>
      <c r="CJ23" s="107">
        <f>SUM(HR!CL20:CL25)</f>
        <v>-391917.42645259888</v>
      </c>
      <c r="CK23" s="106">
        <f>SUM(HR!CM20:CM25)</f>
        <v>-391917.42645259888</v>
      </c>
      <c r="CL23" s="106">
        <f>SUM(HR!CN20:CN25)</f>
        <v>-391917.42645259888</v>
      </c>
      <c r="CM23" s="106">
        <f>SUM(HR!CO20:CO25)</f>
        <v>-391917.42645259888</v>
      </c>
      <c r="CN23" s="106">
        <f>SUM(HR!CP20:CP25)</f>
        <v>-391917.42645259888</v>
      </c>
      <c r="CO23" s="106">
        <f>SUM(HR!CQ20:CQ25)</f>
        <v>-391917.42645259888</v>
      </c>
      <c r="CP23" s="106">
        <f>SUM(HR!CR20:CR25)</f>
        <v>-391917.42645259888</v>
      </c>
      <c r="CQ23" s="106">
        <f>SUM(HR!CS20:CS25)</f>
        <v>-391917.42645259888</v>
      </c>
      <c r="CR23" s="106">
        <f>SUM(HR!CT20:CT25)</f>
        <v>-391917.42645259888</v>
      </c>
      <c r="CS23" s="106">
        <f>SUM(HR!CU20:CU25)</f>
        <v>-391917.42645259888</v>
      </c>
      <c r="CT23" s="106">
        <f>SUM(HR!CV20:CV25)</f>
        <v>-391917.42645259888</v>
      </c>
      <c r="CU23" s="108">
        <f>SUM(HR!CW20:CW25)</f>
        <v>-391917.42645259888</v>
      </c>
      <c r="CV23" s="107">
        <f>SUM(HR!CX20:CX25)</f>
        <v>-416608.2243191126</v>
      </c>
      <c r="CW23" s="106">
        <f>SUM(HR!CY20:CY25)</f>
        <v>-416608.2243191126</v>
      </c>
      <c r="CX23" s="106">
        <f>SUM(HR!CZ20:CZ25)</f>
        <v>-416608.2243191126</v>
      </c>
      <c r="CY23" s="106">
        <f>SUM(HR!DA20:DA25)</f>
        <v>-416608.2243191126</v>
      </c>
      <c r="CZ23" s="106">
        <f>SUM(HR!DB20:DB25)</f>
        <v>-416608.2243191126</v>
      </c>
      <c r="DA23" s="106">
        <f>SUM(HR!DC20:DC25)</f>
        <v>-416608.2243191126</v>
      </c>
      <c r="DB23" s="106">
        <f>SUM(HR!DD20:DD25)</f>
        <v>-416608.2243191126</v>
      </c>
      <c r="DC23" s="106">
        <f>SUM(HR!DE20:DE25)</f>
        <v>-416608.2243191126</v>
      </c>
      <c r="DD23" s="106">
        <f>SUM(HR!DF20:DF25)</f>
        <v>-416608.2243191126</v>
      </c>
      <c r="DE23" s="106">
        <f>SUM(HR!DG20:DG25)</f>
        <v>-416608.2243191126</v>
      </c>
      <c r="DF23" s="106">
        <f>SUM(HR!DH20:DH25)</f>
        <v>-416608.2243191126</v>
      </c>
      <c r="DG23" s="108">
        <f>SUM(HR!DI20:DI25)</f>
        <v>-416608.2243191126</v>
      </c>
      <c r="DH23" s="107">
        <f>SUM(HR!DJ20:DJ25)</f>
        <v>-442854.54245121672</v>
      </c>
      <c r="DI23" s="106">
        <f>SUM(HR!DK20:DK25)</f>
        <v>-442854.54245121672</v>
      </c>
      <c r="DJ23" s="106">
        <f>SUM(HR!DL20:DL25)</f>
        <v>-442854.54245121672</v>
      </c>
      <c r="DK23" s="106">
        <f>SUM(HR!DM20:DM25)</f>
        <v>-442854.54245121672</v>
      </c>
      <c r="DL23" s="106">
        <f>SUM(HR!DN20:DN25)</f>
        <v>-442854.54245121672</v>
      </c>
      <c r="DM23" s="106">
        <f>SUM(HR!DO20:DO25)</f>
        <v>-442854.54245121672</v>
      </c>
      <c r="DN23" s="106">
        <f>SUM(HR!DP20:DP25)</f>
        <v>-442854.54245121672</v>
      </c>
      <c r="DO23" s="106">
        <f>SUM(HR!DQ20:DQ25)</f>
        <v>-442854.54245121672</v>
      </c>
      <c r="DP23" s="106">
        <f>SUM(HR!DR20:DR25)</f>
        <v>-442854.54245121672</v>
      </c>
      <c r="DQ23" s="106">
        <f>SUM(HR!DS20:DS25)</f>
        <v>-442854.54245121672</v>
      </c>
      <c r="DR23" s="106">
        <f>SUM(HR!DT20:DT25)</f>
        <v>-442854.54245121672</v>
      </c>
      <c r="DS23" s="108">
        <f>SUM(HR!DU20:DU25)</f>
        <v>-442854.54245121672</v>
      </c>
      <c r="DT23" s="832"/>
    </row>
    <row r="24" spans="1:124" ht="15" x14ac:dyDescent="0.25">
      <c r="B24" s="160" t="s">
        <v>81</v>
      </c>
      <c r="C24" s="7">
        <v>-750</v>
      </c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97"/>
      <c r="P24" s="345"/>
      <c r="Q24" s="107">
        <f>SUM(HR!$D20:$D25)*$C24*Q5/2</f>
        <v>-13553.25</v>
      </c>
      <c r="R24" s="107"/>
      <c r="S24" s="107"/>
      <c r="T24" s="107"/>
      <c r="U24" s="107"/>
      <c r="V24" s="107"/>
      <c r="W24" s="107">
        <f>SUM(HR!$D20:$D25)*$C24*W5/2</f>
        <v>-13553.25</v>
      </c>
      <c r="X24" s="107"/>
      <c r="Y24" s="107"/>
      <c r="Z24" s="107"/>
      <c r="AA24" s="739"/>
      <c r="AB24" s="107"/>
      <c r="AC24" s="107">
        <f>SUM(HR!$D20:$D25)*$C24*AC5/2</f>
        <v>-14407.104749999997</v>
      </c>
      <c r="AD24" s="106"/>
      <c r="AE24" s="106"/>
      <c r="AF24" s="107"/>
      <c r="AG24" s="106"/>
      <c r="AH24" s="106"/>
      <c r="AI24" s="107">
        <f>SUM(HR!$D20:$D25)*$C24*AI5/2</f>
        <v>-14407.104749999997</v>
      </c>
      <c r="AJ24" s="106"/>
      <c r="AK24" s="106"/>
      <c r="AL24" s="107"/>
      <c r="AM24" s="108"/>
      <c r="AN24" s="107"/>
      <c r="AO24" s="107">
        <f>SUM(HR!$D20:$D25)*$C24*AO5/2</f>
        <v>-15314.752349249997</v>
      </c>
      <c r="AP24" s="106"/>
      <c r="AQ24" s="106"/>
      <c r="AR24" s="107"/>
      <c r="AS24" s="106"/>
      <c r="AT24" s="106"/>
      <c r="AU24" s="107">
        <f>SUM(HR!$D20:$D25)*$C24*AU5/2</f>
        <v>-15314.752349249997</v>
      </c>
      <c r="AV24" s="106"/>
      <c r="AW24" s="106"/>
      <c r="AX24" s="107"/>
      <c r="AY24" s="108"/>
      <c r="AZ24" s="107"/>
      <c r="BA24" s="107">
        <f>SUM(HR!$D20:$D25)*$C24*BA5/2</f>
        <v>-16279.581747252745</v>
      </c>
      <c r="BB24" s="106"/>
      <c r="BC24" s="106"/>
      <c r="BD24" s="107"/>
      <c r="BE24" s="106"/>
      <c r="BF24" s="107"/>
      <c r="BG24" s="107">
        <f>SUM(HR!$D20:$D25)*$C24*BG5/2</f>
        <v>-16279.581747252745</v>
      </c>
      <c r="BH24" s="106"/>
      <c r="BI24" s="106"/>
      <c r="BJ24" s="107"/>
      <c r="BK24" s="108"/>
      <c r="BL24" s="107"/>
      <c r="BM24" s="107">
        <f>SUM(HR!$D20:$D25)*$C24*BM5/2</f>
        <v>-17305.195397329666</v>
      </c>
      <c r="BN24" s="106"/>
      <c r="BO24" s="106"/>
      <c r="BP24" s="107"/>
      <c r="BQ24" s="106"/>
      <c r="BR24" s="107"/>
      <c r="BS24" s="107">
        <f>SUM(HR!$D20:$D25)*$C24*BS5/2</f>
        <v>-17305.195397329666</v>
      </c>
      <c r="BT24" s="106"/>
      <c r="BU24" s="106"/>
      <c r="BV24" s="107"/>
      <c r="BW24" s="108"/>
      <c r="BX24" s="107"/>
      <c r="BY24" s="107">
        <f>SUM(HR!$D20:$D25)*$C24*BY5/2</f>
        <v>-18395.422707361435</v>
      </c>
      <c r="BZ24" s="106"/>
      <c r="CA24" s="106"/>
      <c r="CB24" s="107"/>
      <c r="CC24" s="107"/>
      <c r="CD24" s="107"/>
      <c r="CE24" s="107">
        <f>SUM(HR!$D20:$D25)*$C24*CE5/2</f>
        <v>-18395.422707361435</v>
      </c>
      <c r="CF24" s="106"/>
      <c r="CG24" s="106"/>
      <c r="CH24" s="107"/>
      <c r="CI24" s="108"/>
      <c r="CJ24" s="107"/>
      <c r="CK24" s="107">
        <f>SUM(HR!$D20:$D25)*$C24*CK5/2</f>
        <v>-19554.334337925204</v>
      </c>
      <c r="CL24" s="106"/>
      <c r="CM24" s="106"/>
      <c r="CN24" s="107"/>
      <c r="CO24" s="106"/>
      <c r="CP24" s="107"/>
      <c r="CQ24" s="107">
        <f>SUM(HR!$D20:$D25)*$C24*CQ5/2</f>
        <v>-19554.334337925204</v>
      </c>
      <c r="CR24" s="106"/>
      <c r="CS24" s="106"/>
      <c r="CT24" s="107"/>
      <c r="CU24" s="108"/>
      <c r="CV24" s="107"/>
      <c r="CW24" s="107">
        <f>SUM(HR!$D20:$D25)*$C24*CW5/2</f>
        <v>-20786.257401214491</v>
      </c>
      <c r="CX24" s="106"/>
      <c r="CY24" s="106"/>
      <c r="CZ24" s="107"/>
      <c r="DA24" s="106"/>
      <c r="DB24" s="107"/>
      <c r="DC24" s="107">
        <f>SUM(HR!$D20:$D25)*$C24*DC5/2</f>
        <v>-20786.257401214491</v>
      </c>
      <c r="DD24" s="106"/>
      <c r="DE24" s="106"/>
      <c r="DF24" s="107"/>
      <c r="DG24" s="739"/>
      <c r="DH24" s="107"/>
      <c r="DI24" s="107">
        <f>SUM(HR!$D20:$D25)*$C24*DI5/2</f>
        <v>-22095.791617491002</v>
      </c>
      <c r="DJ24" s="106"/>
      <c r="DK24" s="106"/>
      <c r="DL24" s="107"/>
      <c r="DM24" s="106"/>
      <c r="DN24" s="106"/>
      <c r="DO24" s="107">
        <f>SUM(HR!$D20:$D25)*$C24*DO5/2</f>
        <v>-22095.791617491002</v>
      </c>
      <c r="DP24" s="106"/>
      <c r="DQ24" s="106"/>
      <c r="DR24" s="107"/>
      <c r="DS24" s="108"/>
      <c r="DT24" s="832"/>
    </row>
    <row r="25" spans="1:124" s="886" customFormat="1" ht="15" x14ac:dyDescent="0.25">
      <c r="B25" s="836" t="s">
        <v>1435</v>
      </c>
      <c r="C25" s="833">
        <v>-10000</v>
      </c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70"/>
      <c r="P25" s="345"/>
      <c r="Q25" s="107">
        <f>$C$25*Q5</f>
        <v>-10630</v>
      </c>
      <c r="R25" s="107">
        <f t="shared" ref="R25:CC25" si="12">$C$25*R5</f>
        <v>-10630</v>
      </c>
      <c r="S25" s="107">
        <f t="shared" si="12"/>
        <v>-10630</v>
      </c>
      <c r="T25" s="107">
        <f t="shared" si="12"/>
        <v>-10630</v>
      </c>
      <c r="U25" s="107">
        <f t="shared" si="12"/>
        <v>-10630</v>
      </c>
      <c r="V25" s="107">
        <f t="shared" si="12"/>
        <v>-10630</v>
      </c>
      <c r="W25" s="107">
        <f t="shared" si="12"/>
        <v>-10630</v>
      </c>
      <c r="X25" s="107">
        <f t="shared" si="12"/>
        <v>-10630</v>
      </c>
      <c r="Y25" s="107">
        <f t="shared" si="12"/>
        <v>-10630</v>
      </c>
      <c r="Z25" s="107">
        <f t="shared" si="12"/>
        <v>-10630</v>
      </c>
      <c r="AA25" s="739">
        <f t="shared" si="12"/>
        <v>-10630</v>
      </c>
      <c r="AB25" s="107">
        <f t="shared" si="12"/>
        <v>-11299.689999999999</v>
      </c>
      <c r="AC25" s="107">
        <f t="shared" si="12"/>
        <v>-11299.689999999999</v>
      </c>
      <c r="AD25" s="107">
        <f t="shared" si="12"/>
        <v>-11299.689999999999</v>
      </c>
      <c r="AE25" s="107">
        <f t="shared" si="12"/>
        <v>-11299.689999999999</v>
      </c>
      <c r="AF25" s="107">
        <f t="shared" si="12"/>
        <v>-11299.689999999999</v>
      </c>
      <c r="AG25" s="107">
        <f t="shared" si="12"/>
        <v>-11299.689999999999</v>
      </c>
      <c r="AH25" s="107">
        <f t="shared" si="12"/>
        <v>-11299.689999999999</v>
      </c>
      <c r="AI25" s="107">
        <f t="shared" si="12"/>
        <v>-11299.689999999999</v>
      </c>
      <c r="AJ25" s="107">
        <f t="shared" si="12"/>
        <v>-11299.689999999999</v>
      </c>
      <c r="AK25" s="107">
        <f t="shared" si="12"/>
        <v>-11299.689999999999</v>
      </c>
      <c r="AL25" s="107">
        <f t="shared" si="12"/>
        <v>-11299.689999999999</v>
      </c>
      <c r="AM25" s="739">
        <f t="shared" si="12"/>
        <v>-11299.689999999999</v>
      </c>
      <c r="AN25" s="107">
        <f t="shared" si="12"/>
        <v>-12011.570469999997</v>
      </c>
      <c r="AO25" s="107">
        <f t="shared" si="12"/>
        <v>-12011.570469999997</v>
      </c>
      <c r="AP25" s="107">
        <f t="shared" si="12"/>
        <v>-12011.570469999997</v>
      </c>
      <c r="AQ25" s="107">
        <f t="shared" si="12"/>
        <v>-12011.570469999997</v>
      </c>
      <c r="AR25" s="107">
        <f t="shared" si="12"/>
        <v>-12011.570469999997</v>
      </c>
      <c r="AS25" s="107">
        <f t="shared" si="12"/>
        <v>-12011.570469999997</v>
      </c>
      <c r="AT25" s="107">
        <f t="shared" si="12"/>
        <v>-12011.570469999997</v>
      </c>
      <c r="AU25" s="107">
        <f t="shared" si="12"/>
        <v>-12011.570469999997</v>
      </c>
      <c r="AV25" s="107">
        <f t="shared" si="12"/>
        <v>-12011.570469999997</v>
      </c>
      <c r="AW25" s="107">
        <f t="shared" si="12"/>
        <v>-12011.570469999997</v>
      </c>
      <c r="AX25" s="107">
        <f t="shared" si="12"/>
        <v>-12011.570469999997</v>
      </c>
      <c r="AY25" s="739">
        <f t="shared" si="12"/>
        <v>-12011.570469999997</v>
      </c>
      <c r="AZ25" s="107">
        <f t="shared" si="12"/>
        <v>-12768.299409609996</v>
      </c>
      <c r="BA25" s="107">
        <f t="shared" si="12"/>
        <v>-12768.299409609996</v>
      </c>
      <c r="BB25" s="107">
        <f t="shared" si="12"/>
        <v>-12768.299409609996</v>
      </c>
      <c r="BC25" s="107">
        <f t="shared" si="12"/>
        <v>-12768.299409609996</v>
      </c>
      <c r="BD25" s="107">
        <f t="shared" si="12"/>
        <v>-12768.299409609996</v>
      </c>
      <c r="BE25" s="107">
        <f t="shared" si="12"/>
        <v>-12768.299409609996</v>
      </c>
      <c r="BF25" s="107">
        <f t="shared" si="12"/>
        <v>-12768.299409609996</v>
      </c>
      <c r="BG25" s="107">
        <f t="shared" si="12"/>
        <v>-12768.299409609996</v>
      </c>
      <c r="BH25" s="107">
        <f t="shared" si="12"/>
        <v>-12768.299409609996</v>
      </c>
      <c r="BI25" s="107">
        <f t="shared" si="12"/>
        <v>-12768.299409609996</v>
      </c>
      <c r="BJ25" s="107">
        <f t="shared" si="12"/>
        <v>-12768.299409609996</v>
      </c>
      <c r="BK25" s="739">
        <f t="shared" si="12"/>
        <v>-12768.299409609996</v>
      </c>
      <c r="BL25" s="107">
        <f t="shared" si="12"/>
        <v>-13572.702272415425</v>
      </c>
      <c r="BM25" s="107">
        <f t="shared" si="12"/>
        <v>-13572.702272415425</v>
      </c>
      <c r="BN25" s="107">
        <f t="shared" si="12"/>
        <v>-13572.702272415425</v>
      </c>
      <c r="BO25" s="107">
        <f t="shared" si="12"/>
        <v>-13572.702272415425</v>
      </c>
      <c r="BP25" s="107">
        <f t="shared" si="12"/>
        <v>-13572.702272415425</v>
      </c>
      <c r="BQ25" s="107">
        <f t="shared" si="12"/>
        <v>-13572.702272415425</v>
      </c>
      <c r="BR25" s="107">
        <f t="shared" si="12"/>
        <v>-13572.702272415425</v>
      </c>
      <c r="BS25" s="107">
        <f t="shared" si="12"/>
        <v>-13572.702272415425</v>
      </c>
      <c r="BT25" s="107">
        <f t="shared" si="12"/>
        <v>-13572.702272415425</v>
      </c>
      <c r="BU25" s="107">
        <f t="shared" si="12"/>
        <v>-13572.702272415425</v>
      </c>
      <c r="BV25" s="107">
        <f t="shared" si="12"/>
        <v>-13572.702272415425</v>
      </c>
      <c r="BW25" s="739">
        <f t="shared" si="12"/>
        <v>-13572.702272415425</v>
      </c>
      <c r="BX25" s="107">
        <f t="shared" si="12"/>
        <v>-14427.782515577595</v>
      </c>
      <c r="BY25" s="107">
        <f t="shared" si="12"/>
        <v>-14427.782515577595</v>
      </c>
      <c r="BZ25" s="107">
        <f t="shared" si="12"/>
        <v>-14427.782515577595</v>
      </c>
      <c r="CA25" s="107">
        <f t="shared" si="12"/>
        <v>-14427.782515577595</v>
      </c>
      <c r="CB25" s="107">
        <f t="shared" si="12"/>
        <v>-14427.782515577595</v>
      </c>
      <c r="CC25" s="107">
        <f t="shared" si="12"/>
        <v>-14427.782515577595</v>
      </c>
      <c r="CD25" s="107">
        <f t="shared" ref="CD25:DS25" si="13">$C$25*CD5</f>
        <v>-14427.782515577595</v>
      </c>
      <c r="CE25" s="107">
        <f t="shared" si="13"/>
        <v>-14427.782515577595</v>
      </c>
      <c r="CF25" s="107">
        <f t="shared" si="13"/>
        <v>-14427.782515577595</v>
      </c>
      <c r="CG25" s="107">
        <f t="shared" si="13"/>
        <v>-14427.782515577595</v>
      </c>
      <c r="CH25" s="107">
        <f t="shared" si="13"/>
        <v>-14427.782515577595</v>
      </c>
      <c r="CI25" s="739">
        <f t="shared" si="13"/>
        <v>-14427.782515577595</v>
      </c>
      <c r="CJ25" s="107">
        <f t="shared" si="13"/>
        <v>-15336.732814058983</v>
      </c>
      <c r="CK25" s="107">
        <f t="shared" si="13"/>
        <v>-15336.732814058983</v>
      </c>
      <c r="CL25" s="107">
        <f t="shared" si="13"/>
        <v>-15336.732814058983</v>
      </c>
      <c r="CM25" s="107">
        <f t="shared" si="13"/>
        <v>-15336.732814058983</v>
      </c>
      <c r="CN25" s="107">
        <f t="shared" si="13"/>
        <v>-15336.732814058983</v>
      </c>
      <c r="CO25" s="107">
        <f t="shared" si="13"/>
        <v>-15336.732814058983</v>
      </c>
      <c r="CP25" s="107">
        <f t="shared" si="13"/>
        <v>-15336.732814058983</v>
      </c>
      <c r="CQ25" s="107">
        <f t="shared" si="13"/>
        <v>-15336.732814058983</v>
      </c>
      <c r="CR25" s="107">
        <f t="shared" si="13"/>
        <v>-15336.732814058983</v>
      </c>
      <c r="CS25" s="107">
        <f t="shared" si="13"/>
        <v>-15336.732814058983</v>
      </c>
      <c r="CT25" s="107">
        <f t="shared" si="13"/>
        <v>-15336.732814058983</v>
      </c>
      <c r="CU25" s="739">
        <f t="shared" si="13"/>
        <v>-15336.732814058983</v>
      </c>
      <c r="CV25" s="107">
        <f t="shared" si="13"/>
        <v>-16302.946981344699</v>
      </c>
      <c r="CW25" s="107">
        <f t="shared" si="13"/>
        <v>-16302.946981344699</v>
      </c>
      <c r="CX25" s="107">
        <f t="shared" si="13"/>
        <v>-16302.946981344699</v>
      </c>
      <c r="CY25" s="107">
        <f t="shared" si="13"/>
        <v>-16302.946981344699</v>
      </c>
      <c r="CZ25" s="107">
        <f t="shared" si="13"/>
        <v>-16302.946981344699</v>
      </c>
      <c r="DA25" s="107">
        <f t="shared" si="13"/>
        <v>-16302.946981344699</v>
      </c>
      <c r="DB25" s="107">
        <f t="shared" si="13"/>
        <v>-16302.946981344699</v>
      </c>
      <c r="DC25" s="107">
        <f t="shared" si="13"/>
        <v>-16302.946981344699</v>
      </c>
      <c r="DD25" s="107">
        <f t="shared" si="13"/>
        <v>-16302.946981344699</v>
      </c>
      <c r="DE25" s="107">
        <f t="shared" si="13"/>
        <v>-16302.946981344699</v>
      </c>
      <c r="DF25" s="107">
        <f t="shared" si="13"/>
        <v>-16302.946981344699</v>
      </c>
      <c r="DG25" s="739">
        <f t="shared" si="13"/>
        <v>-16302.946981344699</v>
      </c>
      <c r="DH25" s="107">
        <f t="shared" si="13"/>
        <v>-17330.032641169415</v>
      </c>
      <c r="DI25" s="107">
        <f t="shared" si="13"/>
        <v>-17330.032641169415</v>
      </c>
      <c r="DJ25" s="107">
        <f t="shared" si="13"/>
        <v>-17330.032641169415</v>
      </c>
      <c r="DK25" s="107">
        <f t="shared" si="13"/>
        <v>-17330.032641169415</v>
      </c>
      <c r="DL25" s="107">
        <f t="shared" si="13"/>
        <v>-17330.032641169415</v>
      </c>
      <c r="DM25" s="107">
        <f t="shared" si="13"/>
        <v>-17330.032641169415</v>
      </c>
      <c r="DN25" s="107">
        <f t="shared" si="13"/>
        <v>-17330.032641169415</v>
      </c>
      <c r="DO25" s="107">
        <f t="shared" si="13"/>
        <v>-17330.032641169415</v>
      </c>
      <c r="DP25" s="107">
        <f t="shared" si="13"/>
        <v>-17330.032641169415</v>
      </c>
      <c r="DQ25" s="107">
        <f t="shared" si="13"/>
        <v>-17330.032641169415</v>
      </c>
      <c r="DR25" s="107">
        <f t="shared" si="13"/>
        <v>-17330.032641169415</v>
      </c>
      <c r="DS25" s="739">
        <f t="shared" si="13"/>
        <v>-17330.032641169415</v>
      </c>
      <c r="DT25" s="887"/>
    </row>
    <row r="26" spans="1:124" s="886" customFormat="1" ht="15" x14ac:dyDescent="0.25">
      <c r="B26" s="836" t="s">
        <v>197</v>
      </c>
      <c r="C26" s="833">
        <v>-10000</v>
      </c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70"/>
      <c r="P26" s="345"/>
      <c r="Q26" s="107">
        <f>$C$26*Q5</f>
        <v>-10630</v>
      </c>
      <c r="R26" s="107">
        <f t="shared" ref="R26:CC26" si="14">$C$26*R5</f>
        <v>-10630</v>
      </c>
      <c r="S26" s="107">
        <f t="shared" si="14"/>
        <v>-10630</v>
      </c>
      <c r="T26" s="107">
        <f t="shared" si="14"/>
        <v>-10630</v>
      </c>
      <c r="U26" s="107">
        <f t="shared" si="14"/>
        <v>-10630</v>
      </c>
      <c r="V26" s="107">
        <f t="shared" si="14"/>
        <v>-10630</v>
      </c>
      <c r="W26" s="107">
        <f t="shared" si="14"/>
        <v>-10630</v>
      </c>
      <c r="X26" s="107">
        <f t="shared" si="14"/>
        <v>-10630</v>
      </c>
      <c r="Y26" s="107">
        <f t="shared" si="14"/>
        <v>-10630</v>
      </c>
      <c r="Z26" s="107">
        <f t="shared" si="14"/>
        <v>-10630</v>
      </c>
      <c r="AA26" s="739">
        <f t="shared" si="14"/>
        <v>-10630</v>
      </c>
      <c r="AB26" s="107">
        <f t="shared" si="14"/>
        <v>-11299.689999999999</v>
      </c>
      <c r="AC26" s="107">
        <f t="shared" si="14"/>
        <v>-11299.689999999999</v>
      </c>
      <c r="AD26" s="107">
        <f t="shared" si="14"/>
        <v>-11299.689999999999</v>
      </c>
      <c r="AE26" s="107">
        <f t="shared" si="14"/>
        <v>-11299.689999999999</v>
      </c>
      <c r="AF26" s="107">
        <f t="shared" si="14"/>
        <v>-11299.689999999999</v>
      </c>
      <c r="AG26" s="107">
        <f t="shared" si="14"/>
        <v>-11299.689999999999</v>
      </c>
      <c r="AH26" s="107">
        <f t="shared" si="14"/>
        <v>-11299.689999999999</v>
      </c>
      <c r="AI26" s="107">
        <f t="shared" si="14"/>
        <v>-11299.689999999999</v>
      </c>
      <c r="AJ26" s="107">
        <f t="shared" si="14"/>
        <v>-11299.689999999999</v>
      </c>
      <c r="AK26" s="107">
        <f t="shared" si="14"/>
        <v>-11299.689999999999</v>
      </c>
      <c r="AL26" s="107">
        <f t="shared" si="14"/>
        <v>-11299.689999999999</v>
      </c>
      <c r="AM26" s="739">
        <f t="shared" si="14"/>
        <v>-11299.689999999999</v>
      </c>
      <c r="AN26" s="107">
        <f t="shared" si="14"/>
        <v>-12011.570469999997</v>
      </c>
      <c r="AO26" s="107">
        <f t="shared" si="14"/>
        <v>-12011.570469999997</v>
      </c>
      <c r="AP26" s="107">
        <f t="shared" si="14"/>
        <v>-12011.570469999997</v>
      </c>
      <c r="AQ26" s="107">
        <f t="shared" si="14"/>
        <v>-12011.570469999997</v>
      </c>
      <c r="AR26" s="107">
        <f t="shared" si="14"/>
        <v>-12011.570469999997</v>
      </c>
      <c r="AS26" s="107">
        <f t="shared" si="14"/>
        <v>-12011.570469999997</v>
      </c>
      <c r="AT26" s="107">
        <f t="shared" si="14"/>
        <v>-12011.570469999997</v>
      </c>
      <c r="AU26" s="107">
        <f t="shared" si="14"/>
        <v>-12011.570469999997</v>
      </c>
      <c r="AV26" s="107">
        <f t="shared" si="14"/>
        <v>-12011.570469999997</v>
      </c>
      <c r="AW26" s="107">
        <f t="shared" si="14"/>
        <v>-12011.570469999997</v>
      </c>
      <c r="AX26" s="107">
        <f t="shared" si="14"/>
        <v>-12011.570469999997</v>
      </c>
      <c r="AY26" s="739">
        <f t="shared" si="14"/>
        <v>-12011.570469999997</v>
      </c>
      <c r="AZ26" s="107">
        <f t="shared" si="14"/>
        <v>-12768.299409609996</v>
      </c>
      <c r="BA26" s="107">
        <f t="shared" si="14"/>
        <v>-12768.299409609996</v>
      </c>
      <c r="BB26" s="107">
        <f t="shared" si="14"/>
        <v>-12768.299409609996</v>
      </c>
      <c r="BC26" s="107">
        <f t="shared" si="14"/>
        <v>-12768.299409609996</v>
      </c>
      <c r="BD26" s="107">
        <f t="shared" si="14"/>
        <v>-12768.299409609996</v>
      </c>
      <c r="BE26" s="107">
        <f t="shared" si="14"/>
        <v>-12768.299409609996</v>
      </c>
      <c r="BF26" s="107">
        <f t="shared" si="14"/>
        <v>-12768.299409609996</v>
      </c>
      <c r="BG26" s="107">
        <f t="shared" si="14"/>
        <v>-12768.299409609996</v>
      </c>
      <c r="BH26" s="107">
        <f t="shared" si="14"/>
        <v>-12768.299409609996</v>
      </c>
      <c r="BI26" s="107">
        <f t="shared" si="14"/>
        <v>-12768.299409609996</v>
      </c>
      <c r="BJ26" s="107">
        <f t="shared" si="14"/>
        <v>-12768.299409609996</v>
      </c>
      <c r="BK26" s="739">
        <f t="shared" si="14"/>
        <v>-12768.299409609996</v>
      </c>
      <c r="BL26" s="107">
        <f t="shared" si="14"/>
        <v>-13572.702272415425</v>
      </c>
      <c r="BM26" s="107">
        <f t="shared" si="14"/>
        <v>-13572.702272415425</v>
      </c>
      <c r="BN26" s="107">
        <f t="shared" si="14"/>
        <v>-13572.702272415425</v>
      </c>
      <c r="BO26" s="107">
        <f t="shared" si="14"/>
        <v>-13572.702272415425</v>
      </c>
      <c r="BP26" s="107">
        <f t="shared" si="14"/>
        <v>-13572.702272415425</v>
      </c>
      <c r="BQ26" s="107">
        <f t="shared" si="14"/>
        <v>-13572.702272415425</v>
      </c>
      <c r="BR26" s="107">
        <f t="shared" si="14"/>
        <v>-13572.702272415425</v>
      </c>
      <c r="BS26" s="107">
        <f t="shared" si="14"/>
        <v>-13572.702272415425</v>
      </c>
      <c r="BT26" s="107">
        <f t="shared" si="14"/>
        <v>-13572.702272415425</v>
      </c>
      <c r="BU26" s="107">
        <f t="shared" si="14"/>
        <v>-13572.702272415425</v>
      </c>
      <c r="BV26" s="107">
        <f t="shared" si="14"/>
        <v>-13572.702272415425</v>
      </c>
      <c r="BW26" s="739">
        <f t="shared" si="14"/>
        <v>-13572.702272415425</v>
      </c>
      <c r="BX26" s="107">
        <f t="shared" si="14"/>
        <v>-14427.782515577595</v>
      </c>
      <c r="BY26" s="107">
        <f t="shared" si="14"/>
        <v>-14427.782515577595</v>
      </c>
      <c r="BZ26" s="107">
        <f t="shared" si="14"/>
        <v>-14427.782515577595</v>
      </c>
      <c r="CA26" s="107">
        <f t="shared" si="14"/>
        <v>-14427.782515577595</v>
      </c>
      <c r="CB26" s="107">
        <f t="shared" si="14"/>
        <v>-14427.782515577595</v>
      </c>
      <c r="CC26" s="107">
        <f t="shared" si="14"/>
        <v>-14427.782515577595</v>
      </c>
      <c r="CD26" s="107">
        <f t="shared" ref="CD26:DS26" si="15">$C$26*CD5</f>
        <v>-14427.782515577595</v>
      </c>
      <c r="CE26" s="107">
        <f t="shared" si="15"/>
        <v>-14427.782515577595</v>
      </c>
      <c r="CF26" s="107">
        <f t="shared" si="15"/>
        <v>-14427.782515577595</v>
      </c>
      <c r="CG26" s="107">
        <f t="shared" si="15"/>
        <v>-14427.782515577595</v>
      </c>
      <c r="CH26" s="107">
        <f t="shared" si="15"/>
        <v>-14427.782515577595</v>
      </c>
      <c r="CI26" s="739">
        <f t="shared" si="15"/>
        <v>-14427.782515577595</v>
      </c>
      <c r="CJ26" s="107">
        <f t="shared" si="15"/>
        <v>-15336.732814058983</v>
      </c>
      <c r="CK26" s="107">
        <f t="shared" si="15"/>
        <v>-15336.732814058983</v>
      </c>
      <c r="CL26" s="107">
        <f t="shared" si="15"/>
        <v>-15336.732814058983</v>
      </c>
      <c r="CM26" s="107">
        <f t="shared" si="15"/>
        <v>-15336.732814058983</v>
      </c>
      <c r="CN26" s="107">
        <f t="shared" si="15"/>
        <v>-15336.732814058983</v>
      </c>
      <c r="CO26" s="107">
        <f t="shared" si="15"/>
        <v>-15336.732814058983</v>
      </c>
      <c r="CP26" s="107">
        <f t="shared" si="15"/>
        <v>-15336.732814058983</v>
      </c>
      <c r="CQ26" s="107">
        <f t="shared" si="15"/>
        <v>-15336.732814058983</v>
      </c>
      <c r="CR26" s="107">
        <f t="shared" si="15"/>
        <v>-15336.732814058983</v>
      </c>
      <c r="CS26" s="107">
        <f t="shared" si="15"/>
        <v>-15336.732814058983</v>
      </c>
      <c r="CT26" s="107">
        <f t="shared" si="15"/>
        <v>-15336.732814058983</v>
      </c>
      <c r="CU26" s="739">
        <f t="shared" si="15"/>
        <v>-15336.732814058983</v>
      </c>
      <c r="CV26" s="107">
        <f t="shared" si="15"/>
        <v>-16302.946981344699</v>
      </c>
      <c r="CW26" s="107">
        <f t="shared" si="15"/>
        <v>-16302.946981344699</v>
      </c>
      <c r="CX26" s="107">
        <f t="shared" si="15"/>
        <v>-16302.946981344699</v>
      </c>
      <c r="CY26" s="107">
        <f t="shared" si="15"/>
        <v>-16302.946981344699</v>
      </c>
      <c r="CZ26" s="107">
        <f t="shared" si="15"/>
        <v>-16302.946981344699</v>
      </c>
      <c r="DA26" s="107">
        <f t="shared" si="15"/>
        <v>-16302.946981344699</v>
      </c>
      <c r="DB26" s="107">
        <f t="shared" si="15"/>
        <v>-16302.946981344699</v>
      </c>
      <c r="DC26" s="107">
        <f t="shared" si="15"/>
        <v>-16302.946981344699</v>
      </c>
      <c r="DD26" s="107">
        <f t="shared" si="15"/>
        <v>-16302.946981344699</v>
      </c>
      <c r="DE26" s="107">
        <f t="shared" si="15"/>
        <v>-16302.946981344699</v>
      </c>
      <c r="DF26" s="107">
        <f t="shared" si="15"/>
        <v>-16302.946981344699</v>
      </c>
      <c r="DG26" s="739">
        <f t="shared" si="15"/>
        <v>-16302.946981344699</v>
      </c>
      <c r="DH26" s="107">
        <f t="shared" si="15"/>
        <v>-17330.032641169415</v>
      </c>
      <c r="DI26" s="107">
        <f t="shared" si="15"/>
        <v>-17330.032641169415</v>
      </c>
      <c r="DJ26" s="107">
        <f t="shared" si="15"/>
        <v>-17330.032641169415</v>
      </c>
      <c r="DK26" s="107">
        <f t="shared" si="15"/>
        <v>-17330.032641169415</v>
      </c>
      <c r="DL26" s="107">
        <f t="shared" si="15"/>
        <v>-17330.032641169415</v>
      </c>
      <c r="DM26" s="107">
        <f t="shared" si="15"/>
        <v>-17330.032641169415</v>
      </c>
      <c r="DN26" s="107">
        <f t="shared" si="15"/>
        <v>-17330.032641169415</v>
      </c>
      <c r="DO26" s="107">
        <f t="shared" si="15"/>
        <v>-17330.032641169415</v>
      </c>
      <c r="DP26" s="107">
        <f t="shared" si="15"/>
        <v>-17330.032641169415</v>
      </c>
      <c r="DQ26" s="107">
        <f t="shared" si="15"/>
        <v>-17330.032641169415</v>
      </c>
      <c r="DR26" s="107">
        <f t="shared" si="15"/>
        <v>-17330.032641169415</v>
      </c>
      <c r="DS26" s="739">
        <f t="shared" si="15"/>
        <v>-17330.032641169415</v>
      </c>
      <c r="DT26" s="887"/>
    </row>
    <row r="27" spans="1:124" ht="15" x14ac:dyDescent="0.25">
      <c r="B27" s="160" t="s">
        <v>576</v>
      </c>
      <c r="C27" s="7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70"/>
      <c r="P27" s="345"/>
      <c r="Q27" s="107">
        <f>-('R&amp;M'!$S$7+'R&amp;M'!$S$11+'R&amp;M'!$S$12)*Q5</f>
        <v>-14480.156910340625</v>
      </c>
      <c r="R27" s="107">
        <f>-('R&amp;M'!$S$7+'R&amp;M'!$S$11+'R&amp;M'!$S$12)*R5</f>
        <v>-14480.156910340625</v>
      </c>
      <c r="S27" s="107">
        <f>-('R&amp;M'!$S$7+'R&amp;M'!$S$11+'R&amp;M'!$S$12)*S5</f>
        <v>-14480.156910340625</v>
      </c>
      <c r="T27" s="107">
        <f>-('R&amp;M'!$S$7+'R&amp;M'!$S$11+'R&amp;M'!$S$12)*T5</f>
        <v>-14480.156910340625</v>
      </c>
      <c r="U27" s="107">
        <f>-('R&amp;M'!$S$7+'R&amp;M'!$S$11+'R&amp;M'!$S$12)*U5</f>
        <v>-14480.156910340625</v>
      </c>
      <c r="V27" s="107">
        <f>-('R&amp;M'!$S$7+'R&amp;M'!$S$11+'R&amp;M'!$S$12)*V5</f>
        <v>-14480.156910340625</v>
      </c>
      <c r="W27" s="107">
        <f>-('R&amp;M'!$S$7+'R&amp;M'!$S$11+'R&amp;M'!$S$12)*W5</f>
        <v>-14480.156910340625</v>
      </c>
      <c r="X27" s="107">
        <f>-('R&amp;M'!$S$7+'R&amp;M'!$S$11+'R&amp;M'!$S$12)*X5</f>
        <v>-14480.156910340625</v>
      </c>
      <c r="Y27" s="107">
        <f>-('R&amp;M'!$S$7+'R&amp;M'!$S$11+'R&amp;M'!$S$12)*Y5</f>
        <v>-14480.156910340625</v>
      </c>
      <c r="Z27" s="107">
        <f>-('R&amp;M'!$S$7+'R&amp;M'!$S$11+'R&amp;M'!$S$12)*Z5</f>
        <v>-14480.156910340625</v>
      </c>
      <c r="AA27" s="739">
        <f>-('R&amp;M'!$S$7+'R&amp;M'!$S$11+'R&amp;M'!$S$12)*AA5</f>
        <v>-14480.156910340625</v>
      </c>
      <c r="AB27" s="107">
        <f>-('R&amp;M'!$S$7+'R&amp;M'!$S$11+'R&amp;M'!$S$12)*AB5</f>
        <v>-15392.406795692083</v>
      </c>
      <c r="AC27" s="107">
        <f>-('R&amp;M'!$S$7+'R&amp;M'!$S$11+'R&amp;M'!$S$12)*AC5</f>
        <v>-15392.406795692083</v>
      </c>
      <c r="AD27" s="107">
        <f>-('R&amp;M'!$S$7+'R&amp;M'!$S$11+'R&amp;M'!$S$12)*AD5</f>
        <v>-15392.406795692083</v>
      </c>
      <c r="AE27" s="107">
        <f>-('R&amp;M'!$S$7+'R&amp;M'!$S$11+'R&amp;M'!$S$12)*AE5</f>
        <v>-15392.406795692083</v>
      </c>
      <c r="AF27" s="107">
        <f>-('R&amp;M'!$S$7+'R&amp;M'!$S$11+'R&amp;M'!$S$12)*AF5</f>
        <v>-15392.406795692083</v>
      </c>
      <c r="AG27" s="107">
        <f>-('R&amp;M'!$S$7+'R&amp;M'!$S$11+'R&amp;M'!$S$12)*AG5</f>
        <v>-15392.406795692083</v>
      </c>
      <c r="AH27" s="107">
        <f>-('R&amp;M'!$S$7+'R&amp;M'!$S$11+'R&amp;M'!$S$12)*AH5</f>
        <v>-15392.406795692083</v>
      </c>
      <c r="AI27" s="107">
        <f>-('R&amp;M'!$S$7+'R&amp;M'!$S$11+'R&amp;M'!$S$12)*AI5</f>
        <v>-15392.406795692083</v>
      </c>
      <c r="AJ27" s="107">
        <f>-('R&amp;M'!$S$7+'R&amp;M'!$S$11+'R&amp;M'!$S$12)*AJ5</f>
        <v>-15392.406795692083</v>
      </c>
      <c r="AK27" s="107">
        <f>-('R&amp;M'!$S$7+'R&amp;M'!$S$11+'R&amp;M'!$S$12)*AK5</f>
        <v>-15392.406795692083</v>
      </c>
      <c r="AL27" s="107">
        <f>-('R&amp;M'!$S$7+'R&amp;M'!$S$11+'R&amp;M'!$S$12)*AL5</f>
        <v>-15392.406795692083</v>
      </c>
      <c r="AM27" s="739">
        <f>-('R&amp;M'!$S$7+'R&amp;M'!$S$11+'R&amp;M'!$S$12)*AM5</f>
        <v>-15392.406795692083</v>
      </c>
      <c r="AN27" s="107">
        <f>-('R&amp;M'!$S$7+'R&amp;M'!$S$11+'R&amp;M'!$S$12)*AN5</f>
        <v>-16362.128423820683</v>
      </c>
      <c r="AO27" s="107">
        <f>-('R&amp;M'!$S$7+'R&amp;M'!$S$11+'R&amp;M'!$S$12)*AO5</f>
        <v>-16362.128423820683</v>
      </c>
      <c r="AP27" s="107">
        <f>-('R&amp;M'!$S$7+'R&amp;M'!$S$11+'R&amp;M'!$S$12)*AP5</f>
        <v>-16362.128423820683</v>
      </c>
      <c r="AQ27" s="107">
        <f>-('R&amp;M'!$S$7+'R&amp;M'!$S$11+'R&amp;M'!$S$12)*AQ5</f>
        <v>-16362.128423820683</v>
      </c>
      <c r="AR27" s="107">
        <f>-('R&amp;M'!$S$7+'R&amp;M'!$S$11+'R&amp;M'!$S$12)*AR5</f>
        <v>-16362.128423820683</v>
      </c>
      <c r="AS27" s="107">
        <f>-('R&amp;M'!$S$7+'R&amp;M'!$S$11+'R&amp;M'!$S$12)*AS5</f>
        <v>-16362.128423820683</v>
      </c>
      <c r="AT27" s="107">
        <f>-('R&amp;M'!$S$7+'R&amp;M'!$S$11+'R&amp;M'!$S$12)*AT5</f>
        <v>-16362.128423820683</v>
      </c>
      <c r="AU27" s="107">
        <f>-('R&amp;M'!$S$7+'R&amp;M'!$S$11+'R&amp;M'!$S$12)*AU5</f>
        <v>-16362.128423820683</v>
      </c>
      <c r="AV27" s="107">
        <f>-('R&amp;M'!$S$7+'R&amp;M'!$S$11+'R&amp;M'!$S$12)*AV5</f>
        <v>-16362.128423820683</v>
      </c>
      <c r="AW27" s="107">
        <f>-('R&amp;M'!$S$7+'R&amp;M'!$S$11+'R&amp;M'!$S$12)*AW5</f>
        <v>-16362.128423820683</v>
      </c>
      <c r="AX27" s="107">
        <f>-('R&amp;M'!$S$7+'R&amp;M'!$S$11+'R&amp;M'!$S$12)*AX5</f>
        <v>-16362.128423820683</v>
      </c>
      <c r="AY27" s="739">
        <f>-('R&amp;M'!$S$7+'R&amp;M'!$S$11+'R&amp;M'!$S$12)*AY5</f>
        <v>-16362.128423820683</v>
      </c>
      <c r="AZ27" s="107">
        <f>-('R&amp;M'!$S$7+'R&amp;M'!$S$11+'R&amp;M'!$S$12)*AZ5</f>
        <v>-17392.942514521383</v>
      </c>
      <c r="BA27" s="107">
        <f>-('R&amp;M'!$S$7+'R&amp;M'!$S$11+'R&amp;M'!$S$12)*BA5</f>
        <v>-17392.942514521383</v>
      </c>
      <c r="BB27" s="107">
        <f>-('R&amp;M'!$S$7+'R&amp;M'!$S$11+'R&amp;M'!$S$12)*BB5</f>
        <v>-17392.942514521383</v>
      </c>
      <c r="BC27" s="107">
        <f>-('R&amp;M'!$S$7+'R&amp;M'!$S$11+'R&amp;M'!$S$12)*BC5</f>
        <v>-17392.942514521383</v>
      </c>
      <c r="BD27" s="107">
        <f>-('R&amp;M'!$S$7+'R&amp;M'!$S$11+'R&amp;M'!$S$12)*BD5</f>
        <v>-17392.942514521383</v>
      </c>
      <c r="BE27" s="107">
        <f>-('R&amp;M'!$S$7+'R&amp;M'!$S$11+'R&amp;M'!$S$12)*BE5</f>
        <v>-17392.942514521383</v>
      </c>
      <c r="BF27" s="107">
        <f>-('R&amp;M'!$S$7+'R&amp;M'!$S$11+'R&amp;M'!$S$12)*BF5</f>
        <v>-17392.942514521383</v>
      </c>
      <c r="BG27" s="107">
        <f>-('R&amp;M'!$S$7+'R&amp;M'!$S$11+'R&amp;M'!$S$12)*BG5</f>
        <v>-17392.942514521383</v>
      </c>
      <c r="BH27" s="107">
        <f>-('R&amp;M'!$S$7+'R&amp;M'!$S$11+'R&amp;M'!$S$12)*BH5</f>
        <v>-17392.942514521383</v>
      </c>
      <c r="BI27" s="107">
        <f>-('R&amp;M'!$S$7+'R&amp;M'!$S$11+'R&amp;M'!$S$12)*BI5</f>
        <v>-17392.942514521383</v>
      </c>
      <c r="BJ27" s="107">
        <f>-('R&amp;M'!$S$7+'R&amp;M'!$S$11+'R&amp;M'!$S$12)*BJ5</f>
        <v>-17392.942514521383</v>
      </c>
      <c r="BK27" s="739">
        <f>-('R&amp;M'!$S$7+'R&amp;M'!$S$11+'R&amp;M'!$S$12)*BK5</f>
        <v>-17392.942514521383</v>
      </c>
      <c r="BL27" s="107">
        <f>-('R&amp;M'!$S$7+'R&amp;M'!$S$11+'R&amp;M'!$S$12)*BL5</f>
        <v>-18488.69789293623</v>
      </c>
      <c r="BM27" s="107">
        <f>-('R&amp;M'!$S$7+'R&amp;M'!$S$11+'R&amp;M'!$S$12)*BM5</f>
        <v>-18488.69789293623</v>
      </c>
      <c r="BN27" s="107">
        <f>-('R&amp;M'!$S$7+'R&amp;M'!$S$11+'R&amp;M'!$S$12)*BN5</f>
        <v>-18488.69789293623</v>
      </c>
      <c r="BO27" s="107">
        <f>-('R&amp;M'!$S$7+'R&amp;M'!$S$11+'R&amp;M'!$S$12)*BO5</f>
        <v>-18488.69789293623</v>
      </c>
      <c r="BP27" s="107">
        <f>-('R&amp;M'!$S$7+'R&amp;M'!$S$11+'R&amp;M'!$S$12)*BP5</f>
        <v>-18488.69789293623</v>
      </c>
      <c r="BQ27" s="107">
        <f>-('R&amp;M'!$S$7+'R&amp;M'!$S$11+'R&amp;M'!$S$12)*BQ5</f>
        <v>-18488.69789293623</v>
      </c>
      <c r="BR27" s="107">
        <f>-('R&amp;M'!$S$7+'R&amp;M'!$S$11+'R&amp;M'!$S$12)*BR5</f>
        <v>-18488.69789293623</v>
      </c>
      <c r="BS27" s="107">
        <f>-('R&amp;M'!$S$7+'R&amp;M'!$S$11+'R&amp;M'!$S$12)*BS5</f>
        <v>-18488.69789293623</v>
      </c>
      <c r="BT27" s="107">
        <f>-('R&amp;M'!$S$7+'R&amp;M'!$S$11+'R&amp;M'!$S$12)*BT5</f>
        <v>-18488.69789293623</v>
      </c>
      <c r="BU27" s="107">
        <f>-('R&amp;M'!$S$7+'R&amp;M'!$S$11+'R&amp;M'!$S$12)*BU5</f>
        <v>-18488.69789293623</v>
      </c>
      <c r="BV27" s="107">
        <f>-('R&amp;M'!$S$7+'R&amp;M'!$S$11+'R&amp;M'!$S$12)*BV5</f>
        <v>-18488.69789293623</v>
      </c>
      <c r="BW27" s="739">
        <f>-('R&amp;M'!$S$7+'R&amp;M'!$S$11+'R&amp;M'!$S$12)*BW5</f>
        <v>-18488.69789293623</v>
      </c>
      <c r="BX27" s="107">
        <f>-('R&amp;M'!$S$7+'R&amp;M'!$S$11+'R&amp;M'!$S$12)*BX5</f>
        <v>-19653.485860191213</v>
      </c>
      <c r="BY27" s="107">
        <f>-('R&amp;M'!$S$7+'R&amp;M'!$S$11+'R&amp;M'!$S$12)*BY5</f>
        <v>-19653.485860191213</v>
      </c>
      <c r="BZ27" s="107">
        <f>-('R&amp;M'!$S$7+'R&amp;M'!$S$11+'R&amp;M'!$S$12)*BZ5</f>
        <v>-19653.485860191213</v>
      </c>
      <c r="CA27" s="107">
        <f>-('R&amp;M'!$S$7+'R&amp;M'!$S$11+'R&amp;M'!$S$12)*CA5</f>
        <v>-19653.485860191213</v>
      </c>
      <c r="CB27" s="107">
        <f>-('R&amp;M'!$S$7+'R&amp;M'!$S$11+'R&amp;M'!$S$12)*CB5</f>
        <v>-19653.485860191213</v>
      </c>
      <c r="CC27" s="107">
        <f>-('R&amp;M'!$S$7+'R&amp;M'!$S$11+'R&amp;M'!$S$12)*CC5</f>
        <v>-19653.485860191213</v>
      </c>
      <c r="CD27" s="107">
        <f>-('R&amp;M'!$S$7+'R&amp;M'!$S$11+'R&amp;M'!$S$12)*CD5</f>
        <v>-19653.485860191213</v>
      </c>
      <c r="CE27" s="107">
        <f>-('R&amp;M'!$S$7+'R&amp;M'!$S$11+'R&amp;M'!$S$12)*CE5</f>
        <v>-19653.485860191213</v>
      </c>
      <c r="CF27" s="107">
        <f>-('R&amp;M'!$S$7+'R&amp;M'!$S$11+'R&amp;M'!$S$12)*CF5</f>
        <v>-19653.485860191213</v>
      </c>
      <c r="CG27" s="107">
        <f>-('R&amp;M'!$S$7+'R&amp;M'!$S$11+'R&amp;M'!$S$12)*CG5</f>
        <v>-19653.485860191213</v>
      </c>
      <c r="CH27" s="107">
        <f>-('R&amp;M'!$S$7+'R&amp;M'!$S$11+'R&amp;M'!$S$12)*CH5</f>
        <v>-19653.485860191213</v>
      </c>
      <c r="CI27" s="739">
        <f>-('R&amp;M'!$S$7+'R&amp;M'!$S$11+'R&amp;M'!$S$12)*CI5</f>
        <v>-19653.485860191213</v>
      </c>
      <c r="CJ27" s="107">
        <f>-('R&amp;M'!$S$7+'R&amp;M'!$S$11+'R&amp;M'!$S$12)*CJ5</f>
        <v>-20891.655469383259</v>
      </c>
      <c r="CK27" s="107">
        <f>-('R&amp;M'!$S$7+'R&amp;M'!$S$11+'R&amp;M'!$S$12)*CK5</f>
        <v>-20891.655469383259</v>
      </c>
      <c r="CL27" s="107">
        <f>-('R&amp;M'!$S$7+'R&amp;M'!$S$11+'R&amp;M'!$S$12)*CL5</f>
        <v>-20891.655469383259</v>
      </c>
      <c r="CM27" s="107">
        <f>-('R&amp;M'!$S$7+'R&amp;M'!$S$11+'R&amp;M'!$S$12)*CM5</f>
        <v>-20891.655469383259</v>
      </c>
      <c r="CN27" s="107">
        <f>-('R&amp;M'!$S$7+'R&amp;M'!$S$11+'R&amp;M'!$S$12)*CN5</f>
        <v>-20891.655469383259</v>
      </c>
      <c r="CO27" s="107">
        <f>-('R&amp;M'!$S$7+'R&amp;M'!$S$11+'R&amp;M'!$S$12)*CO5</f>
        <v>-20891.655469383259</v>
      </c>
      <c r="CP27" s="107">
        <f>-('R&amp;M'!$S$7+'R&amp;M'!$S$11+'R&amp;M'!$S$12)*CP5</f>
        <v>-20891.655469383259</v>
      </c>
      <c r="CQ27" s="107">
        <f>-('R&amp;M'!$S$7+'R&amp;M'!$S$11+'R&amp;M'!$S$12)*CQ5</f>
        <v>-20891.655469383259</v>
      </c>
      <c r="CR27" s="107">
        <f>-('R&amp;M'!$S$7+'R&amp;M'!$S$11+'R&amp;M'!$S$12)*CR5</f>
        <v>-20891.655469383259</v>
      </c>
      <c r="CS27" s="107">
        <f>-('R&amp;M'!$S$7+'R&amp;M'!$S$11+'R&amp;M'!$S$12)*CS5</f>
        <v>-20891.655469383259</v>
      </c>
      <c r="CT27" s="107">
        <f>-('R&amp;M'!$S$7+'R&amp;M'!$S$11+'R&amp;M'!$S$12)*CT5</f>
        <v>-20891.655469383259</v>
      </c>
      <c r="CU27" s="739">
        <f>-('R&amp;M'!$S$7+'R&amp;M'!$S$11+'R&amp;M'!$S$12)*CU5</f>
        <v>-20891.655469383259</v>
      </c>
      <c r="CV27" s="107">
        <f>-('R&amp;M'!$S$7+'R&amp;M'!$S$11+'R&amp;M'!$S$12)*CV5</f>
        <v>-22207.829763954403</v>
      </c>
      <c r="CW27" s="107">
        <f>-('R&amp;M'!$S$7+'R&amp;M'!$S$11+'R&amp;M'!$S$12)*CW5</f>
        <v>-22207.829763954403</v>
      </c>
      <c r="CX27" s="107">
        <f>-('R&amp;M'!$S$7+'R&amp;M'!$S$11+'R&amp;M'!$S$12)*CX5</f>
        <v>-22207.829763954403</v>
      </c>
      <c r="CY27" s="107">
        <f>-('R&amp;M'!$S$7+'R&amp;M'!$S$11+'R&amp;M'!$S$12)*CY5</f>
        <v>-22207.829763954403</v>
      </c>
      <c r="CZ27" s="107">
        <f>-('R&amp;M'!$S$7+'R&amp;M'!$S$11+'R&amp;M'!$S$12)*CZ5</f>
        <v>-22207.829763954403</v>
      </c>
      <c r="DA27" s="107">
        <f>-('R&amp;M'!$S$7+'R&amp;M'!$S$11+'R&amp;M'!$S$12)*DA5</f>
        <v>-22207.829763954403</v>
      </c>
      <c r="DB27" s="107">
        <f>-('R&amp;M'!$S$7+'R&amp;M'!$S$11+'R&amp;M'!$S$12)*DB5</f>
        <v>-22207.829763954403</v>
      </c>
      <c r="DC27" s="107">
        <f>-('R&amp;M'!$S$7+'R&amp;M'!$S$11+'R&amp;M'!$S$12)*DC5</f>
        <v>-22207.829763954403</v>
      </c>
      <c r="DD27" s="107">
        <f>-('R&amp;M'!$S$7+'R&amp;M'!$S$11+'R&amp;M'!$S$12)*DD5</f>
        <v>-22207.829763954403</v>
      </c>
      <c r="DE27" s="107">
        <f>-('R&amp;M'!$S$7+'R&amp;M'!$S$11+'R&amp;M'!$S$12)*DE5</f>
        <v>-22207.829763954403</v>
      </c>
      <c r="DF27" s="107">
        <f>-('R&amp;M'!$S$7+'R&amp;M'!$S$11+'R&amp;M'!$S$12)*DF5</f>
        <v>-22207.829763954403</v>
      </c>
      <c r="DG27" s="739">
        <f>-('R&amp;M'!$S$7+'R&amp;M'!$S$11+'R&amp;M'!$S$12)*DG5</f>
        <v>-22207.829763954403</v>
      </c>
      <c r="DH27" s="107">
        <f>-('R&amp;M'!$S$7+'R&amp;M'!$S$11+'R&amp;M'!$S$12)*DH5</f>
        <v>-23606.923039083529</v>
      </c>
      <c r="DI27" s="107">
        <f>-('R&amp;M'!$S$7+'R&amp;M'!$S$11+'R&amp;M'!$S$12)*DI5</f>
        <v>-23606.923039083529</v>
      </c>
      <c r="DJ27" s="107">
        <f>-('R&amp;M'!$S$7+'R&amp;M'!$S$11+'R&amp;M'!$S$12)*DJ5</f>
        <v>-23606.923039083529</v>
      </c>
      <c r="DK27" s="107">
        <f>-('R&amp;M'!$S$7+'R&amp;M'!$S$11+'R&amp;M'!$S$12)*DK5</f>
        <v>-23606.923039083529</v>
      </c>
      <c r="DL27" s="107">
        <f>-('R&amp;M'!$S$7+'R&amp;M'!$S$11+'R&amp;M'!$S$12)*DL5</f>
        <v>-23606.923039083529</v>
      </c>
      <c r="DM27" s="107">
        <f>-('R&amp;M'!$S$7+'R&amp;M'!$S$11+'R&amp;M'!$S$12)*DM5</f>
        <v>-23606.923039083529</v>
      </c>
      <c r="DN27" s="107">
        <f>-('R&amp;M'!$S$7+'R&amp;M'!$S$11+'R&amp;M'!$S$12)*DN5</f>
        <v>-23606.923039083529</v>
      </c>
      <c r="DO27" s="107">
        <f>-('R&amp;M'!$S$7+'R&amp;M'!$S$11+'R&amp;M'!$S$12)*DO5</f>
        <v>-23606.923039083529</v>
      </c>
      <c r="DP27" s="107">
        <f>-('R&amp;M'!$S$7+'R&amp;M'!$S$11+'R&amp;M'!$S$12)*DP5</f>
        <v>-23606.923039083529</v>
      </c>
      <c r="DQ27" s="107">
        <f>-('R&amp;M'!$S$7+'R&amp;M'!$S$11+'R&amp;M'!$S$12)*DQ5</f>
        <v>-23606.923039083529</v>
      </c>
      <c r="DR27" s="107">
        <f>-('R&amp;M'!$S$7+'R&amp;M'!$S$11+'R&amp;M'!$S$12)*DR5</f>
        <v>-23606.923039083529</v>
      </c>
      <c r="DS27" s="739">
        <f>-('R&amp;M'!$S$7+'R&amp;M'!$S$11+'R&amp;M'!$S$12)*DS5</f>
        <v>-23606.923039083529</v>
      </c>
      <c r="DT27" s="832"/>
    </row>
    <row r="28" spans="1:124" ht="15" x14ac:dyDescent="0.25">
      <c r="B28" s="160" t="s">
        <v>554</v>
      </c>
      <c r="C28" s="7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97"/>
      <c r="P28" s="345"/>
      <c r="Q28" s="107">
        <f>-'Summary Bioplan'!R78*Assumptions!$C$50*Q5</f>
        <v>-242.70351463143999</v>
      </c>
      <c r="R28" s="107">
        <f>-'Summary Bioplan'!S78*Assumptions!$C$50*R5</f>
        <v>-446.1771341692799</v>
      </c>
      <c r="S28" s="107">
        <f>-'Summary Bioplan'!T78*Assumptions!$C$50*S5</f>
        <v>-447.69858449053646</v>
      </c>
      <c r="T28" s="107">
        <f>-'Summary Bioplan'!U78*Assumptions!$C$50*T5</f>
        <v>-718.344293447464</v>
      </c>
      <c r="U28" s="107">
        <f>-'Summary Bioplan'!V78*Assumptions!$C$50*U5</f>
        <v>-851.26052645393088</v>
      </c>
      <c r="V28" s="107">
        <f>-'Summary Bioplan'!W78*Assumptions!$C$50*V5</f>
        <v>-559.11940515283231</v>
      </c>
      <c r="W28" s="107">
        <f>-'Summary Bioplan'!X78*Assumptions!$C$50*W5</f>
        <v>-852.24580977020776</v>
      </c>
      <c r="X28" s="107">
        <f>-'Summary Bioplan'!Y78*Assumptions!$C$50*X5</f>
        <v>-1004.055121096906</v>
      </c>
      <c r="Y28" s="107">
        <f>-'Summary Bioplan'!Z78*Assumptions!$C$50*Y5</f>
        <v>-705.02370832256611</v>
      </c>
      <c r="Z28" s="107">
        <f>-'Summary Bioplan'!AA78*Assumptions!$C$50*Z5</f>
        <v>-1046.5884994003611</v>
      </c>
      <c r="AA28" s="739">
        <f>-'Summary Bioplan'!AB78*Assumptions!$C$50*AA5</f>
        <v>-1220.1095450624441</v>
      </c>
      <c r="AB28" s="107">
        <f>-'Summary Bioplan'!AC78*Assumptions!$C$50*AB5</f>
        <v>-980.72176211867964</v>
      </c>
      <c r="AC28" s="107">
        <f>-'Summary Bioplan'!AD78*Assumptions!$C$50*AC5</f>
        <v>-1359.5115083714654</v>
      </c>
      <c r="AD28" s="107">
        <f>-'Summary Bioplan'!AE78*Assumptions!$C$50*AD5</f>
        <v>-1563.1236363686196</v>
      </c>
      <c r="AE28" s="107">
        <f>-'Summary Bioplan'!AF78*Assumptions!$C$50*AE5</f>
        <v>-1338.0467427866881</v>
      </c>
      <c r="AF28" s="107">
        <f>-'Summary Bioplan'!AG78*Assumptions!$C$50*AF5</f>
        <v>-1753.5086048694941</v>
      </c>
      <c r="AG28" s="107">
        <f>-'Summary Bioplan'!AH78*Assumptions!$C$50*AG5</f>
        <v>-2035.7795019750429</v>
      </c>
      <c r="AH28" s="107">
        <f>-'Summary Bioplan'!AI78*Assumptions!$C$50*AH5</f>
        <v>-1881.037790910558</v>
      </c>
      <c r="AI28" s="107">
        <f>-'Summary Bioplan'!AJ78*Assumptions!$C$50*AI5</f>
        <v>-2359.9300379538945</v>
      </c>
      <c r="AJ28" s="107">
        <f>-'Summary Bioplan'!AK78*Assumptions!$C$50*AJ5</f>
        <v>-2706.7154227396086</v>
      </c>
      <c r="AK28" s="107">
        <f>-'Summary Bioplan'!AL78*Assumptions!$C$50*AK5</f>
        <v>-2584.9653244347141</v>
      </c>
      <c r="AL28" s="107">
        <f>-'Summary Bioplan'!AM78*Assumptions!$C$50*AL5</f>
        <v>-2891.4002421531559</v>
      </c>
      <c r="AM28" s="739">
        <f>-'Summary Bioplan'!AN78*Assumptions!$C$50*AM5</f>
        <v>-2983.7455180653305</v>
      </c>
      <c r="AN28" s="107">
        <f>-'Summary Bioplan'!AO78*Assumptions!$C$50*AN5</f>
        <v>-2741.4393062290956</v>
      </c>
      <c r="AO28" s="107">
        <f>-'Summary Bioplan'!AP78*Assumptions!$C$50*AO5</f>
        <v>-3043.0373232212187</v>
      </c>
      <c r="AP28" s="107">
        <f>-'Summary Bioplan'!AQ78*Assumptions!$C$50*AP5</f>
        <v>-3108.0822033745721</v>
      </c>
      <c r="AQ28" s="107">
        <f>-'Summary Bioplan'!AR78*Assumptions!$C$50*AQ5</f>
        <v>-2741.6568578930815</v>
      </c>
      <c r="AR28" s="107">
        <f>-'Summary Bioplan'!AS78*Assumptions!$C$50*AR5</f>
        <v>-3022.4395347456548</v>
      </c>
      <c r="AS28" s="107">
        <f>-'Summary Bioplan'!AT78*Assumptions!$C$50*AS5</f>
        <v>-3114.1683349785826</v>
      </c>
      <c r="AT28" s="107">
        <f>-'Summary Bioplan'!AU78*Assumptions!$C$50*AT5</f>
        <v>-2756.2620344597285</v>
      </c>
      <c r="AU28" s="107">
        <f>-'Summary Bioplan'!AV78*Assumptions!$C$50*AU5</f>
        <v>-3047.2340040211297</v>
      </c>
      <c r="AV28" s="107">
        <f>-'Summary Bioplan'!AW78*Assumptions!$C$50*AV5</f>
        <v>-3142.5685835310637</v>
      </c>
      <c r="AW28" s="107">
        <f>-'Summary Bioplan'!AX78*Assumptions!$C$50*AW5</f>
        <v>-2747.8181398741008</v>
      </c>
      <c r="AX28" s="107">
        <f>-'Summary Bioplan'!AY78*Assumptions!$C$50*AX5</f>
        <v>-3338.8885465676644</v>
      </c>
      <c r="AY28" s="739">
        <f>-'Summary Bioplan'!AZ78*Assumptions!$C$50*AY5</f>
        <v>-3171.7214857034464</v>
      </c>
      <c r="AZ28" s="107">
        <f>-'Summary Bioplan'!BA78*Assumptions!$C$50*AZ5</f>
        <v>-2914.1499825215283</v>
      </c>
      <c r="BA28" s="107">
        <f>-'Summary Bioplan'!BB78*Assumptions!$C$50*BA5</f>
        <v>-3234.7486745841547</v>
      </c>
      <c r="BB28" s="107">
        <f>-'Summary Bioplan'!BC78*Assumptions!$C$50*BB5</f>
        <v>-3303.8913821871697</v>
      </c>
      <c r="BC28" s="107">
        <f>-'Summary Bioplan'!BD78*Assumptions!$C$50*BC5</f>
        <v>-2914.381239940345</v>
      </c>
      <c r="BD28" s="107">
        <f>-'Summary Bioplan'!BE78*Assumptions!$C$50*BD5</f>
        <v>-3212.8532254346305</v>
      </c>
      <c r="BE28" s="107">
        <f>-'Summary Bioplan'!BF78*Assumptions!$C$50*BE5</f>
        <v>-3310.3609400822329</v>
      </c>
      <c r="BF28" s="107">
        <f>-'Summary Bioplan'!BG78*Assumptions!$C$50*BF5</f>
        <v>-2929.9065426306911</v>
      </c>
      <c r="BG28" s="107">
        <f>-'Summary Bioplan'!BH78*Assumptions!$C$50*BG5</f>
        <v>-3239.2097462744609</v>
      </c>
      <c r="BH28" s="107">
        <f>-'Summary Bioplan'!BI78*Assumptions!$C$50*BH5</f>
        <v>-3340.5504042935204</v>
      </c>
      <c r="BI28" s="107">
        <f>-'Summary Bioplan'!BJ78*Assumptions!$C$50*BI5</f>
        <v>-2920.9306826861689</v>
      </c>
      <c r="BJ28" s="107">
        <f>-'Summary Bioplan'!BK78*Assumptions!$C$50*BJ5</f>
        <v>-3549.2385250014272</v>
      </c>
      <c r="BK28" s="739">
        <f>-'Summary Bioplan'!BL78*Assumptions!$C$50*BK5</f>
        <v>-3371.5399393027633</v>
      </c>
      <c r="BL28" s="107">
        <f>-'Summary Bioplan'!BM78*Assumptions!$C$50*BL5</f>
        <v>-3097.7414314203843</v>
      </c>
      <c r="BM28" s="107">
        <f>-'Summary Bioplan'!BN78*Assumptions!$C$50*BM5</f>
        <v>-3438.5378410829567</v>
      </c>
      <c r="BN28" s="107">
        <f>-'Summary Bioplan'!BO78*Assumptions!$C$50*BN5</f>
        <v>-3512.0365392649614</v>
      </c>
      <c r="BO28" s="107">
        <f>-'Summary Bioplan'!BP78*Assumptions!$C$50*BO5</f>
        <v>-3097.9872580565866</v>
      </c>
      <c r="BP28" s="107">
        <f>-'Summary Bioplan'!BQ78*Assumptions!$C$50*BP5</f>
        <v>-3415.2629786370121</v>
      </c>
      <c r="BQ28" s="107">
        <f>-'Summary Bioplan'!BR78*Assumptions!$C$50*BQ5</f>
        <v>-3518.9136793074135</v>
      </c>
      <c r="BR28" s="107">
        <f>-'Summary Bioplan'!BS78*Assumptions!$C$50*BR5</f>
        <v>-3114.4906548164245</v>
      </c>
      <c r="BS28" s="107">
        <f>-'Summary Bioplan'!BT78*Assumptions!$C$50*BS5</f>
        <v>-3443.2799602897517</v>
      </c>
      <c r="BT28" s="107">
        <f>-'Summary Bioplan'!BU78*Assumptions!$C$50*BT5</f>
        <v>-3551.005079764012</v>
      </c>
      <c r="BU28" s="107">
        <f>-'Summary Bioplan'!BV78*Assumptions!$C$50*BU5</f>
        <v>-3104.9493156953972</v>
      </c>
      <c r="BV28" s="107">
        <f>-'Summary Bioplan'!BW78*Assumptions!$C$50*BV5</f>
        <v>-3772.8405520765168</v>
      </c>
      <c r="BW28" s="739">
        <f>-'Summary Bioplan'!BX78*Assumptions!$C$50*BW5</f>
        <v>-3583.946955478837</v>
      </c>
      <c r="BX28" s="107">
        <f>-'Summary Bioplan'!BY78*Assumptions!$C$50*BX5</f>
        <v>-3292.8991415998685</v>
      </c>
      <c r="BY28" s="107">
        <f>-'Summary Bioplan'!BZ78*Assumptions!$C$50*BY5</f>
        <v>-3655.1657250711828</v>
      </c>
      <c r="BZ28" s="107">
        <f>-'Summary Bioplan'!CA78*Assumptions!$C$50*BZ5</f>
        <v>-3733.2948412386536</v>
      </c>
      <c r="CA28" s="107">
        <f>-'Summary Bioplan'!CB78*Assumptions!$C$50*CA5</f>
        <v>-3293.1604553141515</v>
      </c>
      <c r="CB28" s="107">
        <f>-'Summary Bioplan'!CC78*Assumptions!$C$50*CB5</f>
        <v>-3630.424546291144</v>
      </c>
      <c r="CC28" s="107">
        <f>-'Summary Bioplan'!CD78*Assumptions!$C$50*CC5</f>
        <v>-3740.6052411037808</v>
      </c>
      <c r="CD28" s="107">
        <f>-'Summary Bioplan'!CE78*Assumptions!$C$50*CD5</f>
        <v>-3310.7035660698593</v>
      </c>
      <c r="CE28" s="107">
        <f>-'Summary Bioplan'!CF78*Assumptions!$C$50*CE5</f>
        <v>-3660.2065977880061</v>
      </c>
      <c r="CF28" s="107">
        <f>-'Summary Bioplan'!CG78*Assumptions!$C$50*CF5</f>
        <v>-3774.7183997891448</v>
      </c>
      <c r="CG28" s="107">
        <f>-'Summary Bioplan'!CH78*Assumptions!$C$50*CG5</f>
        <v>-3300.5611225842072</v>
      </c>
      <c r="CH28" s="107">
        <f>-'Summary Bioplan'!CI78*Assumptions!$C$50*CH5</f>
        <v>-4010.5295068573373</v>
      </c>
      <c r="CI28" s="739">
        <f>-'Summary Bioplan'!CJ78*Assumptions!$C$50*CI5</f>
        <v>-3809.7356136740036</v>
      </c>
      <c r="CJ28" s="107">
        <f>-'Summary Bioplan'!CK78*Assumptions!$C$50*CJ5</f>
        <v>-3500.3517875206603</v>
      </c>
      <c r="CK28" s="107">
        <f>-'Summary Bioplan'!CL78*Assumptions!$C$50*CK5</f>
        <v>-3885.4411657506671</v>
      </c>
      <c r="CL28" s="107">
        <f>-'Summary Bioplan'!CM78*Assumptions!$C$50*CL5</f>
        <v>-3968.4924162366888</v>
      </c>
      <c r="CM28" s="107">
        <f>-'Summary Bioplan'!CN78*Assumptions!$C$50*CM5</f>
        <v>-3500.629563998943</v>
      </c>
      <c r="CN28" s="107">
        <f>-'Summary Bioplan'!CO78*Assumptions!$C$50*CN5</f>
        <v>-3859.1412927074857</v>
      </c>
      <c r="CO28" s="107">
        <f>-'Summary Bioplan'!CP78*Assumptions!$C$50*CO5</f>
        <v>-3976.2633712933189</v>
      </c>
      <c r="CP28" s="107">
        <f>-'Summary Bioplan'!CQ78*Assumptions!$C$50*CP5</f>
        <v>-3519.2778907322604</v>
      </c>
      <c r="CQ28" s="107">
        <f>-'Summary Bioplan'!CR78*Assumptions!$C$50*CQ5</f>
        <v>-3890.7996134486502</v>
      </c>
      <c r="CR28" s="107">
        <f>-'Summary Bioplan'!CS78*Assumptions!$C$50*CR5</f>
        <v>-4012.525658975861</v>
      </c>
      <c r="CS28" s="107">
        <f>-'Summary Bioplan'!CT78*Assumptions!$C$50*CS5</f>
        <v>-3508.4964733070124</v>
      </c>
      <c r="CT28" s="107">
        <f>-'Summary Bioplan'!CU78*Assumptions!$C$50*CT5</f>
        <v>-4263.1928657893495</v>
      </c>
      <c r="CU28" s="739">
        <f>-'Summary Bioplan'!CV78*Assumptions!$C$50*CU5</f>
        <v>-4049.748957335466</v>
      </c>
      <c r="CV28" s="107">
        <f>-'Summary Bioplan'!CW78*Assumptions!$C$50*CV5</f>
        <v>-3720.8739501344617</v>
      </c>
      <c r="CW28" s="107">
        <f>-'Summary Bioplan'!CX78*Assumptions!$C$50*CW5</f>
        <v>-4130.2239591929592</v>
      </c>
      <c r="CX28" s="107">
        <f>-'Summary Bioplan'!CY78*Assumptions!$C$50*CX5</f>
        <v>-4218.5074384596001</v>
      </c>
      <c r="CY28" s="107">
        <f>-'Summary Bioplan'!CZ78*Assumptions!$C$50*CY5</f>
        <v>-3721.1692265308761</v>
      </c>
      <c r="CZ28" s="107">
        <f>-'Summary Bioplan'!DA78*Assumptions!$C$50*CZ5</f>
        <v>-4102.2671941480576</v>
      </c>
      <c r="DA28" s="107">
        <f>-'Summary Bioplan'!DB78*Assumptions!$C$50*DA5</f>
        <v>-4226.7679636847979</v>
      </c>
      <c r="DB28" s="107">
        <f>-'Summary Bioplan'!DC78*Assumptions!$C$50*DB5</f>
        <v>-3740.9923978483926</v>
      </c>
      <c r="DC28" s="107">
        <f>-'Summary Bioplan'!DD78*Assumptions!$C$50*DC5</f>
        <v>-4135.9199890959153</v>
      </c>
      <c r="DD28" s="107">
        <f>-'Summary Bioplan'!DE78*Assumptions!$C$50*DD5</f>
        <v>-4265.3147754913398</v>
      </c>
      <c r="DE28" s="107">
        <f>-'Summary Bioplan'!DF78*Assumptions!$C$50*DE5</f>
        <v>-3729.5317511253538</v>
      </c>
      <c r="DF28" s="107">
        <f>-'Summary Bioplan'!DG78*Assumptions!$C$50*DF5</f>
        <v>-4531.7740163340777</v>
      </c>
      <c r="DG28" s="739">
        <f>-'Summary Bioplan'!DH78*Assumptions!$C$50*DG5</f>
        <v>-4304.8831416475996</v>
      </c>
      <c r="DH28" s="107">
        <f>-'Summary Bioplan'!DI78*Assumptions!$C$50*DH5</f>
        <v>-3955.2890089929324</v>
      </c>
      <c r="DI28" s="107">
        <f>-'Summary Bioplan'!DJ78*Assumptions!$C$50*DI5</f>
        <v>-4390.4280686221155</v>
      </c>
      <c r="DJ28" s="107">
        <f>-'Summary Bioplan'!DK78*Assumptions!$C$50*DJ5</f>
        <v>-4484.2734070825545</v>
      </c>
      <c r="DK28" s="107">
        <f>-'Summary Bioplan'!DL78*Assumptions!$C$50*DK5</f>
        <v>-3955.6028878023217</v>
      </c>
      <c r="DL28" s="107">
        <f>-'Summary Bioplan'!DM78*Assumptions!$C$50*DL5</f>
        <v>-4360.7100273793849</v>
      </c>
      <c r="DM28" s="107">
        <f>-'Summary Bioplan'!DN78*Assumptions!$C$50*DM5</f>
        <v>-4493.0543453969394</v>
      </c>
      <c r="DN28" s="107">
        <f>-'Summary Bioplan'!DO78*Assumptions!$C$50*DN5</f>
        <v>-3976.6749189128413</v>
      </c>
      <c r="DO28" s="107">
        <f>-'Summary Bioplan'!DP78*Assumptions!$C$50*DO5</f>
        <v>-4396.4829484089578</v>
      </c>
      <c r="DP28" s="107">
        <f>-'Summary Bioplan'!DQ78*Assumptions!$C$50*DP5</f>
        <v>-4534.0296063472942</v>
      </c>
      <c r="DQ28" s="107">
        <f>-'Summary Bioplan'!DR78*Assumptions!$C$50*DQ5</f>
        <v>-3964.492251446251</v>
      </c>
      <c r="DR28" s="107">
        <f>-'Summary Bioplan'!DS78*Assumptions!$C$50*DR5</f>
        <v>-4753.3279589172107</v>
      </c>
      <c r="DS28" s="739">
        <f>-'Summary Bioplan'!DT78*Assumptions!$C$50*DS5</f>
        <v>-4397.7616242878903</v>
      </c>
      <c r="DT28" s="832"/>
    </row>
    <row r="29" spans="1:124" s="886" customFormat="1" ht="15" x14ac:dyDescent="0.25">
      <c r="B29" s="836" t="s">
        <v>1473</v>
      </c>
      <c r="C29" s="833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97"/>
      <c r="P29" s="345"/>
      <c r="Q29" s="107">
        <f>Assumptions!$C$54*Assumptions!$C$53*-Q5</f>
        <v>-9437.2379118624976</v>
      </c>
      <c r="R29" s="107">
        <f>Assumptions!$C$54*Assumptions!$C$53*-R5</f>
        <v>-9437.2379118624976</v>
      </c>
      <c r="S29" s="107">
        <f>Assumptions!$C$54*Assumptions!$C$53*-S5</f>
        <v>-9437.2379118624976</v>
      </c>
      <c r="T29" s="107">
        <f>Assumptions!$C$54*Assumptions!$C$53*-T5</f>
        <v>-9437.2379118624976</v>
      </c>
      <c r="U29" s="107">
        <f>Assumptions!$C$54*Assumptions!$C$53*-U5</f>
        <v>-9437.2379118624976</v>
      </c>
      <c r="V29" s="107">
        <f>Assumptions!$C$54*Assumptions!$C$53*-V5</f>
        <v>-9437.2379118624976</v>
      </c>
      <c r="W29" s="107">
        <f>Assumptions!$C$54*Assumptions!$C$53*-W5</f>
        <v>-9437.2379118624976</v>
      </c>
      <c r="X29" s="107">
        <f>Assumptions!$C$54*Assumptions!$C$53*-X5</f>
        <v>-9437.2379118624976</v>
      </c>
      <c r="Y29" s="107">
        <f>Assumptions!$C$54*Assumptions!$C$53*-Y5</f>
        <v>-9437.2379118624976</v>
      </c>
      <c r="Z29" s="107">
        <f>Assumptions!$C$54*Assumptions!$C$53*-Z5</f>
        <v>-9437.2379118624976</v>
      </c>
      <c r="AA29" s="739">
        <f>Assumptions!$C$54*Assumptions!$C$53*-AA5</f>
        <v>-9437.2379118624976</v>
      </c>
      <c r="AB29" s="107">
        <f>Assumptions!$C$54*Assumptions!$C$53*-AB5</f>
        <v>-10031.783900309832</v>
      </c>
      <c r="AC29" s="107">
        <f>Assumptions!$C$54*Assumptions!$C$53*-AC5</f>
        <v>-10031.783900309832</v>
      </c>
      <c r="AD29" s="107">
        <f>Assumptions!$C$54*Assumptions!$C$53*-AD5</f>
        <v>-10031.783900309832</v>
      </c>
      <c r="AE29" s="107">
        <f>Assumptions!$C$54*Assumptions!$C$53*-AE5</f>
        <v>-10031.783900309832</v>
      </c>
      <c r="AF29" s="107">
        <f>Assumptions!$C$54*Assumptions!$C$53*-AF5</f>
        <v>-10031.783900309832</v>
      </c>
      <c r="AG29" s="107">
        <f>Assumptions!$C$54*Assumptions!$C$53*-AG5</f>
        <v>-10031.783900309832</v>
      </c>
      <c r="AH29" s="107">
        <f>Assumptions!$C$54*Assumptions!$C$53*-AH5</f>
        <v>-10031.783900309832</v>
      </c>
      <c r="AI29" s="107">
        <f>Assumptions!$C$54*Assumptions!$C$53*-AI5</f>
        <v>-10031.783900309832</v>
      </c>
      <c r="AJ29" s="107">
        <f>Assumptions!$C$54*Assumptions!$C$53*-AJ5</f>
        <v>-10031.783900309832</v>
      </c>
      <c r="AK29" s="107">
        <f>Assumptions!$C$54*Assumptions!$C$53*-AK5</f>
        <v>-10031.783900309832</v>
      </c>
      <c r="AL29" s="107">
        <f>Assumptions!$C$54*Assumptions!$C$53*-AL5</f>
        <v>-10031.783900309832</v>
      </c>
      <c r="AM29" s="739">
        <f>Assumptions!$C$54*Assumptions!$C$53*-AM5</f>
        <v>-10031.783900309832</v>
      </c>
      <c r="AN29" s="107">
        <f>Assumptions!$C$54*Assumptions!$C$53*-AN5</f>
        <v>-10663.786286029352</v>
      </c>
      <c r="AO29" s="107">
        <f>Assumptions!$C$54*Assumptions!$C$53*-AO5</f>
        <v>-10663.786286029352</v>
      </c>
      <c r="AP29" s="107">
        <f>Assumptions!$C$54*Assumptions!$C$53*-AP5</f>
        <v>-10663.786286029352</v>
      </c>
      <c r="AQ29" s="107">
        <f>Assumptions!$C$54*Assumptions!$C$53*-AQ5</f>
        <v>-10663.786286029352</v>
      </c>
      <c r="AR29" s="107">
        <f>Assumptions!$C$54*Assumptions!$C$53*-AR5</f>
        <v>-10663.786286029352</v>
      </c>
      <c r="AS29" s="107">
        <f>Assumptions!$C$54*Assumptions!$C$53*-AS5</f>
        <v>-10663.786286029352</v>
      </c>
      <c r="AT29" s="107">
        <f>Assumptions!$C$54*Assumptions!$C$53*-AT5</f>
        <v>-10663.786286029352</v>
      </c>
      <c r="AU29" s="107">
        <f>Assumptions!$C$54*Assumptions!$C$53*-AU5</f>
        <v>-10663.786286029352</v>
      </c>
      <c r="AV29" s="107">
        <f>Assumptions!$C$54*Assumptions!$C$53*-AV5</f>
        <v>-10663.786286029352</v>
      </c>
      <c r="AW29" s="107">
        <f>Assumptions!$C$54*Assumptions!$C$53*-AW5</f>
        <v>-10663.786286029352</v>
      </c>
      <c r="AX29" s="107">
        <f>Assumptions!$C$54*Assumptions!$C$53*-AX5</f>
        <v>-10663.786286029352</v>
      </c>
      <c r="AY29" s="739">
        <f>Assumptions!$C$54*Assumptions!$C$53*-AY5</f>
        <v>-10663.786286029352</v>
      </c>
      <c r="AZ29" s="107">
        <f>Assumptions!$C$54*Assumptions!$C$53*-AZ5</f>
        <v>-11335.604822049199</v>
      </c>
      <c r="BA29" s="107">
        <f>Assumptions!$C$54*Assumptions!$C$53*-BA5</f>
        <v>-11335.604822049199</v>
      </c>
      <c r="BB29" s="107">
        <f>Assumptions!$C$54*Assumptions!$C$53*-BB5</f>
        <v>-11335.604822049199</v>
      </c>
      <c r="BC29" s="107">
        <f>Assumptions!$C$54*Assumptions!$C$53*-BC5</f>
        <v>-11335.604822049199</v>
      </c>
      <c r="BD29" s="107">
        <f>Assumptions!$C$54*Assumptions!$C$53*-BD5</f>
        <v>-11335.604822049199</v>
      </c>
      <c r="BE29" s="107">
        <f>Assumptions!$C$54*Assumptions!$C$53*-BE5</f>
        <v>-11335.604822049199</v>
      </c>
      <c r="BF29" s="107">
        <f>Assumptions!$C$54*Assumptions!$C$53*-BF5</f>
        <v>-11335.604822049199</v>
      </c>
      <c r="BG29" s="107">
        <f>Assumptions!$C$54*Assumptions!$C$53*-BG5</f>
        <v>-11335.604822049199</v>
      </c>
      <c r="BH29" s="107">
        <f>Assumptions!$C$54*Assumptions!$C$53*-BH5</f>
        <v>-11335.604822049199</v>
      </c>
      <c r="BI29" s="107">
        <f>Assumptions!$C$54*Assumptions!$C$53*-BI5</f>
        <v>-11335.604822049199</v>
      </c>
      <c r="BJ29" s="107">
        <f>Assumptions!$C$54*Assumptions!$C$53*-BJ5</f>
        <v>-11335.604822049199</v>
      </c>
      <c r="BK29" s="739">
        <f>Assumptions!$C$54*Assumptions!$C$53*-BK5</f>
        <v>-11335.604822049199</v>
      </c>
      <c r="BL29" s="107">
        <f>Assumptions!$C$54*Assumptions!$C$53*-BL5</f>
        <v>-12049.747925838299</v>
      </c>
      <c r="BM29" s="107">
        <f>Assumptions!$C$54*Assumptions!$C$53*-BM5</f>
        <v>-12049.747925838299</v>
      </c>
      <c r="BN29" s="107">
        <f>Assumptions!$C$54*Assumptions!$C$53*-BN5</f>
        <v>-12049.747925838299</v>
      </c>
      <c r="BO29" s="107">
        <f>Assumptions!$C$54*Assumptions!$C$53*-BO5</f>
        <v>-12049.747925838299</v>
      </c>
      <c r="BP29" s="107">
        <f>Assumptions!$C$54*Assumptions!$C$53*-BP5</f>
        <v>-12049.747925838299</v>
      </c>
      <c r="BQ29" s="107">
        <f>Assumptions!$C$54*Assumptions!$C$53*-BQ5</f>
        <v>-12049.747925838299</v>
      </c>
      <c r="BR29" s="107">
        <f>Assumptions!$C$54*Assumptions!$C$53*-BR5</f>
        <v>-12049.747925838299</v>
      </c>
      <c r="BS29" s="107">
        <f>Assumptions!$C$54*Assumptions!$C$53*-BS5</f>
        <v>-12049.747925838299</v>
      </c>
      <c r="BT29" s="107">
        <f>Assumptions!$C$54*Assumptions!$C$53*-BT5</f>
        <v>-12049.747925838299</v>
      </c>
      <c r="BU29" s="107">
        <f>Assumptions!$C$54*Assumptions!$C$53*-BU5</f>
        <v>-12049.747925838299</v>
      </c>
      <c r="BV29" s="107">
        <f>Assumptions!$C$54*Assumptions!$C$53*-BV5</f>
        <v>-12049.747925838299</v>
      </c>
      <c r="BW29" s="739">
        <f>Assumptions!$C$54*Assumptions!$C$53*-BW5</f>
        <v>-12049.747925838299</v>
      </c>
      <c r="BX29" s="107">
        <f>Assumptions!$C$54*Assumptions!$C$53*-BX5</f>
        <v>-12808.882045166112</v>
      </c>
      <c r="BY29" s="107">
        <f>Assumptions!$C$54*Assumptions!$C$53*-BY5</f>
        <v>-12808.882045166112</v>
      </c>
      <c r="BZ29" s="107">
        <f>Assumptions!$C$54*Assumptions!$C$53*-BZ5</f>
        <v>-12808.882045166112</v>
      </c>
      <c r="CA29" s="107">
        <f>Assumptions!$C$54*Assumptions!$C$53*-CA5</f>
        <v>-12808.882045166112</v>
      </c>
      <c r="CB29" s="107">
        <f>Assumptions!$C$54*Assumptions!$C$53*-CB5</f>
        <v>-12808.882045166112</v>
      </c>
      <c r="CC29" s="107">
        <f>Assumptions!$C$54*Assumptions!$C$53*-CC5</f>
        <v>-12808.882045166112</v>
      </c>
      <c r="CD29" s="107">
        <f>Assumptions!$C$54*Assumptions!$C$53*-CD5</f>
        <v>-12808.882045166112</v>
      </c>
      <c r="CE29" s="107">
        <f>Assumptions!$C$54*Assumptions!$C$53*-CE5</f>
        <v>-12808.882045166112</v>
      </c>
      <c r="CF29" s="107">
        <f>Assumptions!$C$54*Assumptions!$C$53*-CF5</f>
        <v>-12808.882045166112</v>
      </c>
      <c r="CG29" s="107">
        <f>Assumptions!$C$54*Assumptions!$C$53*-CG5</f>
        <v>-12808.882045166112</v>
      </c>
      <c r="CH29" s="107">
        <f>Assumptions!$C$54*Assumptions!$C$53*-CH5</f>
        <v>-12808.882045166112</v>
      </c>
      <c r="CI29" s="739">
        <f>Assumptions!$C$54*Assumptions!$C$53*-CI5</f>
        <v>-12808.882045166112</v>
      </c>
      <c r="CJ29" s="107">
        <f>Assumptions!$C$54*Assumptions!$C$53*-CJ5</f>
        <v>-13615.841614011577</v>
      </c>
      <c r="CK29" s="107">
        <f>Assumptions!$C$54*Assumptions!$C$53*-CK5</f>
        <v>-13615.841614011577</v>
      </c>
      <c r="CL29" s="107">
        <f>Assumptions!$C$54*Assumptions!$C$53*-CL5</f>
        <v>-13615.841614011577</v>
      </c>
      <c r="CM29" s="107">
        <f>Assumptions!$C$54*Assumptions!$C$53*-CM5</f>
        <v>-13615.841614011577</v>
      </c>
      <c r="CN29" s="107">
        <f>Assumptions!$C$54*Assumptions!$C$53*-CN5</f>
        <v>-13615.841614011577</v>
      </c>
      <c r="CO29" s="107">
        <f>Assumptions!$C$54*Assumptions!$C$53*-CO5</f>
        <v>-13615.841614011577</v>
      </c>
      <c r="CP29" s="107">
        <f>Assumptions!$C$54*Assumptions!$C$53*-CP5</f>
        <v>-13615.841614011577</v>
      </c>
      <c r="CQ29" s="107">
        <f>Assumptions!$C$54*Assumptions!$C$53*-CQ5</f>
        <v>-13615.841614011577</v>
      </c>
      <c r="CR29" s="107">
        <f>Assumptions!$C$54*Assumptions!$C$53*-CR5</f>
        <v>-13615.841614011577</v>
      </c>
      <c r="CS29" s="107">
        <f>Assumptions!$C$54*Assumptions!$C$53*-CS5</f>
        <v>-13615.841614011577</v>
      </c>
      <c r="CT29" s="107">
        <f>Assumptions!$C$54*Assumptions!$C$53*-CT5</f>
        <v>-13615.841614011577</v>
      </c>
      <c r="CU29" s="739">
        <f>Assumptions!$C$54*Assumptions!$C$53*-CU5</f>
        <v>-13615.841614011577</v>
      </c>
      <c r="CV29" s="107">
        <f>Assumptions!$C$54*Assumptions!$C$53*-CV5</f>
        <v>-14473.639635694304</v>
      </c>
      <c r="CW29" s="107">
        <f>Assumptions!$C$54*Assumptions!$C$53*-CW5</f>
        <v>-14473.639635694304</v>
      </c>
      <c r="CX29" s="107">
        <f>Assumptions!$C$54*Assumptions!$C$53*-CX5</f>
        <v>-14473.639635694304</v>
      </c>
      <c r="CY29" s="107">
        <f>Assumptions!$C$54*Assumptions!$C$53*-CY5</f>
        <v>-14473.639635694304</v>
      </c>
      <c r="CZ29" s="107">
        <f>Assumptions!$C$54*Assumptions!$C$53*-CZ5</f>
        <v>-14473.639635694304</v>
      </c>
      <c r="DA29" s="107">
        <f>Assumptions!$C$54*Assumptions!$C$53*-DA5</f>
        <v>-14473.639635694304</v>
      </c>
      <c r="DB29" s="107">
        <f>Assumptions!$C$54*Assumptions!$C$53*-DB5</f>
        <v>-14473.639635694304</v>
      </c>
      <c r="DC29" s="107">
        <f>Assumptions!$C$54*Assumptions!$C$53*-DC5</f>
        <v>-14473.639635694304</v>
      </c>
      <c r="DD29" s="107">
        <f>Assumptions!$C$54*Assumptions!$C$53*-DD5</f>
        <v>-14473.639635694304</v>
      </c>
      <c r="DE29" s="107">
        <f>Assumptions!$C$54*Assumptions!$C$53*-DE5</f>
        <v>-14473.639635694304</v>
      </c>
      <c r="DF29" s="107">
        <f>Assumptions!$C$54*Assumptions!$C$53*-DF5</f>
        <v>-14473.639635694304</v>
      </c>
      <c r="DG29" s="739">
        <f>Assumptions!$C$54*Assumptions!$C$53*-DG5</f>
        <v>-14473.639635694304</v>
      </c>
      <c r="DH29" s="107">
        <f>Assumptions!$C$54*Assumptions!$C$53*-DH5</f>
        <v>-15385.478932743046</v>
      </c>
      <c r="DI29" s="107">
        <f>Assumptions!$C$54*Assumptions!$C$53*-DI5</f>
        <v>-15385.478932743046</v>
      </c>
      <c r="DJ29" s="107">
        <f>Assumptions!$C$54*Assumptions!$C$53*-DJ5</f>
        <v>-15385.478932743046</v>
      </c>
      <c r="DK29" s="107">
        <f>Assumptions!$C$54*Assumptions!$C$53*-DK5</f>
        <v>-15385.478932743046</v>
      </c>
      <c r="DL29" s="107">
        <f>Assumptions!$C$54*Assumptions!$C$53*-DL5</f>
        <v>-15385.478932743046</v>
      </c>
      <c r="DM29" s="107">
        <f>Assumptions!$C$54*Assumptions!$C$53*-DM5</f>
        <v>-15385.478932743046</v>
      </c>
      <c r="DN29" s="107">
        <f>Assumptions!$C$54*Assumptions!$C$53*-DN5</f>
        <v>-15385.478932743046</v>
      </c>
      <c r="DO29" s="107">
        <f>Assumptions!$C$54*Assumptions!$C$53*-DO5</f>
        <v>-15385.478932743046</v>
      </c>
      <c r="DP29" s="107">
        <f>Assumptions!$C$54*Assumptions!$C$53*-DP5</f>
        <v>-15385.478932743046</v>
      </c>
      <c r="DQ29" s="107">
        <f>Assumptions!$C$54*Assumptions!$C$53*-DQ5</f>
        <v>-15385.478932743046</v>
      </c>
      <c r="DR29" s="107">
        <f>Assumptions!$C$54*Assumptions!$C$53*-DR5</f>
        <v>-15385.478932743046</v>
      </c>
      <c r="DS29" s="739">
        <f>Assumptions!$C$54*Assumptions!$C$53*-DS5</f>
        <v>-15385.478932743046</v>
      </c>
      <c r="DT29" s="887"/>
    </row>
    <row r="30" spans="1:124" s="886" customFormat="1" ht="15" x14ac:dyDescent="0.25">
      <c r="B30" s="836" t="s">
        <v>1440</v>
      </c>
      <c r="C30" s="920">
        <f>-'7. Aquaculture system - Cages'!F7</f>
        <v>-1650000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97"/>
      <c r="P30" s="345"/>
      <c r="Q30" s="107">
        <f>-'Summary Bioplan'!R79*Assumptions!$C$50*Q6</f>
        <v>0</v>
      </c>
      <c r="R30" s="107">
        <f>-'Summary Bioplan'!S79*Assumptions!$C$50*R6</f>
        <v>0</v>
      </c>
      <c r="S30" s="107">
        <f>-'Summary Bioplan'!T79*Assumptions!$C$50*S6</f>
        <v>0</v>
      </c>
      <c r="T30" s="107">
        <f>-'Summary Bioplan'!U79*Assumptions!$C$50*T6</f>
        <v>0</v>
      </c>
      <c r="U30" s="107">
        <f>-'Summary Bioplan'!V79*Assumptions!$C$50*U6</f>
        <v>0</v>
      </c>
      <c r="V30" s="107">
        <f>-'Summary Bioplan'!W79*Assumptions!$C$50*V6</f>
        <v>0</v>
      </c>
      <c r="W30" s="107">
        <f>-'Summary Bioplan'!X79*Assumptions!$C$50*W6</f>
        <v>0</v>
      </c>
      <c r="X30" s="107">
        <f>-'Summary Bioplan'!Y79*Assumptions!$C$50*X6</f>
        <v>0</v>
      </c>
      <c r="Y30" s="107">
        <f>-'Summary Bioplan'!Z79*Assumptions!$C$50*Y6</f>
        <v>0</v>
      </c>
      <c r="Z30" s="107">
        <f>-'Summary Bioplan'!AA79*Assumptions!$C$50*Z6</f>
        <v>0</v>
      </c>
      <c r="AA30" s="739">
        <f>-'Summary Bioplan'!AB79*Assumptions!$C$50*AA6</f>
        <v>0</v>
      </c>
      <c r="AB30" s="107">
        <f>-'Summary Bioplan'!AC79*Assumptions!$C$50*AB6</f>
        <v>0</v>
      </c>
      <c r="AC30" s="107">
        <f>-'Summary Bioplan'!AD79*Assumptions!$C$50*AC6</f>
        <v>0</v>
      </c>
      <c r="AD30" s="107">
        <f>-'Summary Bioplan'!AE79*Assumptions!$C$50*AD6</f>
        <v>0</v>
      </c>
      <c r="AE30" s="107">
        <f>-'Summary Bioplan'!AF79*Assumptions!$C$50*AE6</f>
        <v>0</v>
      </c>
      <c r="AF30" s="107">
        <f>-'Summary Bioplan'!AG79*Assumptions!$C$50*AF6</f>
        <v>0</v>
      </c>
      <c r="AG30" s="107">
        <f>-'Summary Bioplan'!AH79*Assumptions!$C$50*AG6</f>
        <v>0</v>
      </c>
      <c r="AH30" s="107">
        <f>-'Summary Bioplan'!AI79*Assumptions!$C$50*AH6</f>
        <v>0</v>
      </c>
      <c r="AI30" s="107">
        <f>-'Summary Bioplan'!AJ79*Assumptions!$C$50*AI6</f>
        <v>0</v>
      </c>
      <c r="AJ30" s="107">
        <f>-'Summary Bioplan'!AK79*Assumptions!$C$50*AJ6</f>
        <v>0</v>
      </c>
      <c r="AK30" s="107">
        <f>-'Summary Bioplan'!AL79*Assumptions!$C$50*AK6</f>
        <v>0</v>
      </c>
      <c r="AL30" s="107">
        <f>-'Summary Bioplan'!AM79*Assumptions!$C$50*AL6</f>
        <v>0</v>
      </c>
      <c r="AM30" s="739">
        <f>-'Summary Bioplan'!AN79*Assumptions!$C$50*AM6</f>
        <v>0</v>
      </c>
      <c r="AN30" s="107">
        <f>-'Summary Bioplan'!AO79*Assumptions!$C$50*AN6</f>
        <v>0</v>
      </c>
      <c r="AO30" s="107">
        <f>-'Summary Bioplan'!AP79*Assumptions!$C$50*AO6</f>
        <v>0</v>
      </c>
      <c r="AP30" s="107">
        <f>-'Summary Bioplan'!AQ79*Assumptions!$C$50*AP6</f>
        <v>0</v>
      </c>
      <c r="AQ30" s="107">
        <f>-'Summary Bioplan'!AR79*Assumptions!$C$50*AQ6</f>
        <v>0</v>
      </c>
      <c r="AR30" s="107">
        <f>-'Summary Bioplan'!AS79*Assumptions!$C$50*AR6</f>
        <v>0</v>
      </c>
      <c r="AS30" s="107">
        <f>-'Summary Bioplan'!AT79*Assumptions!$C$50*AS6</f>
        <v>0</v>
      </c>
      <c r="AT30" s="107">
        <f>-'Summary Bioplan'!AU79*Assumptions!$C$50*AT6</f>
        <v>0</v>
      </c>
      <c r="AU30" s="107">
        <f>-'Summary Bioplan'!AV79*Assumptions!$C$50*AU6</f>
        <v>0</v>
      </c>
      <c r="AV30" s="107">
        <f>-'Summary Bioplan'!AW79*Assumptions!$C$50*AV6</f>
        <v>0</v>
      </c>
      <c r="AW30" s="107">
        <f>-'Summary Bioplan'!AX79*Assumptions!$C$50*AW6</f>
        <v>0</v>
      </c>
      <c r="AX30" s="107">
        <f>-'Summary Bioplan'!AY79*Assumptions!$C$50*AX6</f>
        <v>0</v>
      </c>
      <c r="AY30" s="739">
        <f>-'Summary Bioplan'!AZ79*Assumptions!$C$50*AY6</f>
        <v>0</v>
      </c>
      <c r="AZ30" s="107">
        <f>-'Summary Bioplan'!BA79*Assumptions!$C$50*AZ6</f>
        <v>0</v>
      </c>
      <c r="BA30" s="107">
        <f>-'Summary Bioplan'!BB79*Assumptions!$C$50*BA6</f>
        <v>0</v>
      </c>
      <c r="BB30" s="107">
        <f>-'Summary Bioplan'!BC79*Assumptions!$C$50*BB6</f>
        <v>0</v>
      </c>
      <c r="BC30" s="107">
        <f>-'Summary Bioplan'!BD79*Assumptions!$C$50*BC6</f>
        <v>0</v>
      </c>
      <c r="BD30" s="107">
        <f>-'Summary Bioplan'!BE79*Assumptions!$C$50*BD6</f>
        <v>0</v>
      </c>
      <c r="BE30" s="107">
        <f>-'Summary Bioplan'!BF79*Assumptions!$C$50*BE6</f>
        <v>0</v>
      </c>
      <c r="BF30" s="107">
        <f>-'Summary Bioplan'!BG79*Assumptions!$C$50*BF6</f>
        <v>0</v>
      </c>
      <c r="BG30" s="107">
        <f>-'Summary Bioplan'!BH79*Assumptions!$C$50*BG6</f>
        <v>0</v>
      </c>
      <c r="BH30" s="107">
        <f>-'Summary Bioplan'!BI79*Assumptions!$C$50*BH6</f>
        <v>0</v>
      </c>
      <c r="BI30" s="107">
        <f>-'Summary Bioplan'!BJ79*Assumptions!$C$50*BI6</f>
        <v>0</v>
      </c>
      <c r="BJ30" s="107">
        <f>-'Summary Bioplan'!BK79*Assumptions!$C$50*BJ6</f>
        <v>0</v>
      </c>
      <c r="BK30" s="739">
        <f>-'Summary Bioplan'!BL79*Assumptions!$C$50*BK6</f>
        <v>0</v>
      </c>
      <c r="BL30" s="107">
        <f>$C$30*BL5</f>
        <v>-2239495.8749485449</v>
      </c>
      <c r="BM30" s="107">
        <f>-'Summary Bioplan'!BN79*Assumptions!$C$50*BM6</f>
        <v>0</v>
      </c>
      <c r="BN30" s="107">
        <f>-'Summary Bioplan'!BO79*Assumptions!$C$50*BN6</f>
        <v>0</v>
      </c>
      <c r="BO30" s="107">
        <f>-'Summary Bioplan'!BP79*Assumptions!$C$50*BO6</f>
        <v>0</v>
      </c>
      <c r="BP30" s="107">
        <f>-'Summary Bioplan'!BQ79*Assumptions!$C$50*BP6</f>
        <v>0</v>
      </c>
      <c r="BQ30" s="107">
        <f>-'Summary Bioplan'!BR79*Assumptions!$C$50*BQ6</f>
        <v>0</v>
      </c>
      <c r="BR30" s="107">
        <f>-'Summary Bioplan'!BS79*Assumptions!$C$50*BR6</f>
        <v>0</v>
      </c>
      <c r="BS30" s="107">
        <f>-'Summary Bioplan'!BT79*Assumptions!$C$50*BS6</f>
        <v>0</v>
      </c>
      <c r="BT30" s="107">
        <f>-'Summary Bioplan'!BU79*Assumptions!$C$50*BT6</f>
        <v>0</v>
      </c>
      <c r="BU30" s="107">
        <f>-'Summary Bioplan'!BV79*Assumptions!$C$50*BU6</f>
        <v>0</v>
      </c>
      <c r="BV30" s="107">
        <f>-'Summary Bioplan'!BW79*Assumptions!$C$50*BV6</f>
        <v>0</v>
      </c>
      <c r="BW30" s="739">
        <f>-'Summary Bioplan'!BX79*Assumptions!$C$50*BW6</f>
        <v>0</v>
      </c>
      <c r="BX30" s="107">
        <f>-'Summary Bioplan'!BY79*Assumptions!$C$50*BX6</f>
        <v>0</v>
      </c>
      <c r="BY30" s="107">
        <f>-'Summary Bioplan'!BZ79*Assumptions!$C$50*BY6</f>
        <v>0</v>
      </c>
      <c r="BZ30" s="107">
        <f>-'Summary Bioplan'!CA79*Assumptions!$C$50*BZ6</f>
        <v>0</v>
      </c>
      <c r="CA30" s="107">
        <f>-'Summary Bioplan'!CB79*Assumptions!$C$50*CA6</f>
        <v>0</v>
      </c>
      <c r="CB30" s="107">
        <f>-'Summary Bioplan'!CC79*Assumptions!$C$50*CB6</f>
        <v>0</v>
      </c>
      <c r="CC30" s="107">
        <f>-'Summary Bioplan'!CD79*Assumptions!$C$50*CC6</f>
        <v>0</v>
      </c>
      <c r="CD30" s="107">
        <f>-'Summary Bioplan'!CE79*Assumptions!$C$50*CD6</f>
        <v>0</v>
      </c>
      <c r="CE30" s="107">
        <f>-'Summary Bioplan'!CF79*Assumptions!$C$50*CE6</f>
        <v>0</v>
      </c>
      <c r="CF30" s="107">
        <f>-'Summary Bioplan'!CG79*Assumptions!$C$50*CF6</f>
        <v>0</v>
      </c>
      <c r="CG30" s="107">
        <f>-'Summary Bioplan'!CH79*Assumptions!$C$50*CG6</f>
        <v>0</v>
      </c>
      <c r="CH30" s="107">
        <f>-'Summary Bioplan'!CI79*Assumptions!$C$50*CH6</f>
        <v>0</v>
      </c>
      <c r="CI30" s="739">
        <f>-'Summary Bioplan'!CJ79*Assumptions!$C$50*CI6</f>
        <v>0</v>
      </c>
      <c r="CJ30" s="107">
        <f>-'Summary Bioplan'!CK79*Assumptions!$C$50*CJ6</f>
        <v>0</v>
      </c>
      <c r="CK30" s="107">
        <f>-'Summary Bioplan'!CL79*Assumptions!$C$50*CK6</f>
        <v>0</v>
      </c>
      <c r="CL30" s="107">
        <f>-'Summary Bioplan'!CM79*Assumptions!$C$50*CL6</f>
        <v>0</v>
      </c>
      <c r="CM30" s="107">
        <f>-'Summary Bioplan'!CN79*Assumptions!$C$50*CM6</f>
        <v>0</v>
      </c>
      <c r="CN30" s="107">
        <f>-'Summary Bioplan'!CO79*Assumptions!$C$50*CN6</f>
        <v>0</v>
      </c>
      <c r="CO30" s="107">
        <f>-'Summary Bioplan'!CP79*Assumptions!$C$50*CO6</f>
        <v>0</v>
      </c>
      <c r="CP30" s="107">
        <f>-'Summary Bioplan'!CQ79*Assumptions!$C$50*CP6</f>
        <v>0</v>
      </c>
      <c r="CQ30" s="107">
        <f>-'Summary Bioplan'!CR79*Assumptions!$C$50*CQ6</f>
        <v>0</v>
      </c>
      <c r="CR30" s="107">
        <f>-'Summary Bioplan'!CS79*Assumptions!$C$50*CR6</f>
        <v>0</v>
      </c>
      <c r="CS30" s="107">
        <f>-'Summary Bioplan'!CT79*Assumptions!$C$50*CS6</f>
        <v>0</v>
      </c>
      <c r="CT30" s="107">
        <f>-'Summary Bioplan'!CU79*Assumptions!$C$50*CT6</f>
        <v>0</v>
      </c>
      <c r="CU30" s="739">
        <f>-'Summary Bioplan'!CV79*Assumptions!$C$50*CU6</f>
        <v>0</v>
      </c>
      <c r="CV30" s="107">
        <f>-'Summary Bioplan'!CW79*Assumptions!$C$50*CV6</f>
        <v>0</v>
      </c>
      <c r="CW30" s="107">
        <f>-'Summary Bioplan'!CX79*Assumptions!$C$50*CW6</f>
        <v>0</v>
      </c>
      <c r="CX30" s="107">
        <f>-'Summary Bioplan'!CY79*Assumptions!$C$50*CX6</f>
        <v>0</v>
      </c>
      <c r="CY30" s="107">
        <f>-'Summary Bioplan'!CZ79*Assumptions!$C$50*CY6</f>
        <v>0</v>
      </c>
      <c r="CZ30" s="107">
        <f>-'Summary Bioplan'!DA79*Assumptions!$C$50*CZ6</f>
        <v>0</v>
      </c>
      <c r="DA30" s="107">
        <f>-'Summary Bioplan'!DB79*Assumptions!$C$50*DA6</f>
        <v>0</v>
      </c>
      <c r="DB30" s="107">
        <f>-'Summary Bioplan'!DC79*Assumptions!$C$50*DB6</f>
        <v>0</v>
      </c>
      <c r="DC30" s="107">
        <f>-'Summary Bioplan'!DD79*Assumptions!$C$50*DC6</f>
        <v>0</v>
      </c>
      <c r="DD30" s="107">
        <f>-'Summary Bioplan'!DE79*Assumptions!$C$50*DD6</f>
        <v>0</v>
      </c>
      <c r="DE30" s="107">
        <f>-'Summary Bioplan'!DF79*Assumptions!$C$50*DE6</f>
        <v>0</v>
      </c>
      <c r="DF30" s="107">
        <f>-'Summary Bioplan'!DG79*Assumptions!$C$50*DF6</f>
        <v>0</v>
      </c>
      <c r="DG30" s="739">
        <f>-'Summary Bioplan'!DH79*Assumptions!$C$50*DG6</f>
        <v>0</v>
      </c>
      <c r="DH30" s="107">
        <f>$C$30*DH5</f>
        <v>-2859455.3857929534</v>
      </c>
      <c r="DI30" s="107">
        <f>-'Summary Bioplan'!DJ79*Assumptions!$C$50*DI6</f>
        <v>0</v>
      </c>
      <c r="DJ30" s="107">
        <f>-'Summary Bioplan'!DK79*Assumptions!$C$50*DJ6</f>
        <v>0</v>
      </c>
      <c r="DK30" s="107">
        <f>-'Summary Bioplan'!DL79*Assumptions!$C$50*DK6</f>
        <v>0</v>
      </c>
      <c r="DL30" s="107">
        <f>-'Summary Bioplan'!DM79*Assumptions!$C$50*DL6</f>
        <v>0</v>
      </c>
      <c r="DM30" s="107">
        <f>-'Summary Bioplan'!DN79*Assumptions!$C$50*DM6</f>
        <v>0</v>
      </c>
      <c r="DN30" s="107">
        <f>-'Summary Bioplan'!DO79*Assumptions!$C$50*DN6</f>
        <v>0</v>
      </c>
      <c r="DO30" s="107">
        <f>-'Summary Bioplan'!DP79*Assumptions!$C$50*DO6</f>
        <v>0</v>
      </c>
      <c r="DP30" s="107">
        <f>-'Summary Bioplan'!DQ79*Assumptions!$C$50*DP6</f>
        <v>0</v>
      </c>
      <c r="DQ30" s="107">
        <f>-'Summary Bioplan'!DR79*Assumptions!$C$50*DQ6</f>
        <v>0</v>
      </c>
      <c r="DR30" s="107">
        <f>-'Summary Bioplan'!DS79*Assumptions!$C$50*DR6</f>
        <v>0</v>
      </c>
      <c r="DS30" s="739">
        <f>-'Summary Bioplan'!DT79*Assumptions!$C$50*DS6</f>
        <v>0</v>
      </c>
      <c r="DT30" s="887"/>
    </row>
    <row r="31" spans="1:124" ht="15" x14ac:dyDescent="0.25">
      <c r="B31" s="836"/>
      <c r="C31" s="833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854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595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595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595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595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595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595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595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595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595"/>
      <c r="DT31" s="832"/>
    </row>
    <row r="32" spans="1:124" ht="15.75" x14ac:dyDescent="0.25">
      <c r="A32" s="125"/>
      <c r="B32" s="166" t="s">
        <v>195</v>
      </c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12"/>
      <c r="P32" s="887"/>
      <c r="Q32" s="887"/>
      <c r="R32" s="837"/>
      <c r="S32" s="887"/>
      <c r="T32" s="887"/>
      <c r="U32" s="887"/>
      <c r="V32" s="887"/>
      <c r="W32" s="887"/>
      <c r="X32" s="887"/>
      <c r="Y32" s="887"/>
      <c r="Z32" s="887"/>
      <c r="AA32" s="842"/>
      <c r="AB32" s="887"/>
      <c r="AC32" s="887"/>
      <c r="AD32" s="837"/>
      <c r="AE32" s="887"/>
      <c r="AF32" s="887"/>
      <c r="AG32" s="887"/>
      <c r="AH32" s="887"/>
      <c r="AI32" s="887"/>
      <c r="AJ32" s="887"/>
      <c r="AK32" s="887"/>
      <c r="AL32" s="887"/>
      <c r="AM32" s="842"/>
      <c r="AN32" s="887"/>
      <c r="AO32" s="887"/>
      <c r="AP32" s="837"/>
      <c r="AQ32" s="887"/>
      <c r="AR32" s="887"/>
      <c r="AS32" s="887"/>
      <c r="AT32" s="887"/>
      <c r="AU32" s="887"/>
      <c r="AV32" s="887"/>
      <c r="AW32" s="887"/>
      <c r="AX32" s="887"/>
      <c r="AY32" s="842"/>
      <c r="AZ32" s="887"/>
      <c r="BA32" s="887"/>
      <c r="BB32" s="837"/>
      <c r="BC32" s="887"/>
      <c r="BD32" s="887"/>
      <c r="BE32" s="887"/>
      <c r="BF32" s="887"/>
      <c r="BG32" s="887"/>
      <c r="BH32" s="887"/>
      <c r="BI32" s="887"/>
      <c r="BJ32" s="887"/>
      <c r="BK32" s="842"/>
      <c r="BL32" s="887"/>
      <c r="BM32" s="887"/>
      <c r="BN32" s="837"/>
      <c r="BO32" s="887"/>
      <c r="BP32" s="887"/>
      <c r="BQ32" s="887"/>
      <c r="BR32" s="887"/>
      <c r="BS32" s="887"/>
      <c r="BT32" s="887"/>
      <c r="BU32" s="887"/>
      <c r="BV32" s="887"/>
      <c r="BW32" s="842"/>
      <c r="BX32" s="887"/>
      <c r="BY32" s="887"/>
      <c r="BZ32" s="837"/>
      <c r="CA32" s="887"/>
      <c r="CB32" s="887"/>
      <c r="CC32" s="887"/>
      <c r="CD32" s="887"/>
      <c r="CE32" s="887"/>
      <c r="CF32" s="887"/>
      <c r="CG32" s="887"/>
      <c r="CH32" s="887"/>
      <c r="CI32" s="842"/>
      <c r="CJ32" s="887"/>
      <c r="CK32" s="887"/>
      <c r="CL32" s="837"/>
      <c r="CM32" s="887"/>
      <c r="CN32" s="887"/>
      <c r="CO32" s="887"/>
      <c r="CP32" s="887"/>
      <c r="CQ32" s="887"/>
      <c r="CR32" s="887"/>
      <c r="CS32" s="887"/>
      <c r="CT32" s="887"/>
      <c r="CU32" s="842"/>
      <c r="CV32" s="887"/>
      <c r="CW32" s="887"/>
      <c r="CX32" s="837"/>
      <c r="CY32" s="887"/>
      <c r="CZ32" s="887"/>
      <c r="DA32" s="887"/>
      <c r="DB32" s="887"/>
      <c r="DC32" s="887"/>
      <c r="DD32" s="887"/>
      <c r="DE32" s="887"/>
      <c r="DF32" s="887"/>
      <c r="DG32" s="842"/>
      <c r="DH32" s="887"/>
      <c r="DI32" s="887"/>
      <c r="DJ32" s="837"/>
      <c r="DK32" s="887"/>
      <c r="DL32" s="887"/>
      <c r="DM32" s="887"/>
      <c r="DN32" s="887"/>
      <c r="DO32" s="887"/>
      <c r="DP32" s="887"/>
      <c r="DQ32" s="887"/>
      <c r="DR32" s="887"/>
      <c r="DS32" s="842"/>
      <c r="DT32" s="832"/>
    </row>
    <row r="33" spans="1:124" ht="15" x14ac:dyDescent="0.25">
      <c r="B33" s="160" t="s">
        <v>190</v>
      </c>
      <c r="C33" s="7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>
        <f>SUM(HR!P27:P29)</f>
        <v>-31750</v>
      </c>
      <c r="O33" s="497">
        <f>SUM(HR!Q27:Q29)</f>
        <v>-31750</v>
      </c>
      <c r="P33" s="107">
        <f>SUM(HR!R27:R29)</f>
        <v>-33750.25</v>
      </c>
      <c r="Q33" s="106">
        <f>SUM(HR!S27:S29)</f>
        <v>-33750.25</v>
      </c>
      <c r="R33" s="106">
        <f>SUM(HR!T27:T29)</f>
        <v>-33750.25</v>
      </c>
      <c r="S33" s="106">
        <f>SUM(HR!U27:U29)</f>
        <v>-33750.25</v>
      </c>
      <c r="T33" s="106">
        <f>SUM(HR!V27:V29)</f>
        <v>-33750.25</v>
      </c>
      <c r="U33" s="106">
        <f>SUM(HR!W27:W29)</f>
        <v>-33750.25</v>
      </c>
      <c r="V33" s="106">
        <f>SUM(HR!X27:X29)</f>
        <v>-33750.25</v>
      </c>
      <c r="W33" s="106">
        <f>SUM(HR!Y27:Y29)</f>
        <v>-33750.25</v>
      </c>
      <c r="X33" s="106">
        <f>SUM(HR!Z27:Z29)</f>
        <v>-33750.25</v>
      </c>
      <c r="Y33" s="106">
        <f>SUM(HR!AA27:AA29)</f>
        <v>-33750.25</v>
      </c>
      <c r="Z33" s="106">
        <f>SUM(HR!AB27:AB29)</f>
        <v>-33750.25</v>
      </c>
      <c r="AA33" s="108">
        <f>SUM(HR!AC27:AC29)</f>
        <v>-33750.25</v>
      </c>
      <c r="AB33" s="107">
        <f>SUM(HR!AD27:AD29)</f>
        <v>-35876.515749999991</v>
      </c>
      <c r="AC33" s="106">
        <f>SUM(HR!AE27:AE29)</f>
        <v>-35876.515749999991</v>
      </c>
      <c r="AD33" s="106">
        <f>SUM(HR!AF27:AF29)</f>
        <v>-35876.515749999991</v>
      </c>
      <c r="AE33" s="106">
        <f>SUM(HR!AG27:AG29)</f>
        <v>-35876.515749999991</v>
      </c>
      <c r="AF33" s="106">
        <f>SUM(HR!AH27:AH29)</f>
        <v>-35876.515749999991</v>
      </c>
      <c r="AG33" s="106">
        <f>SUM(HR!AI27:AI29)</f>
        <v>-35876.515749999991</v>
      </c>
      <c r="AH33" s="106">
        <f>SUM(HR!AJ27:AJ29)</f>
        <v>-35876.515749999991</v>
      </c>
      <c r="AI33" s="106">
        <f>SUM(HR!AK27:AK29)</f>
        <v>-35876.515749999991</v>
      </c>
      <c r="AJ33" s="106">
        <f>SUM(HR!AL27:AL29)</f>
        <v>-35876.515749999991</v>
      </c>
      <c r="AK33" s="106">
        <f>SUM(HR!AM27:AM29)</f>
        <v>-35876.515749999991</v>
      </c>
      <c r="AL33" s="106">
        <f>SUM(HR!AN27:AN29)</f>
        <v>-35876.515749999991</v>
      </c>
      <c r="AM33" s="108">
        <f>SUM(HR!AO27:AO29)</f>
        <v>-35876.515749999991</v>
      </c>
      <c r="AN33" s="107">
        <f>SUM(HR!AP27:AP29)</f>
        <v>-38136.736242249986</v>
      </c>
      <c r="AO33" s="106">
        <f>SUM(HR!AQ27:AQ29)</f>
        <v>-38136.736242249986</v>
      </c>
      <c r="AP33" s="106">
        <f>SUM(HR!AR27:AR29)</f>
        <v>-38136.736242249986</v>
      </c>
      <c r="AQ33" s="106">
        <f>SUM(HR!AS27:AS29)</f>
        <v>-38136.736242249986</v>
      </c>
      <c r="AR33" s="106">
        <f>SUM(HR!AT27:AT29)</f>
        <v>-38136.736242249986</v>
      </c>
      <c r="AS33" s="106">
        <f>SUM(HR!AU27:AU29)</f>
        <v>-38136.736242249986</v>
      </c>
      <c r="AT33" s="106">
        <f>SUM(HR!AV27:AV29)</f>
        <v>-38136.736242249986</v>
      </c>
      <c r="AU33" s="106">
        <f>SUM(HR!AW27:AW29)</f>
        <v>-38136.736242249986</v>
      </c>
      <c r="AV33" s="106">
        <f>SUM(HR!AX27:AX29)</f>
        <v>-38136.736242249986</v>
      </c>
      <c r="AW33" s="106">
        <f>SUM(HR!AY27:AY29)</f>
        <v>-38136.736242249986</v>
      </c>
      <c r="AX33" s="106">
        <f>SUM(HR!AZ27:AZ29)</f>
        <v>-38136.736242249986</v>
      </c>
      <c r="AY33" s="108">
        <f>SUM(HR!BA27:BA29)</f>
        <v>-38136.736242249986</v>
      </c>
      <c r="AZ33" s="107">
        <f>SUM(HR!BB27:BB29)</f>
        <v>-40539.350625511739</v>
      </c>
      <c r="BA33" s="106">
        <f>SUM(HR!BC27:BC29)</f>
        <v>-40539.350625511739</v>
      </c>
      <c r="BB33" s="106">
        <f>SUM(HR!BD27:BD29)</f>
        <v>-40539.350625511739</v>
      </c>
      <c r="BC33" s="106">
        <f>SUM(HR!BE27:BE29)</f>
        <v>-40539.350625511739</v>
      </c>
      <c r="BD33" s="106">
        <f>SUM(HR!BF27:BF29)</f>
        <v>-40539.350625511739</v>
      </c>
      <c r="BE33" s="106">
        <f>SUM(HR!BG27:BG29)</f>
        <v>-40539.350625511739</v>
      </c>
      <c r="BF33" s="106">
        <f>SUM(HR!BH27:BH29)</f>
        <v>-40539.350625511739</v>
      </c>
      <c r="BG33" s="106">
        <f>SUM(HR!BI27:BI29)</f>
        <v>-40539.350625511739</v>
      </c>
      <c r="BH33" s="106">
        <f>SUM(HR!BJ27:BJ29)</f>
        <v>-40539.350625511739</v>
      </c>
      <c r="BI33" s="106">
        <f>SUM(HR!BK27:BK29)</f>
        <v>-40539.350625511739</v>
      </c>
      <c r="BJ33" s="106">
        <f>SUM(HR!BL27:BL29)</f>
        <v>-40539.350625511739</v>
      </c>
      <c r="BK33" s="108">
        <f>SUM(HR!BM27:BM29)</f>
        <v>-40539.350625511739</v>
      </c>
      <c r="BL33" s="107">
        <f>SUM(HR!BN27:BN29)</f>
        <v>-43093.329714918975</v>
      </c>
      <c r="BM33" s="106">
        <f>SUM(HR!BO27:BO29)</f>
        <v>-43093.329714918975</v>
      </c>
      <c r="BN33" s="106">
        <f>SUM(HR!BP27:BP29)</f>
        <v>-43093.329714918975</v>
      </c>
      <c r="BO33" s="106">
        <f>SUM(HR!BQ27:BQ29)</f>
        <v>-43093.329714918975</v>
      </c>
      <c r="BP33" s="106">
        <f>SUM(HR!BR27:BR29)</f>
        <v>-43093.329714918975</v>
      </c>
      <c r="BQ33" s="106">
        <f>SUM(HR!BS27:BS29)</f>
        <v>-43093.329714918975</v>
      </c>
      <c r="BR33" s="106">
        <f>SUM(HR!BT27:BT29)</f>
        <v>-43093.329714918975</v>
      </c>
      <c r="BS33" s="106">
        <f>SUM(HR!BU27:BU29)</f>
        <v>-43093.329714918975</v>
      </c>
      <c r="BT33" s="106">
        <f>SUM(HR!BV27:BV29)</f>
        <v>-43093.329714918975</v>
      </c>
      <c r="BU33" s="106">
        <f>SUM(HR!BW27:BW29)</f>
        <v>-43093.329714918975</v>
      </c>
      <c r="BV33" s="106">
        <f>SUM(HR!BX27:BX29)</f>
        <v>-43093.329714918975</v>
      </c>
      <c r="BW33" s="108">
        <f>SUM(HR!BY27:BY29)</f>
        <v>-43093.329714918975</v>
      </c>
      <c r="BX33" s="107">
        <f>SUM(HR!BZ27:BZ29)</f>
        <v>-45808.209486958869</v>
      </c>
      <c r="BY33" s="106">
        <f>SUM(HR!CA27:CA29)</f>
        <v>-45808.209486958869</v>
      </c>
      <c r="BZ33" s="106">
        <f>SUM(HR!CB27:CB29)</f>
        <v>-45808.209486958869</v>
      </c>
      <c r="CA33" s="106">
        <f>SUM(HR!CC27:CC29)</f>
        <v>-45808.209486958869</v>
      </c>
      <c r="CB33" s="106">
        <f>SUM(HR!CD27:CD29)</f>
        <v>-45808.209486958869</v>
      </c>
      <c r="CC33" s="106">
        <f>SUM(HR!CE27:CE29)</f>
        <v>-45808.209486958869</v>
      </c>
      <c r="CD33" s="106">
        <f>SUM(HR!CF27:CF29)</f>
        <v>-45808.209486958869</v>
      </c>
      <c r="CE33" s="106">
        <f>SUM(HR!CG27:CG29)</f>
        <v>-45808.209486958869</v>
      </c>
      <c r="CF33" s="106">
        <f>SUM(HR!CH27:CH29)</f>
        <v>-45808.209486958869</v>
      </c>
      <c r="CG33" s="106">
        <f>SUM(HR!CI27:CI29)</f>
        <v>-45808.209486958869</v>
      </c>
      <c r="CH33" s="106">
        <f>SUM(HR!CJ27:CJ29)</f>
        <v>-45808.209486958869</v>
      </c>
      <c r="CI33" s="108">
        <f>SUM(HR!CK27:CK29)</f>
        <v>-45808.209486958869</v>
      </c>
      <c r="CJ33" s="107">
        <f>SUM(HR!CL27:CL29)</f>
        <v>-48694.126684637275</v>
      </c>
      <c r="CK33" s="106">
        <f>SUM(HR!CM27:CM29)</f>
        <v>-48694.126684637275</v>
      </c>
      <c r="CL33" s="106">
        <f>SUM(HR!CN27:CN29)</f>
        <v>-48694.126684637275</v>
      </c>
      <c r="CM33" s="106">
        <f>SUM(HR!CO27:CO29)</f>
        <v>-48694.126684637275</v>
      </c>
      <c r="CN33" s="106">
        <f>SUM(HR!CP27:CP29)</f>
        <v>-48694.126684637275</v>
      </c>
      <c r="CO33" s="106">
        <f>SUM(HR!CQ27:CQ29)</f>
        <v>-48694.126684637275</v>
      </c>
      <c r="CP33" s="106">
        <f>SUM(HR!CR27:CR29)</f>
        <v>-48694.126684637275</v>
      </c>
      <c r="CQ33" s="106">
        <f>SUM(HR!CS27:CS29)</f>
        <v>-48694.126684637275</v>
      </c>
      <c r="CR33" s="106">
        <f>SUM(HR!CT27:CT29)</f>
        <v>-48694.126684637275</v>
      </c>
      <c r="CS33" s="106">
        <f>SUM(HR!CU27:CU29)</f>
        <v>-48694.126684637275</v>
      </c>
      <c r="CT33" s="106">
        <f>SUM(HR!CV27:CV29)</f>
        <v>-48694.126684637275</v>
      </c>
      <c r="CU33" s="108">
        <f>SUM(HR!CW27:CW29)</f>
        <v>-48694.126684637275</v>
      </c>
      <c r="CV33" s="107">
        <f>SUM(HR!CX27:CX29)</f>
        <v>-51761.856665769417</v>
      </c>
      <c r="CW33" s="106">
        <f>SUM(HR!CY27:CY29)</f>
        <v>-51761.856665769417</v>
      </c>
      <c r="CX33" s="106">
        <f>SUM(HR!CZ27:CZ29)</f>
        <v>-51761.856665769417</v>
      </c>
      <c r="CY33" s="106">
        <f>SUM(HR!DA27:DA29)</f>
        <v>-51761.856665769417</v>
      </c>
      <c r="CZ33" s="106">
        <f>SUM(HR!DB27:DB29)</f>
        <v>-51761.856665769417</v>
      </c>
      <c r="DA33" s="106">
        <f>SUM(HR!DC27:DC29)</f>
        <v>-51761.856665769417</v>
      </c>
      <c r="DB33" s="106">
        <f>SUM(HR!DD27:DD29)</f>
        <v>-51761.856665769417</v>
      </c>
      <c r="DC33" s="106">
        <f>SUM(HR!DE27:DE29)</f>
        <v>-51761.856665769417</v>
      </c>
      <c r="DD33" s="106">
        <f>SUM(HR!DF27:DF29)</f>
        <v>-51761.856665769417</v>
      </c>
      <c r="DE33" s="106">
        <f>SUM(HR!DG27:DG29)</f>
        <v>-51761.856665769417</v>
      </c>
      <c r="DF33" s="106">
        <f>SUM(HR!DH27:DH29)</f>
        <v>-51761.856665769417</v>
      </c>
      <c r="DG33" s="108">
        <f>SUM(HR!DI27:DI29)</f>
        <v>-51761.856665769417</v>
      </c>
      <c r="DH33" s="107">
        <f>SUM(HR!DJ27:DJ29)</f>
        <v>-55022.853635712891</v>
      </c>
      <c r="DI33" s="106">
        <f>SUM(HR!DK27:DK29)</f>
        <v>-55022.853635712891</v>
      </c>
      <c r="DJ33" s="106">
        <f>SUM(HR!DL27:DL29)</f>
        <v>-55022.853635712891</v>
      </c>
      <c r="DK33" s="106">
        <f>SUM(HR!DM27:DM29)</f>
        <v>-55022.853635712891</v>
      </c>
      <c r="DL33" s="106">
        <f>SUM(HR!DN27:DN29)</f>
        <v>-55022.853635712891</v>
      </c>
      <c r="DM33" s="106">
        <f>SUM(HR!DO27:DO29)</f>
        <v>-55022.853635712891</v>
      </c>
      <c r="DN33" s="106">
        <f>SUM(HR!DP27:DP29)</f>
        <v>-55022.853635712891</v>
      </c>
      <c r="DO33" s="106">
        <f>SUM(HR!DQ27:DQ29)</f>
        <v>-55022.853635712891</v>
      </c>
      <c r="DP33" s="106">
        <f>SUM(HR!DR27:DR29)</f>
        <v>-55022.853635712891</v>
      </c>
      <c r="DQ33" s="106">
        <f>SUM(HR!DS27:DS29)</f>
        <v>-55022.853635712891</v>
      </c>
      <c r="DR33" s="106">
        <f>SUM(HR!DT27:DT29)</f>
        <v>-55022.853635712891</v>
      </c>
      <c r="DS33" s="108">
        <f>SUM(HR!DU27:DU29)</f>
        <v>-55022.853635712891</v>
      </c>
      <c r="DT33" s="832"/>
    </row>
    <row r="34" spans="1:124" ht="15" x14ac:dyDescent="0.25">
      <c r="B34" s="160" t="s">
        <v>81</v>
      </c>
      <c r="C34" s="7">
        <v>-500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577">
        <f>SUM(HR!$D$27:$D$29)*'3. Variable Costs'!$C$34*N5</f>
        <v>-3000</v>
      </c>
      <c r="O34" s="779"/>
      <c r="P34" s="107"/>
      <c r="Q34" s="106"/>
      <c r="R34" s="106"/>
      <c r="S34" s="106"/>
      <c r="T34" s="106">
        <f>SUM(HR!$D$27:$D$29)*'3. Variable Costs'!$C$34*T5</f>
        <v>-3189</v>
      </c>
      <c r="U34" s="106"/>
      <c r="V34" s="106"/>
      <c r="W34" s="106"/>
      <c r="X34" s="106"/>
      <c r="Y34" s="106"/>
      <c r="Z34" s="106">
        <f>SUM(HR!$D$27:$D$29)*'3. Variable Costs'!$C$34*Z5</f>
        <v>-3189</v>
      </c>
      <c r="AA34" s="108"/>
      <c r="AB34" s="107"/>
      <c r="AC34" s="106"/>
      <c r="AD34" s="106"/>
      <c r="AE34" s="106"/>
      <c r="AF34" s="106">
        <f>SUM(HR!$D$27:$D$29)*'3. Variable Costs'!$C$34*AF5</f>
        <v>-3389.9069999999992</v>
      </c>
      <c r="AG34" s="106"/>
      <c r="AH34" s="106"/>
      <c r="AI34" s="106"/>
      <c r="AJ34" s="106"/>
      <c r="AK34" s="106"/>
      <c r="AL34" s="106">
        <f>SUM(HR!$D$27:$D$29)*'3. Variable Costs'!$C$34*AL5</f>
        <v>-3389.9069999999992</v>
      </c>
      <c r="AM34" s="108"/>
      <c r="AN34" s="107"/>
      <c r="AO34" s="106"/>
      <c r="AP34" s="106"/>
      <c r="AQ34" s="106"/>
      <c r="AR34" s="106">
        <f>SUM(HR!$D$27:$D$29)*'3. Variable Costs'!$C$34*AR5</f>
        <v>-3603.4711409999991</v>
      </c>
      <c r="AS34" s="106"/>
      <c r="AT34" s="106"/>
      <c r="AU34" s="106"/>
      <c r="AV34" s="106"/>
      <c r="AW34" s="106"/>
      <c r="AX34" s="106">
        <f>SUM(HR!$D$27:$D$29)*'3. Variable Costs'!$C$34*AX5</f>
        <v>-3603.4711409999991</v>
      </c>
      <c r="AY34" s="108"/>
      <c r="AZ34" s="107"/>
      <c r="BA34" s="106"/>
      <c r="BB34" s="106"/>
      <c r="BC34" s="106"/>
      <c r="BD34" s="106">
        <f>SUM(HR!$D$27:$D$29)*'3. Variable Costs'!$C$34*BD5</f>
        <v>-3830.4898228829989</v>
      </c>
      <c r="BE34" s="106"/>
      <c r="BF34" s="106"/>
      <c r="BG34" s="106"/>
      <c r="BH34" s="106"/>
      <c r="BI34" s="106"/>
      <c r="BJ34" s="106">
        <f>SUM(HR!$D$27:$D$29)*'3. Variable Costs'!$C$34*BJ5</f>
        <v>-3830.4898228829989</v>
      </c>
      <c r="BK34" s="108"/>
      <c r="BL34" s="107"/>
      <c r="BM34" s="106"/>
      <c r="BN34" s="106"/>
      <c r="BO34" s="106"/>
      <c r="BP34" s="106">
        <f>SUM(HR!$D$27:$D$29)*'3. Variable Costs'!$C$34*BP5</f>
        <v>-4071.8106817246276</v>
      </c>
      <c r="BQ34" s="106"/>
      <c r="BR34" s="106"/>
      <c r="BS34" s="106"/>
      <c r="BT34" s="106"/>
      <c r="BU34" s="106"/>
      <c r="BV34" s="106">
        <f>SUM(HR!$D$27:$D$29)*'3. Variable Costs'!$C$34*BV5</f>
        <v>-4071.8106817246276</v>
      </c>
      <c r="BW34" s="108"/>
      <c r="BX34" s="107"/>
      <c r="BY34" s="106"/>
      <c r="BZ34" s="106"/>
      <c r="CA34" s="106"/>
      <c r="CB34" s="106">
        <f>SUM(HR!$D$27:$D$29)*'3. Variable Costs'!$C$34*CB5</f>
        <v>-4328.3347546732784</v>
      </c>
      <c r="CC34" s="106"/>
      <c r="CD34" s="106"/>
      <c r="CE34" s="106"/>
      <c r="CF34" s="106"/>
      <c r="CG34" s="106"/>
      <c r="CH34" s="106">
        <f>SUM(HR!$D$27:$D$29)*'3. Variable Costs'!$C$34*CH5</f>
        <v>-4328.3347546732784</v>
      </c>
      <c r="CI34" s="108"/>
      <c r="CJ34" s="107"/>
      <c r="CK34" s="106"/>
      <c r="CL34" s="106"/>
      <c r="CM34" s="106"/>
      <c r="CN34" s="106">
        <f>SUM(HR!$D$27:$D$29)*'3. Variable Costs'!$C$34*CN5</f>
        <v>-4601.0198442176952</v>
      </c>
      <c r="CO34" s="106"/>
      <c r="CP34" s="106"/>
      <c r="CQ34" s="106"/>
      <c r="CR34" s="106"/>
      <c r="CS34" s="106"/>
      <c r="CT34" s="106">
        <f>SUM(HR!$D$27:$D$29)*'3. Variable Costs'!$C$34*CT5</f>
        <v>-4601.0198442176952</v>
      </c>
      <c r="CU34" s="108"/>
      <c r="CV34" s="107"/>
      <c r="CW34" s="106"/>
      <c r="CX34" s="106"/>
      <c r="CY34" s="106"/>
      <c r="CZ34" s="106">
        <f>SUM(HR!$D$27:$D$29)*'3. Variable Costs'!$C$34*CZ5</f>
        <v>-4890.88409440341</v>
      </c>
      <c r="DA34" s="106"/>
      <c r="DB34" s="106"/>
      <c r="DC34" s="106"/>
      <c r="DD34" s="106"/>
      <c r="DE34" s="106"/>
      <c r="DF34" s="106">
        <f>SUM(HR!$D$27:$D$29)*'3. Variable Costs'!$C$34*DF5</f>
        <v>-4890.88409440341</v>
      </c>
      <c r="DG34" s="108"/>
      <c r="DH34" s="107"/>
      <c r="DI34" s="106"/>
      <c r="DJ34" s="106"/>
      <c r="DK34" s="106"/>
      <c r="DL34" s="106">
        <f>SUM(HR!$D$27:$D$29)*'3. Variable Costs'!$C$34*DL5</f>
        <v>-5199.0097923508247</v>
      </c>
      <c r="DM34" s="106"/>
      <c r="DN34" s="106"/>
      <c r="DO34" s="106"/>
      <c r="DP34" s="106"/>
      <c r="DQ34" s="106"/>
      <c r="DR34" s="106">
        <f>SUM(HR!$D$27:$D$29)*'3. Variable Costs'!$C$34*DR5</f>
        <v>-5199.0097923508247</v>
      </c>
      <c r="DS34" s="108"/>
      <c r="DT34" s="832"/>
    </row>
    <row r="35" spans="1:124" ht="15" x14ac:dyDescent="0.25">
      <c r="B35" s="160" t="s">
        <v>189</v>
      </c>
      <c r="C35" s="7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>
        <f>-SUM(Elec!$J$5:$J$17)*Elec!$I$31</f>
        <v>-15882.331322880002</v>
      </c>
      <c r="O35" s="497">
        <f>-SUM(Elec!$J$5:$J$17)*Elec!$I$31</f>
        <v>-15882.331322880002</v>
      </c>
      <c r="P35" s="107">
        <f>-SUM(Elec!$J$5:$J$17)*Elec!$I$31</f>
        <v>-15882.331322880002</v>
      </c>
      <c r="Q35" s="106">
        <f>-SUM(Elec!$J$5:$J$17)*Elec!$I$31</f>
        <v>-15882.331322880002</v>
      </c>
      <c r="R35" s="106">
        <f>-SUM(Elec!$J$5:$J$17)*Elec!$I$31</f>
        <v>-15882.331322880002</v>
      </c>
      <c r="S35" s="106">
        <f>-SUM(Elec!$J$5:$J$17)*Elec!$I$31</f>
        <v>-15882.331322880002</v>
      </c>
      <c r="T35" s="106">
        <f>-SUM(Elec!$J$5:$J$17)*Elec!$I$31</f>
        <v>-15882.331322880002</v>
      </c>
      <c r="U35" s="106">
        <f>-SUM(Elec!$J$5:$J$17)*Elec!$I$31</f>
        <v>-15882.331322880002</v>
      </c>
      <c r="V35" s="106">
        <f>-SUM(Elec!$J$5:$J$17)*Elec!$I$31</f>
        <v>-15882.331322880002</v>
      </c>
      <c r="W35" s="106">
        <f>-SUM(Elec!$J$5:$J$17)*Elec!$I$31</f>
        <v>-15882.331322880002</v>
      </c>
      <c r="X35" s="106">
        <f>-SUM(Elec!$J$5:$J$17)*Elec!$I$31</f>
        <v>-15882.331322880002</v>
      </c>
      <c r="Y35" s="106">
        <f>-SUM(Elec!$J$5:$J$17)*Elec!$I$31</f>
        <v>-15882.331322880002</v>
      </c>
      <c r="Z35" s="106">
        <f>-SUM(Elec!$J$5:$J$17)*Elec!$I$31</f>
        <v>-15882.331322880002</v>
      </c>
      <c r="AA35" s="108">
        <f>-SUM(Elec!$J$5:$J$17)*Elec!$I$31</f>
        <v>-15882.331322880002</v>
      </c>
      <c r="AB35" s="107">
        <f>-SUM(Elec!$L$5:$L$17)*Elec!$I$31</f>
        <v>-16107.612618240004</v>
      </c>
      <c r="AC35" s="106">
        <f>-SUM(Elec!$L$5:$L$17)*Elec!$I$31</f>
        <v>-16107.612618240004</v>
      </c>
      <c r="AD35" s="106">
        <f>-SUM(Elec!$L$5:$L$17)*Elec!$I$31</f>
        <v>-16107.612618240004</v>
      </c>
      <c r="AE35" s="106">
        <f>-SUM(Elec!$L$5:$L$17)*Elec!$I$31</f>
        <v>-16107.612618240004</v>
      </c>
      <c r="AF35" s="106">
        <f>-SUM(Elec!$L$5:$L$17)*Elec!$I$31</f>
        <v>-16107.612618240004</v>
      </c>
      <c r="AG35" s="106">
        <f>-SUM(Elec!$L$5:$L$17)*Elec!$I$31</f>
        <v>-16107.612618240004</v>
      </c>
      <c r="AH35" s="106">
        <f>-SUM(Elec!$L$5:$L$17)*Elec!$I$31</f>
        <v>-16107.612618240004</v>
      </c>
      <c r="AI35" s="106">
        <f>-SUM(Elec!$L$5:$L$17)*Elec!$I$31</f>
        <v>-16107.612618240004</v>
      </c>
      <c r="AJ35" s="106">
        <f>-SUM(Elec!$L$5:$L$17)*Elec!$I$31</f>
        <v>-16107.612618240004</v>
      </c>
      <c r="AK35" s="106">
        <f>-SUM(Elec!$L$5:$L$17)*Elec!$I$31</f>
        <v>-16107.612618240004</v>
      </c>
      <c r="AL35" s="106">
        <f>-SUM(Elec!$L$5:$L$17)*Elec!$I$31</f>
        <v>-16107.612618240004</v>
      </c>
      <c r="AM35" s="108">
        <f>-SUM(Elec!$L$5:$L$17)*Elec!$I$31</f>
        <v>-16107.612618240004</v>
      </c>
      <c r="AN35" s="107">
        <f>-SUM(Elec!$N$5:$N$17)*Elec!$I$31</f>
        <v>-17718.373880064002</v>
      </c>
      <c r="AO35" s="106">
        <f>-SUM(Elec!$N$5:$N$17)*Elec!$I$31</f>
        <v>-17718.373880064002</v>
      </c>
      <c r="AP35" s="106">
        <f>-SUM(Elec!$N$5:$N$17)*Elec!$I$31</f>
        <v>-17718.373880064002</v>
      </c>
      <c r="AQ35" s="106">
        <f>-SUM(Elec!$N$5:$N$17)*Elec!$I$31</f>
        <v>-17718.373880064002</v>
      </c>
      <c r="AR35" s="106">
        <f>-SUM(Elec!$N$5:$N$17)*Elec!$I$31</f>
        <v>-17718.373880064002</v>
      </c>
      <c r="AS35" s="106">
        <f>-SUM(Elec!$N$5:$N$17)*Elec!$I$31</f>
        <v>-17718.373880064002</v>
      </c>
      <c r="AT35" s="106">
        <f>-SUM(Elec!$N$5:$N$17)*Elec!$I$31</f>
        <v>-17718.373880064002</v>
      </c>
      <c r="AU35" s="106">
        <f>-SUM(Elec!$N$5:$N$17)*Elec!$I$31</f>
        <v>-17718.373880064002</v>
      </c>
      <c r="AV35" s="106">
        <f>-SUM(Elec!$N$5:$N$17)*Elec!$I$31</f>
        <v>-17718.373880064002</v>
      </c>
      <c r="AW35" s="106">
        <f>-SUM(Elec!$N$5:$N$17)*Elec!$I$31</f>
        <v>-17718.373880064002</v>
      </c>
      <c r="AX35" s="106">
        <f>-SUM(Elec!$N$5:$N$17)*Elec!$I$31</f>
        <v>-17718.373880064002</v>
      </c>
      <c r="AY35" s="108">
        <f>-SUM(Elec!$N$5:$N$17)*Elec!$I$31</f>
        <v>-17718.373880064002</v>
      </c>
      <c r="AZ35" s="107">
        <f>-SUM(Elec!$P$5:$P$17)*Elec!$I$31</f>
        <v>-19490.211268070409</v>
      </c>
      <c r="BA35" s="106">
        <f>-SUM(Elec!$P$5:$P$17)*Elec!$I$31</f>
        <v>-19490.211268070409</v>
      </c>
      <c r="BB35" s="106">
        <f>-SUM(Elec!$P$5:$P$17)*Elec!$I$31</f>
        <v>-19490.211268070409</v>
      </c>
      <c r="BC35" s="106">
        <f>-SUM(Elec!$P$5:$P$17)*Elec!$I$31</f>
        <v>-19490.211268070409</v>
      </c>
      <c r="BD35" s="106">
        <f>-SUM(Elec!$P$5:$P$17)*Elec!$I$31</f>
        <v>-19490.211268070409</v>
      </c>
      <c r="BE35" s="106">
        <f>-SUM(Elec!$P$5:$P$17)*Elec!$I$31</f>
        <v>-19490.211268070409</v>
      </c>
      <c r="BF35" s="106">
        <f>-SUM(Elec!$P$5:$P$17)*Elec!$I$31</f>
        <v>-19490.211268070409</v>
      </c>
      <c r="BG35" s="106">
        <f>-SUM(Elec!$P$5:$P$17)*Elec!$I$31</f>
        <v>-19490.211268070409</v>
      </c>
      <c r="BH35" s="106">
        <f>-SUM(Elec!$P$5:$P$17)*Elec!$I$31</f>
        <v>-19490.211268070409</v>
      </c>
      <c r="BI35" s="106">
        <f>-SUM(Elec!$P$5:$P$17)*Elec!$I$31</f>
        <v>-19490.211268070409</v>
      </c>
      <c r="BJ35" s="106">
        <f>-SUM(Elec!$P$5:$P$17)*Elec!$I$31</f>
        <v>-19490.211268070409</v>
      </c>
      <c r="BK35" s="108">
        <f>-SUM(Elec!$P$5:$P$17)*Elec!$I$31</f>
        <v>-19490.211268070409</v>
      </c>
      <c r="BL35" s="107">
        <f>-SUM(Elec!$R$5:$R$17)*Elec!$I$31</f>
        <v>-21439.232394877454</v>
      </c>
      <c r="BM35" s="106">
        <f>-SUM(Elec!$R$5:$R$17)*Elec!$I$31</f>
        <v>-21439.232394877454</v>
      </c>
      <c r="BN35" s="106">
        <f>-SUM(Elec!$R$5:$R$17)*Elec!$I$31</f>
        <v>-21439.232394877454</v>
      </c>
      <c r="BO35" s="106">
        <f>-SUM(Elec!$R$5:$R$17)*Elec!$I$31</f>
        <v>-21439.232394877454</v>
      </c>
      <c r="BP35" s="106">
        <f>-SUM(Elec!$R$5:$R$17)*Elec!$I$31</f>
        <v>-21439.232394877454</v>
      </c>
      <c r="BQ35" s="106">
        <f>-SUM(Elec!$R$5:$R$17)*Elec!$I$31</f>
        <v>-21439.232394877454</v>
      </c>
      <c r="BR35" s="106">
        <f>-SUM(Elec!$R$5:$R$17)*Elec!$I$31</f>
        <v>-21439.232394877454</v>
      </c>
      <c r="BS35" s="106">
        <f>-SUM(Elec!$R$5:$R$17)*Elec!$I$31</f>
        <v>-21439.232394877454</v>
      </c>
      <c r="BT35" s="106">
        <f>-SUM(Elec!$R$5:$R$17)*Elec!$I$31</f>
        <v>-21439.232394877454</v>
      </c>
      <c r="BU35" s="106">
        <f>-SUM(Elec!$R$5:$R$17)*Elec!$I$31</f>
        <v>-21439.232394877454</v>
      </c>
      <c r="BV35" s="106">
        <f>-SUM(Elec!$R$5:$R$17)*Elec!$I$31</f>
        <v>-21439.232394877454</v>
      </c>
      <c r="BW35" s="108">
        <f>-SUM(Elec!$R$5:$R$17)*Elec!$I$31</f>
        <v>-21439.232394877454</v>
      </c>
      <c r="BX35" s="107">
        <f>-SUM(Elec!$T$5:$T$17)*Elec!$I$31</f>
        <v>-23583.155634365205</v>
      </c>
      <c r="BY35" s="106">
        <f>-SUM(Elec!$T$5:$T$17)*Elec!$I$31</f>
        <v>-23583.155634365205</v>
      </c>
      <c r="BZ35" s="106">
        <f>-SUM(Elec!$T$5:$T$17)*Elec!$I$31</f>
        <v>-23583.155634365205</v>
      </c>
      <c r="CA35" s="106">
        <f>-SUM(Elec!$T$5:$T$17)*Elec!$I$31</f>
        <v>-23583.155634365205</v>
      </c>
      <c r="CB35" s="106">
        <f>-SUM(Elec!$T$5:$T$17)*Elec!$I$31</f>
        <v>-23583.155634365205</v>
      </c>
      <c r="CC35" s="106">
        <f>-SUM(Elec!$T$5:$T$17)*Elec!$I$31</f>
        <v>-23583.155634365205</v>
      </c>
      <c r="CD35" s="106">
        <f>-SUM(Elec!$T$5:$T$17)*Elec!$I$31</f>
        <v>-23583.155634365205</v>
      </c>
      <c r="CE35" s="106">
        <f>-SUM(Elec!$T$5:$T$17)*Elec!$I$31</f>
        <v>-23583.155634365205</v>
      </c>
      <c r="CF35" s="106">
        <f>-SUM(Elec!$T$5:$T$17)*Elec!$I$31</f>
        <v>-23583.155634365205</v>
      </c>
      <c r="CG35" s="106">
        <f>-SUM(Elec!$T$5:$T$17)*Elec!$I$31</f>
        <v>-23583.155634365205</v>
      </c>
      <c r="CH35" s="106">
        <f>-SUM(Elec!$T$5:$T$17)*Elec!$I$31</f>
        <v>-23583.155634365205</v>
      </c>
      <c r="CI35" s="108">
        <f>-SUM(Elec!$T$5:$T$17)*Elec!$I$31</f>
        <v>-23583.155634365205</v>
      </c>
      <c r="CJ35" s="107">
        <f>-SUM(Elec!$V$5:$V$17)*Elec!$I$31</f>
        <v>-25941.471197801726</v>
      </c>
      <c r="CK35" s="106">
        <f>-SUM(Elec!$V$5:$V$17)*Elec!$I$31</f>
        <v>-25941.471197801726</v>
      </c>
      <c r="CL35" s="106">
        <f>-SUM(Elec!$V$5:$V$17)*Elec!$I$31</f>
        <v>-25941.471197801726</v>
      </c>
      <c r="CM35" s="106">
        <f>-SUM(Elec!$V$5:$V$17)*Elec!$I$31</f>
        <v>-25941.471197801726</v>
      </c>
      <c r="CN35" s="106">
        <f>-SUM(Elec!$V$5:$V$17)*Elec!$I$31</f>
        <v>-25941.471197801726</v>
      </c>
      <c r="CO35" s="106">
        <f>-SUM(Elec!$V$5:$V$17)*Elec!$I$31</f>
        <v>-25941.471197801726</v>
      </c>
      <c r="CP35" s="106">
        <f>-SUM(Elec!$V$5:$V$17)*Elec!$I$31</f>
        <v>-25941.471197801726</v>
      </c>
      <c r="CQ35" s="106">
        <f>-SUM(Elec!$V$5:$V$17)*Elec!$I$31</f>
        <v>-25941.471197801726</v>
      </c>
      <c r="CR35" s="106">
        <f>-SUM(Elec!$V$5:$V$17)*Elec!$I$31</f>
        <v>-25941.471197801726</v>
      </c>
      <c r="CS35" s="106">
        <f>-SUM(Elec!$V$5:$V$17)*Elec!$I$31</f>
        <v>-25941.471197801726</v>
      </c>
      <c r="CT35" s="106">
        <f>-SUM(Elec!$V$5:$V$17)*Elec!$I$31</f>
        <v>-25941.471197801726</v>
      </c>
      <c r="CU35" s="108">
        <f>-SUM(Elec!$V$5:$V$17)*Elec!$I$31</f>
        <v>-25941.471197801726</v>
      </c>
      <c r="CV35" s="107">
        <f>-SUM(Elec!$X$5:$X$17)*Elec!$I$31</f>
        <v>-28535.618317581899</v>
      </c>
      <c r="CW35" s="106">
        <f>-SUM(Elec!$X$5:$X$17)*Elec!$I$31</f>
        <v>-28535.618317581899</v>
      </c>
      <c r="CX35" s="106">
        <f>-SUM(Elec!$X$5:$X$17)*Elec!$I$31</f>
        <v>-28535.618317581899</v>
      </c>
      <c r="CY35" s="106">
        <f>-SUM(Elec!$X$5:$X$17)*Elec!$I$31</f>
        <v>-28535.618317581899</v>
      </c>
      <c r="CZ35" s="106">
        <f>-SUM(Elec!$X$5:$X$17)*Elec!$I$31</f>
        <v>-28535.618317581899</v>
      </c>
      <c r="DA35" s="106">
        <f>-SUM(Elec!$X$5:$X$17)*Elec!$I$31</f>
        <v>-28535.618317581899</v>
      </c>
      <c r="DB35" s="106">
        <f>-SUM(Elec!$X$5:$X$17)*Elec!$I$31</f>
        <v>-28535.618317581899</v>
      </c>
      <c r="DC35" s="106">
        <f>-SUM(Elec!$X$5:$X$17)*Elec!$I$31</f>
        <v>-28535.618317581899</v>
      </c>
      <c r="DD35" s="106">
        <f>-SUM(Elec!$X$5:$X$17)*Elec!$I$31</f>
        <v>-28535.618317581899</v>
      </c>
      <c r="DE35" s="106">
        <f>-SUM(Elec!$X$5:$X$17)*Elec!$I$31</f>
        <v>-28535.618317581899</v>
      </c>
      <c r="DF35" s="106">
        <f>-SUM(Elec!$X$5:$X$17)*Elec!$I$31</f>
        <v>-28535.618317581899</v>
      </c>
      <c r="DG35" s="108">
        <f>-SUM(Elec!$X$5:$X$17)*Elec!$I$31</f>
        <v>-28535.618317581899</v>
      </c>
      <c r="DH35" s="107">
        <f>-SUM(Elec!$Z$5:$Z$17)*Elec!$I$31</f>
        <v>-31389.1801493401</v>
      </c>
      <c r="DI35" s="106">
        <f>-SUM(Elec!$Z$5:$Z$17)*Elec!$I$31</f>
        <v>-31389.1801493401</v>
      </c>
      <c r="DJ35" s="106">
        <f>-SUM(Elec!$Z$5:$Z$17)*Elec!$I$31</f>
        <v>-31389.1801493401</v>
      </c>
      <c r="DK35" s="106">
        <f>-SUM(Elec!$Z$5:$Z$17)*Elec!$I$31</f>
        <v>-31389.1801493401</v>
      </c>
      <c r="DL35" s="106">
        <f>-SUM(Elec!$Z$5:$Z$17)*Elec!$I$31</f>
        <v>-31389.1801493401</v>
      </c>
      <c r="DM35" s="106">
        <f>-SUM(Elec!$Z$5:$Z$17)*Elec!$I$31</f>
        <v>-31389.1801493401</v>
      </c>
      <c r="DN35" s="106">
        <f>-SUM(Elec!$Z$5:$Z$17)*Elec!$I$31</f>
        <v>-31389.1801493401</v>
      </c>
      <c r="DO35" s="106">
        <f>-SUM(Elec!$Z$5:$Z$17)*Elec!$I$31</f>
        <v>-31389.1801493401</v>
      </c>
      <c r="DP35" s="106">
        <f>-SUM(Elec!$Z$5:$Z$17)*Elec!$I$31</f>
        <v>-31389.1801493401</v>
      </c>
      <c r="DQ35" s="106">
        <f>-SUM(Elec!$Z$5:$Z$17)*Elec!$I$31</f>
        <v>-31389.1801493401</v>
      </c>
      <c r="DR35" s="106">
        <f>-SUM(Elec!$Z$5:$Z$17)*Elec!$I$31</f>
        <v>-31389.1801493401</v>
      </c>
      <c r="DS35" s="108">
        <f>-SUM(Elec!$Z$5:$Z$17)*Elec!$I$31</f>
        <v>-31389.1801493401</v>
      </c>
      <c r="DT35" s="832"/>
    </row>
    <row r="36" spans="1:124" ht="15" x14ac:dyDescent="0.25">
      <c r="B36" s="160" t="s">
        <v>555</v>
      </c>
      <c r="C36" s="7">
        <v>-10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>
        <f>'Summary Bioplan'!O26*$C$36*N5</f>
        <v>-1440</v>
      </c>
      <c r="O36" s="779">
        <f>'Summary Bioplan'!P26*$C$36*O5</f>
        <v>-1448.6651028344058</v>
      </c>
      <c r="P36" s="107">
        <f>'Summary Bioplan'!Q26*$C$36*P5</f>
        <v>-1549.1974352228769</v>
      </c>
      <c r="Q36" s="106">
        <f>'Summary Bioplan'!R26*$C$36*Q5</f>
        <v>-1558.5196262555189</v>
      </c>
      <c r="R36" s="106">
        <f>'Summary Bioplan'!S26*$C$36*R5</f>
        <v>-1567.8979129436743</v>
      </c>
      <c r="S36" s="106">
        <f>'Summary Bioplan'!T26*$C$36*S5</f>
        <v>-1577.3326328391652</v>
      </c>
      <c r="T36" s="106">
        <f>'Summary Bioplan'!U26*$C$36*T5</f>
        <v>-1586.8241255250091</v>
      </c>
      <c r="U36" s="106">
        <f>'Summary Bioplan'!V26*$C$36*U5</f>
        <v>-1596.3727326276412</v>
      </c>
      <c r="V36" s="106">
        <f>'Summary Bioplan'!W26*$C$36*V5</f>
        <v>-1605.9787978292102</v>
      </c>
      <c r="W36" s="106">
        <f>'Summary Bioplan'!X26*$C$36*W5</f>
        <v>-1615.6426668799504</v>
      </c>
      <c r="X36" s="106">
        <f>'Summary Bioplan'!Y26*$C$36*X5</f>
        <v>-1625.3646876106222</v>
      </c>
      <c r="Y36" s="106">
        <f>'Summary Bioplan'!Z26*$C$36*Y5</f>
        <v>-1635.1452099450375</v>
      </c>
      <c r="Z36" s="106">
        <f>'Summary Bioplan'!AA26*$C$36*Z5</f>
        <v>-1644.9845859126488</v>
      </c>
      <c r="AA36" s="108">
        <f>'Summary Bioplan'!AB26*$C$36*AA5</f>
        <v>-1654.8831696612222</v>
      </c>
      <c r="AB36" s="107">
        <f>'Summary Bioplan'!AC26*$C$36*AB5</f>
        <v>-1769.7263204701678</v>
      </c>
      <c r="AC36" s="106">
        <f>'Summary Bioplan'!AD26*$C$36*AC5</f>
        <v>-1780.3755291893542</v>
      </c>
      <c r="AD36" s="106">
        <f>'Summary Bioplan'!AE26*$C$36*AD5</f>
        <v>-1791.0888188034417</v>
      </c>
      <c r="AE36" s="106">
        <f>'Summary Bioplan'!AF26*$C$36*AE5</f>
        <v>-1801.8665749148897</v>
      </c>
      <c r="AF36" s="106">
        <f>'Summary Bioplan'!AG26*$C$36*AF5</f>
        <v>-1812.7091854464986</v>
      </c>
      <c r="AG36" s="106">
        <f>'Summary Bioplan'!AH26*$C$36*AG5</f>
        <v>-1823.6170406553633</v>
      </c>
      <c r="AH36" s="106">
        <f>'Summary Bioplan'!AI26*$C$36*AH5</f>
        <v>-1834.590533146928</v>
      </c>
      <c r="AI36" s="106">
        <f>'Summary Bioplan'!AJ26*$C$36*AI5</f>
        <v>-1845.6300578891125</v>
      </c>
      <c r="AJ36" s="106">
        <f>'Summary Bioplan'!AK26*$C$36*AJ5</f>
        <v>-1856.7360122265288</v>
      </c>
      <c r="AK36" s="106">
        <f>'Summary Bioplan'!AL26*$C$36*AK5</f>
        <v>-1867.9087958947835</v>
      </c>
      <c r="AL36" s="106">
        <f>'Summary Bioplan'!AM26*$C$36*AL5</f>
        <v>-1879.1488110348664</v>
      </c>
      <c r="AM36" s="108">
        <f>'Summary Bioplan'!AN26*$C$36*AM5</f>
        <v>-1890.4564622076223</v>
      </c>
      <c r="AN36" s="107">
        <f>'Summary Bioplan'!AO26*$C$36*AN5</f>
        <v>-2021.6475822620373</v>
      </c>
      <c r="AO36" s="106">
        <f>'Summary Bioplan'!AP26*$C$36*AO5</f>
        <v>-2033.8127101753905</v>
      </c>
      <c r="AP36" s="106">
        <f>'Summary Bioplan'!AQ26*$C$36*AP5</f>
        <v>-2046.0510409251065</v>
      </c>
      <c r="AQ36" s="106">
        <f>'Summary Bioplan'!AR26*$C$36*AQ5</f>
        <v>-2058.3630150043141</v>
      </c>
      <c r="AR36" s="106">
        <f>'Summary Bioplan'!AS26*$C$36*AR5</f>
        <v>-2070.7490755567796</v>
      </c>
      <c r="AS36" s="106">
        <f>'Summary Bioplan'!AT26*$C$36*AS5</f>
        <v>-2083.2096683928557</v>
      </c>
      <c r="AT36" s="106">
        <f>'Summary Bioplan'!AU26*$C$36*AT5</f>
        <v>-2095.7452420055306</v>
      </c>
      <c r="AU36" s="106">
        <f>'Summary Bioplan'!AV26*$C$36*AU5</f>
        <v>-2108.3562475865683</v>
      </c>
      <c r="AV36" s="106">
        <f>'Summary Bioplan'!AW26*$C$36*AV5</f>
        <v>-2121.0431390427484</v>
      </c>
      <c r="AW36" s="106">
        <f>'Summary Bioplan'!AX26*$C$36*AW5</f>
        <v>-2133.8063730122044</v>
      </c>
      <c r="AX36" s="106">
        <f>'Summary Bioplan'!AY26*$C$36*AX5</f>
        <v>-2146.646408880858</v>
      </c>
      <c r="AY36" s="108">
        <f>'Summary Bioplan'!AZ26*$C$36*AY5</f>
        <v>-2159.5637087989553</v>
      </c>
      <c r="AZ36" s="107">
        <f>'Summary Bioplan'!BA26*$C$36*AZ5</f>
        <v>-2309.4299381726555</v>
      </c>
      <c r="BA36" s="106">
        <f>'Summary Bioplan'!BB26*$C$36*BA5</f>
        <v>-2323.3267769942677</v>
      </c>
      <c r="BB36" s="106">
        <f>'Summary Bioplan'!BC26*$C$36*BB5</f>
        <v>-2337.307239105784</v>
      </c>
      <c r="BC36" s="106">
        <f>'Summary Bioplan'!BD26*$C$36*BC5</f>
        <v>-2351.3718277047096</v>
      </c>
      <c r="BD36" s="106">
        <f>'Summary Bioplan'!BE26*$C$36*BD5</f>
        <v>-2365.521049016505</v>
      </c>
      <c r="BE36" s="106">
        <f>'Summary Bioplan'!BF26*$C$36*BE5</f>
        <v>-2379.7554123128102</v>
      </c>
      <c r="BF36" s="106">
        <f>'Summary Bioplan'!BG26*$C$36*BF5</f>
        <v>-2394.0754299297714</v>
      </c>
      <c r="BG36" s="106">
        <f>'Summary Bioplan'!BH26*$C$36*BG5</f>
        <v>-2408.4816172864839</v>
      </c>
      <c r="BH36" s="106">
        <f>'Summary Bioplan'!BI26*$C$36*BH5</f>
        <v>-2422.9744929035414</v>
      </c>
      <c r="BI36" s="106">
        <f>'Summary Bioplan'!BJ26*$C$36*BI5</f>
        <v>-2437.554578421702</v>
      </c>
      <c r="BJ36" s="106">
        <f>'Summary Bioplan'!BK26*$C$36*BJ5</f>
        <v>-2452.2223986206604</v>
      </c>
      <c r="BK36" s="108">
        <f>'Summary Bioplan'!BL26*$C$36*BK5</f>
        <v>-2466.9784814379391</v>
      </c>
      <c r="BL36" s="107">
        <f>'Summary Bioplan'!BM26*$C$36*BL5</f>
        <v>-2638.1782295411244</v>
      </c>
      <c r="BM36" s="106">
        <f>'Summary Bioplan'!BN26*$C$36*BM5</f>
        <v>-2654.0532890233917</v>
      </c>
      <c r="BN36" s="106">
        <f>'Summary Bioplan'!BO26*$C$36*BN5</f>
        <v>-2670.0238756049057</v>
      </c>
      <c r="BO36" s="106">
        <f>'Summary Bioplan'!BP26*$C$36*BO5</f>
        <v>-2686.0905641135414</v>
      </c>
      <c r="BP36" s="106">
        <f>'Summary Bioplan'!BQ26*$C$36*BP5</f>
        <v>-2702.2539328361595</v>
      </c>
      <c r="BQ36" s="106">
        <f>'Summary Bioplan'!BR26*$C$36*BQ5</f>
        <v>-2718.5145635394256</v>
      </c>
      <c r="BR36" s="106">
        <f>'Summary Bioplan'!BS26*$C$36*BR5</f>
        <v>-2734.8730414907441</v>
      </c>
      <c r="BS36" s="106">
        <f>'Summary Bioplan'!BT26*$C$36*BS5</f>
        <v>-2751.3299554793284</v>
      </c>
      <c r="BT36" s="106">
        <f>'Summary Bioplan'!BU26*$C$36*BT5</f>
        <v>-2767.8858978373896</v>
      </c>
      <c r="BU36" s="106">
        <f>'Summary Bioplan'!BV26*$C$36*BU5</f>
        <v>-2784.5414644614616</v>
      </c>
      <c r="BV36" s="106">
        <f>'Summary Bioplan'!BW26*$C$36*BV5</f>
        <v>-2801.2972548338407</v>
      </c>
      <c r="BW36" s="108">
        <f>'Summary Bioplan'!BX26*$C$36*BW5</f>
        <v>-2818.153872044169</v>
      </c>
      <c r="BX36" s="107">
        <f>'Summary Bioplan'!BY26*$C$36*BX5</f>
        <v>-3013.7239739482438</v>
      </c>
      <c r="BY36" s="106">
        <f>'Summary Bioplan'!BZ26*$C$36*BY5</f>
        <v>-3031.858854607116</v>
      </c>
      <c r="BZ36" s="106">
        <f>'Summary Bioplan'!CA26*$C$36*BZ5</f>
        <v>-3050.1028606866812</v>
      </c>
      <c r="CA36" s="106">
        <f>'Summary Bioplan'!CB26*$C$36*CA5</f>
        <v>-3068.4566488417959</v>
      </c>
      <c r="CB36" s="106">
        <f>'Summary Bioplan'!CC26*$C$36*CB5</f>
        <v>-3086.9208796786916</v>
      </c>
      <c r="CC36" s="106">
        <f>'Summary Bioplan'!CD26*$C$36*CC5</f>
        <v>-3105.4962177787543</v>
      </c>
      <c r="CD36" s="106">
        <f>'Summary Bioplan'!CE26*$C$36*CD5</f>
        <v>-3124.1833317224418</v>
      </c>
      <c r="CE36" s="106">
        <f>'Summary Bioplan'!CF26*$C$36*CE5</f>
        <v>-3142.9828941133519</v>
      </c>
      <c r="CF36" s="106">
        <f>'Summary Bioplan'!CG26*$C$36*CF5</f>
        <v>-3161.895581602429</v>
      </c>
      <c r="CG36" s="106">
        <f>'Summary Bioplan'!CH26*$C$36*CG5</f>
        <v>-3180.9220749123165</v>
      </c>
      <c r="CH36" s="106">
        <f>'Summary Bioplan'!CI26*$C$36*CH5</f>
        <v>-3200.0630588618628</v>
      </c>
      <c r="CI36" s="108">
        <f>'Summary Bioplan'!CJ26*$C$36*CI5</f>
        <v>-3219.3192223907658</v>
      </c>
      <c r="CJ36" s="107">
        <f>'Summary Bioplan'!CK26*$C$36*CJ5</f>
        <v>-3442.7288078751894</v>
      </c>
      <c r="CK36" s="106">
        <f>'Summary Bioplan'!CL26*$C$36*CK5</f>
        <v>-3463.4451961746408</v>
      </c>
      <c r="CL36" s="106">
        <f>'Summary Bioplan'!CM26*$C$36*CL5</f>
        <v>-3484.2862439428222</v>
      </c>
      <c r="CM36" s="106">
        <f>'Summary Bioplan'!CN26*$C$36*CM5</f>
        <v>-3505.2527013096769</v>
      </c>
      <c r="CN36" s="106">
        <f>'Summary Bioplan'!CO26*$C$36*CN5</f>
        <v>-3526.3453229190004</v>
      </c>
      <c r="CO36" s="106">
        <f>'Summary Bioplan'!CP26*$C$36*CO5</f>
        <v>-3547.5648679556107</v>
      </c>
      <c r="CP36" s="106">
        <f>'Summary Bioplan'!CQ26*$C$36*CP5</f>
        <v>-3568.9121001726671</v>
      </c>
      <c r="CQ36" s="106">
        <f>'Summary Bioplan'!CR26*$C$36*CQ5</f>
        <v>-3590.3877879191609</v>
      </c>
      <c r="CR36" s="106">
        <f>'Summary Bioplan'!CS26*$C$36*CR5</f>
        <v>-3611.9927041675737</v>
      </c>
      <c r="CS36" s="106">
        <f>'Summary Bioplan'!CT26*$C$36*CS5</f>
        <v>-3633.7276265416958</v>
      </c>
      <c r="CT36" s="106">
        <f>'Summary Bioplan'!CU26*$C$36*CT5</f>
        <v>-3655.5933373446155</v>
      </c>
      <c r="CU36" s="108">
        <f>'Summary Bioplan'!CV26*$C$36*CU5</f>
        <v>-3677.5906235868792</v>
      </c>
      <c r="CV36" s="107">
        <f>'Summary Bioplan'!CW26*$C$36*CV5</f>
        <v>-3932.8026544667468</v>
      </c>
      <c r="CW36" s="106">
        <f>'Summary Bioplan'!CX26*$C$36*CW5</f>
        <v>-3956.468029069787</v>
      </c>
      <c r="CX36" s="106">
        <f>'Summary Bioplan'!CY26*$C$36*CX5</f>
        <v>-3980.2758084676543</v>
      </c>
      <c r="CY36" s="106">
        <f>'Summary Bioplan'!CZ26*$C$36*CY5</f>
        <v>-4004.2268495715916</v>
      </c>
      <c r="CZ36" s="106">
        <f>'Summary Bioplan'!DA26*$C$36*CZ5</f>
        <v>-4028.3220144492484</v>
      </c>
      <c r="DA36" s="106">
        <f>'Summary Bioplan'!DB26*$C$36*DA5</f>
        <v>-4052.5621703557085</v>
      </c>
      <c r="DB36" s="106">
        <f>'Summary Bioplan'!DC26*$C$36*DB5</f>
        <v>-4076.9481897647051</v>
      </c>
      <c r="DC36" s="106">
        <f>'Summary Bioplan'!DD26*$C$36*DC5</f>
        <v>-4101.4809504000214</v>
      </c>
      <c r="DD36" s="106">
        <f>'Summary Bioplan'!DE26*$C$36*DD5</f>
        <v>-4126.1613352670856</v>
      </c>
      <c r="DE36" s="106">
        <f>'Summary Bioplan'!DF26*$C$36*DE5</f>
        <v>-4150.9902326847514</v>
      </c>
      <c r="DF36" s="106">
        <f>'Summary Bioplan'!DG26*$C$36*DF5</f>
        <v>-4175.9685363172694</v>
      </c>
      <c r="DG36" s="108">
        <f>'Summary Bioplan'!DH26*$C$36*DG5</f>
        <v>-4201.0971452064587</v>
      </c>
      <c r="DH36" s="107">
        <f>'Summary Bioplan'!DI26*$C$36*DH5</f>
        <v>-4492.6387125237134</v>
      </c>
      <c r="DI36" s="106">
        <f>'Summary Bioplan'!DJ26*$C$36*DI5</f>
        <v>-4519.6728628305536</v>
      </c>
      <c r="DJ36" s="106">
        <f>'Summary Bioplan'!DK26*$C$36*DJ5</f>
        <v>-4546.8696893127071</v>
      </c>
      <c r="DK36" s="106">
        <f>'Summary Bioplan'!DL26*$C$36*DK5</f>
        <v>-4574.2301708630785</v>
      </c>
      <c r="DL36" s="106">
        <f>'Summary Bioplan'!DM26*$C$36*DL5</f>
        <v>-4601.7552922650029</v>
      </c>
      <c r="DM36" s="106">
        <f>'Summary Bioplan'!DN26*$C$36*DM5</f>
        <v>-4629.4460442276741</v>
      </c>
      <c r="DN36" s="106">
        <f>'Summary Bioplan'!DO26*$C$36*DN5</f>
        <v>-4657.3034234218176</v>
      </c>
      <c r="DO36" s="106">
        <f>'Summary Bioplan'!DP26*$C$36*DO5</f>
        <v>-4685.3284325155528</v>
      </c>
      <c r="DP36" s="106">
        <f>'Summary Bioplan'!DQ26*$C$36*DP5</f>
        <v>-4713.5220802104923</v>
      </c>
      <c r="DQ36" s="106">
        <f>'Summary Bioplan'!DR26*$C$36*DQ5</f>
        <v>-4741.885381278038</v>
      </c>
      <c r="DR36" s="106">
        <f>'Summary Bioplan'!DS26*$C$36*DR5</f>
        <v>-4770.4193565959113</v>
      </c>
      <c r="DS36" s="108">
        <f>'Summary Bioplan'!DT26*$C$36*DS5</f>
        <v>-4799.1250331849005</v>
      </c>
      <c r="DT36" s="832"/>
    </row>
    <row r="37" spans="1:124" ht="15" x14ac:dyDescent="0.25">
      <c r="B37" s="160" t="s">
        <v>695</v>
      </c>
      <c r="C37" s="7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>
        <f>-'Batch 1'!D49*Assumptions!$C$51*'3. Variable Costs'!N5</f>
        <v>-205000</v>
      </c>
      <c r="O37" s="770"/>
      <c r="P37" s="107"/>
      <c r="Q37" s="106">
        <f>-Batch2!D49*Assumptions!$C$51*'3. Variable Costs'!Q5</f>
        <v>-217915</v>
      </c>
      <c r="R37" s="106">
        <f>-'Summary Bioplan'!S78*Assumptions!G50</f>
        <v>0</v>
      </c>
      <c r="S37" s="106">
        <f>-'Summary Bioplan'!T78*Assumptions!H50</f>
        <v>0</v>
      </c>
      <c r="T37" s="106">
        <f>-Batch3!D49*Assumptions!$C$51*'3. Variable Costs'!T5</f>
        <v>-217915</v>
      </c>
      <c r="U37" s="106">
        <f>-'Summary Bioplan'!V78*Assumptions!J50</f>
        <v>0</v>
      </c>
      <c r="V37" s="106">
        <f>-'Summary Bioplan'!W78*Assumptions!K50</f>
        <v>0</v>
      </c>
      <c r="W37" s="106">
        <f>-Batch4!Q4*Assumptions!$C$51*W5</f>
        <v>-217915</v>
      </c>
      <c r="X37" s="106">
        <f>-Batch3!U4*Assumptions!$C$51*X5</f>
        <v>0</v>
      </c>
      <c r="Y37" s="106">
        <f>-'Summary Bioplan'!Z78*Assumptions!N50</f>
        <v>0</v>
      </c>
      <c r="Z37" s="106">
        <f>-'Summary Bioplan'!AA78*Assumptions!O50</f>
        <v>0</v>
      </c>
      <c r="AA37" s="106">
        <f>-'Summary Bioplan'!AB78*Assumptions!P50</f>
        <v>0</v>
      </c>
      <c r="AB37" s="106">
        <f>-'Summary Bioplan'!AC78*Assumptions!Q50</f>
        <v>0</v>
      </c>
      <c r="AC37" s="106">
        <f>-'Summary Bioplan'!AD78*Assumptions!R50</f>
        <v>0</v>
      </c>
      <c r="AD37" s="106">
        <f>-'Summary Bioplan'!AE78*Assumptions!S50</f>
        <v>0</v>
      </c>
      <c r="AE37" s="106">
        <f>-'Summary Bioplan'!AF78*Assumptions!T50</f>
        <v>0</v>
      </c>
      <c r="AF37" s="106">
        <f>-'Summary Bioplan'!AG78*Assumptions!U50</f>
        <v>0</v>
      </c>
      <c r="AG37" s="106">
        <f>-'Summary Bioplan'!AH78*Assumptions!V50</f>
        <v>0</v>
      </c>
      <c r="AH37" s="106">
        <f>-'Summary Bioplan'!AI78*Assumptions!W50</f>
        <v>0</v>
      </c>
      <c r="AI37" s="106">
        <f>-'Summary Bioplan'!AJ78*Assumptions!X50</f>
        <v>0</v>
      </c>
      <c r="AJ37" s="106">
        <f>-'Summary Bioplan'!AK78*Assumptions!Y50</f>
        <v>0</v>
      </c>
      <c r="AK37" s="106">
        <f>-'Summary Bioplan'!AL78*Assumptions!Z50</f>
        <v>0</v>
      </c>
      <c r="AL37" s="106">
        <f>-'Summary Bioplan'!AM78*Assumptions!AA50</f>
        <v>0</v>
      </c>
      <c r="AM37" s="108">
        <f>-'Summary Bioplan'!AN78*Assumptions!AB50</f>
        <v>0</v>
      </c>
      <c r="AN37" s="107">
        <f>-'Summary Bioplan'!AO78*Assumptions!AC50</f>
        <v>0</v>
      </c>
      <c r="AO37" s="106"/>
      <c r="AP37" s="106">
        <f>-'Summary Bioplan'!AQ78*Assumptions!AE50</f>
        <v>0</v>
      </c>
      <c r="AQ37" s="106">
        <f>-'Summary Bioplan'!AR78*Assumptions!AF50</f>
        <v>0</v>
      </c>
      <c r="AR37" s="106">
        <f>-'Summary Bioplan'!AS78*Assumptions!AG50</f>
        <v>0</v>
      </c>
      <c r="AS37" s="106">
        <f>-'Summary Bioplan'!AT78*Assumptions!AH50</f>
        <v>0</v>
      </c>
      <c r="AT37" s="106">
        <f>-'Summary Bioplan'!AU78*Assumptions!AI50</f>
        <v>0</v>
      </c>
      <c r="AU37" s="106">
        <f>-'Summary Bioplan'!AV78*Assumptions!AJ50</f>
        <v>0</v>
      </c>
      <c r="AV37" s="106">
        <f>-'Summary Bioplan'!AW78*Assumptions!AK50</f>
        <v>0</v>
      </c>
      <c r="AW37" s="106">
        <f>-'Summary Bioplan'!AX78*Assumptions!AL50</f>
        <v>0</v>
      </c>
      <c r="AX37" s="106">
        <f>-'Summary Bioplan'!AY78*Assumptions!AM50</f>
        <v>0</v>
      </c>
      <c r="AY37" s="108">
        <f>-'Summary Bioplan'!AZ78*Assumptions!AN50</f>
        <v>0</v>
      </c>
      <c r="AZ37" s="107">
        <f>-'Summary Bioplan'!BA78*Assumptions!AO50</f>
        <v>0</v>
      </c>
      <c r="BA37" s="106"/>
      <c r="BB37" s="106">
        <f>-'Summary Bioplan'!BC78*Assumptions!AQ50</f>
        <v>0</v>
      </c>
      <c r="BC37" s="106">
        <f>-'Summary Bioplan'!BD78*Assumptions!AR50</f>
        <v>0</v>
      </c>
      <c r="BD37" s="106">
        <f>-'Summary Bioplan'!BE78*Assumptions!AS50</f>
        <v>0</v>
      </c>
      <c r="BE37" s="106">
        <f>-'Summary Bioplan'!BF78*Assumptions!AT50</f>
        <v>0</v>
      </c>
      <c r="BF37" s="106">
        <f>-'Summary Bioplan'!BG78*Assumptions!AU50</f>
        <v>0</v>
      </c>
      <c r="BG37" s="106">
        <f>-'Summary Bioplan'!BH78*Assumptions!AV50</f>
        <v>0</v>
      </c>
      <c r="BH37" s="106">
        <f>-'Summary Bioplan'!BI78*Assumptions!AW50</f>
        <v>0</v>
      </c>
      <c r="BI37" s="106">
        <f>-'Summary Bioplan'!BJ78*Assumptions!AX50</f>
        <v>0</v>
      </c>
      <c r="BJ37" s="106">
        <f>-'Summary Bioplan'!BK78*Assumptions!AY50</f>
        <v>0</v>
      </c>
      <c r="BK37" s="108">
        <f>-'Summary Bioplan'!BL78*Assumptions!AZ50</f>
        <v>0</v>
      </c>
      <c r="BL37" s="107">
        <f>-'Summary Bioplan'!BM78*Assumptions!BA50</f>
        <v>0</v>
      </c>
      <c r="BM37" s="106"/>
      <c r="BN37" s="106">
        <f>-'Summary Bioplan'!BO78*Assumptions!BC50</f>
        <v>0</v>
      </c>
      <c r="BO37" s="106">
        <f>-'Summary Bioplan'!BP78*Assumptions!BD50</f>
        <v>0</v>
      </c>
      <c r="BP37" s="106">
        <f>-'Summary Bioplan'!BQ78*Assumptions!BE50</f>
        <v>0</v>
      </c>
      <c r="BQ37" s="106">
        <f>-'Summary Bioplan'!BR78*Assumptions!BF50</f>
        <v>0</v>
      </c>
      <c r="BR37" s="106">
        <f>-'Summary Bioplan'!BS78*Assumptions!BG50</f>
        <v>0</v>
      </c>
      <c r="BS37" s="106">
        <f>-'Summary Bioplan'!BT78*Assumptions!BH50</f>
        <v>0</v>
      </c>
      <c r="BT37" s="106">
        <f>-'Summary Bioplan'!BU78*Assumptions!BI50</f>
        <v>0</v>
      </c>
      <c r="BU37" s="106">
        <f>-'Summary Bioplan'!BV78*Assumptions!BJ50</f>
        <v>0</v>
      </c>
      <c r="BV37" s="106">
        <f>-'Summary Bioplan'!BW78*Assumptions!BK50</f>
        <v>0</v>
      </c>
      <c r="BW37" s="108">
        <f>-'Summary Bioplan'!BX78*Assumptions!BL50</f>
        <v>0</v>
      </c>
      <c r="BX37" s="107">
        <f>-'Summary Bioplan'!BY78*Assumptions!BM50</f>
        <v>0</v>
      </c>
      <c r="BY37" s="106"/>
      <c r="BZ37" s="106">
        <f>-'Summary Bioplan'!CA78*Assumptions!BO50</f>
        <v>0</v>
      </c>
      <c r="CA37" s="106">
        <f>-'Summary Bioplan'!CB78*Assumptions!BP50</f>
        <v>0</v>
      </c>
      <c r="CB37" s="106">
        <f>-'Summary Bioplan'!CC78*Assumptions!BQ50</f>
        <v>0</v>
      </c>
      <c r="CC37" s="106">
        <f>-'Summary Bioplan'!CD78*Assumptions!BR50</f>
        <v>0</v>
      </c>
      <c r="CD37" s="106">
        <f>-'Summary Bioplan'!CE78*Assumptions!BS50</f>
        <v>0</v>
      </c>
      <c r="CE37" s="106">
        <f>-'Summary Bioplan'!CF78*Assumptions!BT50</f>
        <v>0</v>
      </c>
      <c r="CF37" s="106">
        <f>-'Summary Bioplan'!CG78*Assumptions!BU50</f>
        <v>0</v>
      </c>
      <c r="CG37" s="106">
        <f>-'Summary Bioplan'!CH78*Assumptions!BV50</f>
        <v>0</v>
      </c>
      <c r="CH37" s="106">
        <f>-'Summary Bioplan'!CI78*Assumptions!BW50</f>
        <v>0</v>
      </c>
      <c r="CI37" s="108">
        <f>-'Summary Bioplan'!CJ78*Assumptions!BX50</f>
        <v>0</v>
      </c>
      <c r="CJ37" s="107">
        <f>-'Summary Bioplan'!CK78*Assumptions!BY50</f>
        <v>0</v>
      </c>
      <c r="CK37" s="106"/>
      <c r="CL37" s="106">
        <f>-'Summary Bioplan'!CM78*Assumptions!CA50</f>
        <v>0</v>
      </c>
      <c r="CM37" s="106">
        <f>-'Summary Bioplan'!CN78*Assumptions!CB50</f>
        <v>0</v>
      </c>
      <c r="CN37" s="106">
        <f>-'Summary Bioplan'!CO78*Assumptions!CC50</f>
        <v>0</v>
      </c>
      <c r="CO37" s="106">
        <f>-'Summary Bioplan'!CP78*Assumptions!CD50</f>
        <v>0</v>
      </c>
      <c r="CP37" s="106">
        <f>-'Summary Bioplan'!CQ78*Assumptions!CE50</f>
        <v>0</v>
      </c>
      <c r="CQ37" s="106">
        <f>-'Summary Bioplan'!CR78*Assumptions!CF50</f>
        <v>0</v>
      </c>
      <c r="CR37" s="106">
        <f>-'Summary Bioplan'!CS78*Assumptions!CG50</f>
        <v>0</v>
      </c>
      <c r="CS37" s="106">
        <f>-'Summary Bioplan'!CT78*Assumptions!CH50</f>
        <v>0</v>
      </c>
      <c r="CT37" s="106">
        <f>-'Summary Bioplan'!CU78*Assumptions!CI50</f>
        <v>0</v>
      </c>
      <c r="CU37" s="108">
        <f>-'Summary Bioplan'!CV78*Assumptions!CJ50</f>
        <v>0</v>
      </c>
      <c r="CV37" s="107">
        <f>-'Summary Bioplan'!CW78*Assumptions!CK50</f>
        <v>0</v>
      </c>
      <c r="CW37" s="106"/>
      <c r="CX37" s="106">
        <f>-'Summary Bioplan'!CY78*Assumptions!CM50</f>
        <v>0</v>
      </c>
      <c r="CY37" s="106">
        <f>-'Summary Bioplan'!CZ78*Assumptions!CN50</f>
        <v>0</v>
      </c>
      <c r="CZ37" s="106">
        <f>-'Summary Bioplan'!DA78*Assumptions!CO50</f>
        <v>0</v>
      </c>
      <c r="DA37" s="106">
        <f>-'Summary Bioplan'!DB78*Assumptions!CP50</f>
        <v>0</v>
      </c>
      <c r="DB37" s="106">
        <f>-'Summary Bioplan'!DC78*Assumptions!CQ50</f>
        <v>0</v>
      </c>
      <c r="DC37" s="106">
        <f>-'Summary Bioplan'!DD78*Assumptions!CR50</f>
        <v>0</v>
      </c>
      <c r="DD37" s="106">
        <f>-'Summary Bioplan'!DE78*Assumptions!CS50</f>
        <v>0</v>
      </c>
      <c r="DE37" s="106">
        <f>-'Summary Bioplan'!DF78*Assumptions!CT50</f>
        <v>0</v>
      </c>
      <c r="DF37" s="106">
        <f>-'Summary Bioplan'!DG78*Assumptions!CU50</f>
        <v>0</v>
      </c>
      <c r="DG37" s="108">
        <f>-'Summary Bioplan'!DH78*Assumptions!CV50</f>
        <v>0</v>
      </c>
      <c r="DH37" s="107">
        <f>-'Summary Bioplan'!DI78*Assumptions!CW50</f>
        <v>0</v>
      </c>
      <c r="DI37" s="106"/>
      <c r="DJ37" s="106">
        <f>-'Summary Bioplan'!DK78*Assumptions!CY50</f>
        <v>0</v>
      </c>
      <c r="DK37" s="106">
        <f>-'Summary Bioplan'!DL78*Assumptions!CZ50</f>
        <v>0</v>
      </c>
      <c r="DL37" s="106">
        <f>-'Summary Bioplan'!DM78*Assumptions!DA50</f>
        <v>0</v>
      </c>
      <c r="DM37" s="106">
        <f>-'Summary Bioplan'!DN78*Assumptions!DB50</f>
        <v>0</v>
      </c>
      <c r="DN37" s="106">
        <f>-'Summary Bioplan'!DO78*Assumptions!DC50</f>
        <v>0</v>
      </c>
      <c r="DO37" s="106">
        <f>-'Summary Bioplan'!DP78*Assumptions!DD50</f>
        <v>0</v>
      </c>
      <c r="DP37" s="106">
        <f>-'Summary Bioplan'!DQ78*Assumptions!DE50</f>
        <v>0</v>
      </c>
      <c r="DQ37" s="106">
        <f>-'Summary Bioplan'!DR78*Assumptions!DF50</f>
        <v>0</v>
      </c>
      <c r="DR37" s="106">
        <f>-'Summary Bioplan'!DS78*Assumptions!DG50</f>
        <v>0</v>
      </c>
      <c r="DS37" s="108">
        <f>-'Summary Bioplan'!DT78*Assumptions!DH50</f>
        <v>0</v>
      </c>
      <c r="DT37" s="832"/>
    </row>
    <row r="38" spans="1:124" ht="15" x14ac:dyDescent="0.25">
      <c r="B38" s="160" t="s">
        <v>196</v>
      </c>
      <c r="C38" s="833">
        <v>-7500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>
        <f>$C38*N5*0.5</f>
        <v>-3750</v>
      </c>
      <c r="O38" s="497">
        <f t="shared" ref="O38:AT38" si="16">$C38*O5</f>
        <v>-7500</v>
      </c>
      <c r="P38" s="107">
        <f t="shared" si="16"/>
        <v>-7972.5</v>
      </c>
      <c r="Q38" s="106">
        <f t="shared" si="16"/>
        <v>-7972.5</v>
      </c>
      <c r="R38" s="106">
        <f t="shared" si="16"/>
        <v>-7972.5</v>
      </c>
      <c r="S38" s="106">
        <f t="shared" si="16"/>
        <v>-7972.5</v>
      </c>
      <c r="T38" s="107">
        <f t="shared" si="16"/>
        <v>-7972.5</v>
      </c>
      <c r="U38" s="106">
        <f t="shared" si="16"/>
        <v>-7972.5</v>
      </c>
      <c r="V38" s="106">
        <f t="shared" si="16"/>
        <v>-7972.5</v>
      </c>
      <c r="W38" s="106">
        <f t="shared" si="16"/>
        <v>-7972.5</v>
      </c>
      <c r="X38" s="107">
        <f t="shared" si="16"/>
        <v>-7972.5</v>
      </c>
      <c r="Y38" s="106">
        <f t="shared" si="16"/>
        <v>-7972.5</v>
      </c>
      <c r="Z38" s="106">
        <f t="shared" si="16"/>
        <v>-7972.5</v>
      </c>
      <c r="AA38" s="108">
        <f t="shared" si="16"/>
        <v>-7972.5</v>
      </c>
      <c r="AB38" s="107">
        <f t="shared" si="16"/>
        <v>-8474.7674999999981</v>
      </c>
      <c r="AC38" s="106">
        <f t="shared" si="16"/>
        <v>-8474.7674999999981</v>
      </c>
      <c r="AD38" s="106">
        <f t="shared" si="16"/>
        <v>-8474.7674999999981</v>
      </c>
      <c r="AE38" s="106">
        <f t="shared" si="16"/>
        <v>-8474.7674999999981</v>
      </c>
      <c r="AF38" s="107">
        <f t="shared" si="16"/>
        <v>-8474.7674999999981</v>
      </c>
      <c r="AG38" s="106">
        <f t="shared" si="16"/>
        <v>-8474.7674999999981</v>
      </c>
      <c r="AH38" s="106">
        <f t="shared" si="16"/>
        <v>-8474.7674999999981</v>
      </c>
      <c r="AI38" s="106">
        <f t="shared" si="16"/>
        <v>-8474.7674999999981</v>
      </c>
      <c r="AJ38" s="107">
        <f t="shared" si="16"/>
        <v>-8474.7674999999981</v>
      </c>
      <c r="AK38" s="106">
        <f t="shared" si="16"/>
        <v>-8474.7674999999981</v>
      </c>
      <c r="AL38" s="106">
        <f t="shared" si="16"/>
        <v>-8474.7674999999981</v>
      </c>
      <c r="AM38" s="108">
        <f t="shared" si="16"/>
        <v>-8474.7674999999981</v>
      </c>
      <c r="AN38" s="107">
        <f t="shared" si="16"/>
        <v>-9008.6778524999972</v>
      </c>
      <c r="AO38" s="106">
        <f t="shared" si="16"/>
        <v>-9008.6778524999972</v>
      </c>
      <c r="AP38" s="106">
        <f t="shared" si="16"/>
        <v>-9008.6778524999972</v>
      </c>
      <c r="AQ38" s="106">
        <f t="shared" si="16"/>
        <v>-9008.6778524999972</v>
      </c>
      <c r="AR38" s="107">
        <f t="shared" si="16"/>
        <v>-9008.6778524999972</v>
      </c>
      <c r="AS38" s="106">
        <f t="shared" si="16"/>
        <v>-9008.6778524999972</v>
      </c>
      <c r="AT38" s="106">
        <f t="shared" si="16"/>
        <v>-9008.6778524999972</v>
      </c>
      <c r="AU38" s="106">
        <f t="shared" ref="AU38:BZ38" si="17">$C38*AU5</f>
        <v>-9008.6778524999972</v>
      </c>
      <c r="AV38" s="107">
        <f t="shared" si="17"/>
        <v>-9008.6778524999972</v>
      </c>
      <c r="AW38" s="106">
        <f t="shared" si="17"/>
        <v>-9008.6778524999972</v>
      </c>
      <c r="AX38" s="106">
        <f t="shared" si="17"/>
        <v>-9008.6778524999972</v>
      </c>
      <c r="AY38" s="108">
        <f t="shared" si="17"/>
        <v>-9008.6778524999972</v>
      </c>
      <c r="AZ38" s="107">
        <f t="shared" si="17"/>
        <v>-9576.2245572074971</v>
      </c>
      <c r="BA38" s="106">
        <f t="shared" si="17"/>
        <v>-9576.2245572074971</v>
      </c>
      <c r="BB38" s="106">
        <f t="shared" si="17"/>
        <v>-9576.2245572074971</v>
      </c>
      <c r="BC38" s="106">
        <f t="shared" si="17"/>
        <v>-9576.2245572074971</v>
      </c>
      <c r="BD38" s="107">
        <f t="shared" si="17"/>
        <v>-9576.2245572074971</v>
      </c>
      <c r="BE38" s="106">
        <f t="shared" si="17"/>
        <v>-9576.2245572074971</v>
      </c>
      <c r="BF38" s="106">
        <f t="shared" si="17"/>
        <v>-9576.2245572074971</v>
      </c>
      <c r="BG38" s="106">
        <f t="shared" si="17"/>
        <v>-9576.2245572074971</v>
      </c>
      <c r="BH38" s="107">
        <f t="shared" si="17"/>
        <v>-9576.2245572074971</v>
      </c>
      <c r="BI38" s="106">
        <f t="shared" si="17"/>
        <v>-9576.2245572074971</v>
      </c>
      <c r="BJ38" s="106">
        <f t="shared" si="17"/>
        <v>-9576.2245572074971</v>
      </c>
      <c r="BK38" s="108">
        <f t="shared" si="17"/>
        <v>-9576.2245572074971</v>
      </c>
      <c r="BL38" s="107">
        <f t="shared" si="17"/>
        <v>-10179.526704311569</v>
      </c>
      <c r="BM38" s="106">
        <f t="shared" si="17"/>
        <v>-10179.526704311569</v>
      </c>
      <c r="BN38" s="106">
        <f t="shared" si="17"/>
        <v>-10179.526704311569</v>
      </c>
      <c r="BO38" s="106">
        <f t="shared" si="17"/>
        <v>-10179.526704311569</v>
      </c>
      <c r="BP38" s="107">
        <f t="shared" si="17"/>
        <v>-10179.526704311569</v>
      </c>
      <c r="BQ38" s="106">
        <f t="shared" si="17"/>
        <v>-10179.526704311569</v>
      </c>
      <c r="BR38" s="106">
        <f t="shared" si="17"/>
        <v>-10179.526704311569</v>
      </c>
      <c r="BS38" s="106">
        <f t="shared" si="17"/>
        <v>-10179.526704311569</v>
      </c>
      <c r="BT38" s="107">
        <f t="shared" si="17"/>
        <v>-10179.526704311569</v>
      </c>
      <c r="BU38" s="106">
        <f t="shared" si="17"/>
        <v>-10179.526704311569</v>
      </c>
      <c r="BV38" s="106">
        <f t="shared" si="17"/>
        <v>-10179.526704311569</v>
      </c>
      <c r="BW38" s="108">
        <f t="shared" si="17"/>
        <v>-10179.526704311569</v>
      </c>
      <c r="BX38" s="107">
        <f t="shared" si="17"/>
        <v>-10820.836886683197</v>
      </c>
      <c r="BY38" s="106">
        <f t="shared" si="17"/>
        <v>-10820.836886683197</v>
      </c>
      <c r="BZ38" s="106">
        <f t="shared" si="17"/>
        <v>-10820.836886683197</v>
      </c>
      <c r="CA38" s="106">
        <f t="shared" ref="CA38:DF38" si="18">$C38*CA5</f>
        <v>-10820.836886683197</v>
      </c>
      <c r="CB38" s="107">
        <f t="shared" si="18"/>
        <v>-10820.836886683197</v>
      </c>
      <c r="CC38" s="106">
        <f t="shared" si="18"/>
        <v>-10820.836886683197</v>
      </c>
      <c r="CD38" s="106">
        <f t="shared" si="18"/>
        <v>-10820.836886683197</v>
      </c>
      <c r="CE38" s="106">
        <f t="shared" si="18"/>
        <v>-10820.836886683197</v>
      </c>
      <c r="CF38" s="107">
        <f t="shared" si="18"/>
        <v>-10820.836886683197</v>
      </c>
      <c r="CG38" s="106">
        <f t="shared" si="18"/>
        <v>-10820.836886683197</v>
      </c>
      <c r="CH38" s="106">
        <f t="shared" si="18"/>
        <v>-10820.836886683197</v>
      </c>
      <c r="CI38" s="108">
        <f t="shared" si="18"/>
        <v>-10820.836886683197</v>
      </c>
      <c r="CJ38" s="107">
        <f t="shared" si="18"/>
        <v>-11502.549610544238</v>
      </c>
      <c r="CK38" s="106">
        <f t="shared" si="18"/>
        <v>-11502.549610544238</v>
      </c>
      <c r="CL38" s="106">
        <f t="shared" si="18"/>
        <v>-11502.549610544238</v>
      </c>
      <c r="CM38" s="106">
        <f t="shared" si="18"/>
        <v>-11502.549610544238</v>
      </c>
      <c r="CN38" s="107">
        <f t="shared" si="18"/>
        <v>-11502.549610544238</v>
      </c>
      <c r="CO38" s="106">
        <f t="shared" si="18"/>
        <v>-11502.549610544238</v>
      </c>
      <c r="CP38" s="106">
        <f t="shared" si="18"/>
        <v>-11502.549610544238</v>
      </c>
      <c r="CQ38" s="106">
        <f t="shared" si="18"/>
        <v>-11502.549610544238</v>
      </c>
      <c r="CR38" s="107">
        <f t="shared" si="18"/>
        <v>-11502.549610544238</v>
      </c>
      <c r="CS38" s="106">
        <f t="shared" si="18"/>
        <v>-11502.549610544238</v>
      </c>
      <c r="CT38" s="106">
        <f t="shared" si="18"/>
        <v>-11502.549610544238</v>
      </c>
      <c r="CU38" s="108">
        <f t="shared" si="18"/>
        <v>-11502.549610544238</v>
      </c>
      <c r="CV38" s="107">
        <f t="shared" si="18"/>
        <v>-12227.210236008525</v>
      </c>
      <c r="CW38" s="106">
        <f t="shared" si="18"/>
        <v>-12227.210236008525</v>
      </c>
      <c r="CX38" s="106">
        <f t="shared" si="18"/>
        <v>-12227.210236008525</v>
      </c>
      <c r="CY38" s="106">
        <f t="shared" si="18"/>
        <v>-12227.210236008525</v>
      </c>
      <c r="CZ38" s="107">
        <f t="shared" si="18"/>
        <v>-12227.210236008525</v>
      </c>
      <c r="DA38" s="106">
        <f t="shared" si="18"/>
        <v>-12227.210236008525</v>
      </c>
      <c r="DB38" s="106">
        <f t="shared" si="18"/>
        <v>-12227.210236008525</v>
      </c>
      <c r="DC38" s="106">
        <f t="shared" si="18"/>
        <v>-12227.210236008525</v>
      </c>
      <c r="DD38" s="107">
        <f t="shared" si="18"/>
        <v>-12227.210236008525</v>
      </c>
      <c r="DE38" s="106">
        <f t="shared" si="18"/>
        <v>-12227.210236008525</v>
      </c>
      <c r="DF38" s="106">
        <f t="shared" si="18"/>
        <v>-12227.210236008525</v>
      </c>
      <c r="DG38" s="108">
        <f t="shared" ref="DG38:DS38" si="19">$C38*DG5</f>
        <v>-12227.210236008525</v>
      </c>
      <c r="DH38" s="107">
        <f t="shared" si="19"/>
        <v>-12997.52448087706</v>
      </c>
      <c r="DI38" s="106">
        <f t="shared" si="19"/>
        <v>-12997.52448087706</v>
      </c>
      <c r="DJ38" s="106">
        <f t="shared" si="19"/>
        <v>-12997.52448087706</v>
      </c>
      <c r="DK38" s="106">
        <f t="shared" si="19"/>
        <v>-12997.52448087706</v>
      </c>
      <c r="DL38" s="107">
        <f t="shared" si="19"/>
        <v>-12997.52448087706</v>
      </c>
      <c r="DM38" s="106">
        <f t="shared" si="19"/>
        <v>-12997.52448087706</v>
      </c>
      <c r="DN38" s="106">
        <f t="shared" si="19"/>
        <v>-12997.52448087706</v>
      </c>
      <c r="DO38" s="106">
        <f t="shared" si="19"/>
        <v>-12997.52448087706</v>
      </c>
      <c r="DP38" s="107">
        <f t="shared" si="19"/>
        <v>-12997.52448087706</v>
      </c>
      <c r="DQ38" s="106">
        <f t="shared" si="19"/>
        <v>-12997.52448087706</v>
      </c>
      <c r="DR38" s="106">
        <f t="shared" si="19"/>
        <v>-12997.52448087706</v>
      </c>
      <c r="DS38" s="108">
        <f t="shared" si="19"/>
        <v>-12997.52448087706</v>
      </c>
      <c r="DT38" s="832"/>
    </row>
    <row r="39" spans="1:124" ht="15" x14ac:dyDescent="0.25">
      <c r="B39" s="160" t="s">
        <v>197</v>
      </c>
      <c r="C39" s="7">
        <v>-5000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>
        <f>$C39*N5*0.5</f>
        <v>-2500</v>
      </c>
      <c r="O39" s="779">
        <f t="shared" ref="O39:Y39" si="20">$C39*O5*0.25</f>
        <v>-1250</v>
      </c>
      <c r="P39" s="107">
        <f t="shared" si="20"/>
        <v>-1328.75</v>
      </c>
      <c r="Q39" s="107">
        <f t="shared" si="20"/>
        <v>-1328.75</v>
      </c>
      <c r="R39" s="107">
        <f t="shared" si="20"/>
        <v>-1328.75</v>
      </c>
      <c r="S39" s="107">
        <f t="shared" si="20"/>
        <v>-1328.75</v>
      </c>
      <c r="T39" s="107">
        <f t="shared" si="20"/>
        <v>-1328.75</v>
      </c>
      <c r="U39" s="107">
        <f t="shared" si="20"/>
        <v>-1328.75</v>
      </c>
      <c r="V39" s="107">
        <f t="shared" si="20"/>
        <v>-1328.75</v>
      </c>
      <c r="W39" s="107">
        <f t="shared" si="20"/>
        <v>-1328.75</v>
      </c>
      <c r="X39" s="107">
        <f t="shared" si="20"/>
        <v>-1328.75</v>
      </c>
      <c r="Y39" s="107">
        <f t="shared" si="20"/>
        <v>-1328.75</v>
      </c>
      <c r="Z39" s="107">
        <f t="shared" ref="Z39:BE39" si="21">$C39*Z5</f>
        <v>-5315</v>
      </c>
      <c r="AA39" s="739">
        <f t="shared" si="21"/>
        <v>-5315</v>
      </c>
      <c r="AB39" s="107">
        <f t="shared" si="21"/>
        <v>-5649.8449999999993</v>
      </c>
      <c r="AC39" s="106">
        <f t="shared" si="21"/>
        <v>-5649.8449999999993</v>
      </c>
      <c r="AD39" s="106">
        <f t="shared" si="21"/>
        <v>-5649.8449999999993</v>
      </c>
      <c r="AE39" s="106">
        <f t="shared" si="21"/>
        <v>-5649.8449999999993</v>
      </c>
      <c r="AF39" s="106">
        <f t="shared" si="21"/>
        <v>-5649.8449999999993</v>
      </c>
      <c r="AG39" s="106">
        <f t="shared" si="21"/>
        <v>-5649.8449999999993</v>
      </c>
      <c r="AH39" s="106">
        <f t="shared" si="21"/>
        <v>-5649.8449999999993</v>
      </c>
      <c r="AI39" s="106">
        <f t="shared" si="21"/>
        <v>-5649.8449999999993</v>
      </c>
      <c r="AJ39" s="106">
        <f t="shared" si="21"/>
        <v>-5649.8449999999993</v>
      </c>
      <c r="AK39" s="106">
        <f t="shared" si="21"/>
        <v>-5649.8449999999993</v>
      </c>
      <c r="AL39" s="106">
        <f t="shared" si="21"/>
        <v>-5649.8449999999993</v>
      </c>
      <c r="AM39" s="108">
        <f t="shared" si="21"/>
        <v>-5649.8449999999993</v>
      </c>
      <c r="AN39" s="107">
        <f t="shared" si="21"/>
        <v>-6005.7852349999985</v>
      </c>
      <c r="AO39" s="106">
        <f t="shared" si="21"/>
        <v>-6005.7852349999985</v>
      </c>
      <c r="AP39" s="106">
        <f t="shared" si="21"/>
        <v>-6005.7852349999985</v>
      </c>
      <c r="AQ39" s="106">
        <f t="shared" si="21"/>
        <v>-6005.7852349999985</v>
      </c>
      <c r="AR39" s="106">
        <f t="shared" si="21"/>
        <v>-6005.7852349999985</v>
      </c>
      <c r="AS39" s="106">
        <f t="shared" si="21"/>
        <v>-6005.7852349999985</v>
      </c>
      <c r="AT39" s="106">
        <f t="shared" si="21"/>
        <v>-6005.7852349999985</v>
      </c>
      <c r="AU39" s="106">
        <f t="shared" si="21"/>
        <v>-6005.7852349999985</v>
      </c>
      <c r="AV39" s="106">
        <f t="shared" si="21"/>
        <v>-6005.7852349999985</v>
      </c>
      <c r="AW39" s="106">
        <f t="shared" si="21"/>
        <v>-6005.7852349999985</v>
      </c>
      <c r="AX39" s="106">
        <f t="shared" si="21"/>
        <v>-6005.7852349999985</v>
      </c>
      <c r="AY39" s="108">
        <f t="shared" si="21"/>
        <v>-6005.7852349999985</v>
      </c>
      <c r="AZ39" s="107">
        <f t="shared" si="21"/>
        <v>-6384.1497048049978</v>
      </c>
      <c r="BA39" s="106">
        <f t="shared" si="21"/>
        <v>-6384.1497048049978</v>
      </c>
      <c r="BB39" s="106">
        <f t="shared" si="21"/>
        <v>-6384.1497048049978</v>
      </c>
      <c r="BC39" s="106">
        <f t="shared" si="21"/>
        <v>-6384.1497048049978</v>
      </c>
      <c r="BD39" s="106">
        <f t="shared" si="21"/>
        <v>-6384.1497048049978</v>
      </c>
      <c r="BE39" s="106">
        <f t="shared" si="21"/>
        <v>-6384.1497048049978</v>
      </c>
      <c r="BF39" s="106">
        <f t="shared" ref="BF39:CK39" si="22">$C39*BF5</f>
        <v>-6384.1497048049978</v>
      </c>
      <c r="BG39" s="106">
        <f t="shared" si="22"/>
        <v>-6384.1497048049978</v>
      </c>
      <c r="BH39" s="106">
        <f t="shared" si="22"/>
        <v>-6384.1497048049978</v>
      </c>
      <c r="BI39" s="106">
        <f t="shared" si="22"/>
        <v>-6384.1497048049978</v>
      </c>
      <c r="BJ39" s="106">
        <f t="shared" si="22"/>
        <v>-6384.1497048049978</v>
      </c>
      <c r="BK39" s="108">
        <f t="shared" si="22"/>
        <v>-6384.1497048049978</v>
      </c>
      <c r="BL39" s="107">
        <f t="shared" si="22"/>
        <v>-6786.3511362077124</v>
      </c>
      <c r="BM39" s="106">
        <f t="shared" si="22"/>
        <v>-6786.3511362077124</v>
      </c>
      <c r="BN39" s="106">
        <f t="shared" si="22"/>
        <v>-6786.3511362077124</v>
      </c>
      <c r="BO39" s="106">
        <f t="shared" si="22"/>
        <v>-6786.3511362077124</v>
      </c>
      <c r="BP39" s="106">
        <f t="shared" si="22"/>
        <v>-6786.3511362077124</v>
      </c>
      <c r="BQ39" s="106">
        <f t="shared" si="22"/>
        <v>-6786.3511362077124</v>
      </c>
      <c r="BR39" s="106">
        <f t="shared" si="22"/>
        <v>-6786.3511362077124</v>
      </c>
      <c r="BS39" s="106">
        <f t="shared" si="22"/>
        <v>-6786.3511362077124</v>
      </c>
      <c r="BT39" s="106">
        <f t="shared" si="22"/>
        <v>-6786.3511362077124</v>
      </c>
      <c r="BU39" s="106">
        <f t="shared" si="22"/>
        <v>-6786.3511362077124</v>
      </c>
      <c r="BV39" s="106">
        <f t="shared" si="22"/>
        <v>-6786.3511362077124</v>
      </c>
      <c r="BW39" s="108">
        <f t="shared" si="22"/>
        <v>-6786.3511362077124</v>
      </c>
      <c r="BX39" s="107">
        <f t="shared" si="22"/>
        <v>-7213.8912577887977</v>
      </c>
      <c r="BY39" s="106">
        <f t="shared" si="22"/>
        <v>-7213.8912577887977</v>
      </c>
      <c r="BZ39" s="106">
        <f t="shared" si="22"/>
        <v>-7213.8912577887977</v>
      </c>
      <c r="CA39" s="106">
        <f t="shared" si="22"/>
        <v>-7213.8912577887977</v>
      </c>
      <c r="CB39" s="106">
        <f t="shared" si="22"/>
        <v>-7213.8912577887977</v>
      </c>
      <c r="CC39" s="106">
        <f t="shared" si="22"/>
        <v>-7213.8912577887977</v>
      </c>
      <c r="CD39" s="106">
        <f t="shared" si="22"/>
        <v>-7213.8912577887977</v>
      </c>
      <c r="CE39" s="106">
        <f t="shared" si="22"/>
        <v>-7213.8912577887977</v>
      </c>
      <c r="CF39" s="106">
        <f t="shared" si="22"/>
        <v>-7213.8912577887977</v>
      </c>
      <c r="CG39" s="106">
        <f t="shared" si="22"/>
        <v>-7213.8912577887977</v>
      </c>
      <c r="CH39" s="106">
        <f t="shared" si="22"/>
        <v>-7213.8912577887977</v>
      </c>
      <c r="CI39" s="108">
        <f t="shared" si="22"/>
        <v>-7213.8912577887977</v>
      </c>
      <c r="CJ39" s="107">
        <f t="shared" si="22"/>
        <v>-7668.3664070294917</v>
      </c>
      <c r="CK39" s="106">
        <f t="shared" si="22"/>
        <v>-7668.3664070294917</v>
      </c>
      <c r="CL39" s="106">
        <f t="shared" ref="CL39:DS39" si="23">$C39*CL5</f>
        <v>-7668.3664070294917</v>
      </c>
      <c r="CM39" s="106">
        <f t="shared" si="23"/>
        <v>-7668.3664070294917</v>
      </c>
      <c r="CN39" s="106">
        <f t="shared" si="23"/>
        <v>-7668.3664070294917</v>
      </c>
      <c r="CO39" s="106">
        <f t="shared" si="23"/>
        <v>-7668.3664070294917</v>
      </c>
      <c r="CP39" s="106">
        <f t="shared" si="23"/>
        <v>-7668.3664070294917</v>
      </c>
      <c r="CQ39" s="106">
        <f t="shared" si="23"/>
        <v>-7668.3664070294917</v>
      </c>
      <c r="CR39" s="106">
        <f t="shared" si="23"/>
        <v>-7668.3664070294917</v>
      </c>
      <c r="CS39" s="106">
        <f t="shared" si="23"/>
        <v>-7668.3664070294917</v>
      </c>
      <c r="CT39" s="106">
        <f t="shared" si="23"/>
        <v>-7668.3664070294917</v>
      </c>
      <c r="CU39" s="108">
        <f t="shared" si="23"/>
        <v>-7668.3664070294917</v>
      </c>
      <c r="CV39" s="107">
        <f t="shared" si="23"/>
        <v>-8151.4734906723497</v>
      </c>
      <c r="CW39" s="106">
        <f t="shared" si="23"/>
        <v>-8151.4734906723497</v>
      </c>
      <c r="CX39" s="106">
        <f t="shared" si="23"/>
        <v>-8151.4734906723497</v>
      </c>
      <c r="CY39" s="106">
        <f t="shared" si="23"/>
        <v>-8151.4734906723497</v>
      </c>
      <c r="CZ39" s="106">
        <f t="shared" si="23"/>
        <v>-8151.4734906723497</v>
      </c>
      <c r="DA39" s="106">
        <f t="shared" si="23"/>
        <v>-8151.4734906723497</v>
      </c>
      <c r="DB39" s="106">
        <f t="shared" si="23"/>
        <v>-8151.4734906723497</v>
      </c>
      <c r="DC39" s="106">
        <f t="shared" si="23"/>
        <v>-8151.4734906723497</v>
      </c>
      <c r="DD39" s="106">
        <f t="shared" si="23"/>
        <v>-8151.4734906723497</v>
      </c>
      <c r="DE39" s="106">
        <f t="shared" si="23"/>
        <v>-8151.4734906723497</v>
      </c>
      <c r="DF39" s="106">
        <f t="shared" si="23"/>
        <v>-8151.4734906723497</v>
      </c>
      <c r="DG39" s="108">
        <f t="shared" si="23"/>
        <v>-8151.4734906723497</v>
      </c>
      <c r="DH39" s="107">
        <f t="shared" si="23"/>
        <v>-8665.0163205847075</v>
      </c>
      <c r="DI39" s="106">
        <f t="shared" si="23"/>
        <v>-8665.0163205847075</v>
      </c>
      <c r="DJ39" s="106">
        <f t="shared" si="23"/>
        <v>-8665.0163205847075</v>
      </c>
      <c r="DK39" s="106">
        <f t="shared" si="23"/>
        <v>-8665.0163205847075</v>
      </c>
      <c r="DL39" s="106">
        <f t="shared" si="23"/>
        <v>-8665.0163205847075</v>
      </c>
      <c r="DM39" s="106">
        <f t="shared" si="23"/>
        <v>-8665.0163205847075</v>
      </c>
      <c r="DN39" s="106">
        <f t="shared" si="23"/>
        <v>-8665.0163205847075</v>
      </c>
      <c r="DO39" s="106">
        <f t="shared" si="23"/>
        <v>-8665.0163205847075</v>
      </c>
      <c r="DP39" s="106">
        <f t="shared" si="23"/>
        <v>-8665.0163205847075</v>
      </c>
      <c r="DQ39" s="106">
        <f t="shared" si="23"/>
        <v>-8665.0163205847075</v>
      </c>
      <c r="DR39" s="106">
        <f t="shared" si="23"/>
        <v>-8665.0163205847075</v>
      </c>
      <c r="DS39" s="108">
        <f t="shared" si="23"/>
        <v>-8665.0163205847075</v>
      </c>
      <c r="DT39" s="832"/>
    </row>
    <row r="40" spans="1:124" s="886" customFormat="1" ht="15" x14ac:dyDescent="0.25">
      <c r="B40" s="836"/>
      <c r="C40" s="833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1257"/>
      <c r="O40" s="854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595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595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595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595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595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595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595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595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595"/>
      <c r="DT40" s="887"/>
    </row>
    <row r="41" spans="1:124" ht="18.75" customHeight="1" x14ac:dyDescent="0.25">
      <c r="A41" s="9"/>
      <c r="B41" s="166" t="s">
        <v>589</v>
      </c>
      <c r="C41" s="7"/>
      <c r="D41" s="709"/>
      <c r="E41" s="709"/>
      <c r="F41" s="709"/>
      <c r="G41" s="709"/>
      <c r="H41" s="709"/>
      <c r="I41" s="709"/>
      <c r="J41" s="709"/>
      <c r="K41" s="709"/>
      <c r="L41" s="709"/>
      <c r="M41" s="709"/>
      <c r="N41" s="711"/>
      <c r="O41" s="712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595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595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595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595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595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595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595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595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595"/>
      <c r="DT41" s="832"/>
    </row>
    <row r="42" spans="1:124" ht="15" x14ac:dyDescent="0.25">
      <c r="A42" s="9"/>
      <c r="B42" s="160" t="s">
        <v>190</v>
      </c>
      <c r="C42" s="7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97"/>
      <c r="P42" s="107"/>
      <c r="Q42" s="106"/>
      <c r="R42" s="106"/>
      <c r="S42" s="106"/>
      <c r="T42" s="106"/>
      <c r="U42" s="106"/>
      <c r="V42" s="106"/>
      <c r="W42" s="106"/>
      <c r="X42" s="106"/>
      <c r="Y42" s="106"/>
      <c r="Z42" s="107">
        <f>SUM(HR!AB31:AB33)*Z5</f>
        <v>-31121.229541666664</v>
      </c>
      <c r="AA42" s="739">
        <f>SUM(HR!AC31:AC33)*AA5</f>
        <v>-31121.229541666664</v>
      </c>
      <c r="AB42" s="107">
        <f>SUM(HR!AD31:AD33)*AB5</f>
        <v>-35166.024623967525</v>
      </c>
      <c r="AC42" s="106">
        <f>SUM(HR!AE31:AE33)*AC5</f>
        <v>-35166.024623967525</v>
      </c>
      <c r="AD42" s="106">
        <f>SUM(HR!AF31:AF33)*AD5</f>
        <v>-35166.024623967525</v>
      </c>
      <c r="AE42" s="106">
        <f>SUM(HR!AG31:AG33)*AE5</f>
        <v>-35166.024623967525</v>
      </c>
      <c r="AF42" s="106">
        <f>SUM(HR!AH31:AH33)*AF5</f>
        <v>-35166.024623967525</v>
      </c>
      <c r="AG42" s="106">
        <f>SUM(HR!AI31:AI33)*AG5</f>
        <v>-35166.024623967525</v>
      </c>
      <c r="AH42" s="106">
        <f>SUM(HR!AJ31:AJ33)*AH5</f>
        <v>-35166.024623967525</v>
      </c>
      <c r="AI42" s="106">
        <f>SUM(HR!AK31:AK33)*AI5</f>
        <v>-35166.024623967525</v>
      </c>
      <c r="AJ42" s="106">
        <f>SUM(HR!AL31:AL33)*AJ5</f>
        <v>-35166.024623967525</v>
      </c>
      <c r="AK42" s="106">
        <f>SUM(HR!AM31:AM33)*AK5</f>
        <v>-35166.024623967525</v>
      </c>
      <c r="AL42" s="106">
        <f>SUM(HR!AN31:AN33)*AL5</f>
        <v>-35166.024623967525</v>
      </c>
      <c r="AM42" s="108">
        <f>SUM(HR!AO31:AO33)*AM5</f>
        <v>-35166.024623967525</v>
      </c>
      <c r="AN42" s="107">
        <f>SUM(HR!AP31:AP33)*AN5</f>
        <v>-39736.517678319964</v>
      </c>
      <c r="AO42" s="106">
        <f>SUM(HR!AQ31:AQ33)*AO5</f>
        <v>-39736.517678319964</v>
      </c>
      <c r="AP42" s="106">
        <f>SUM(HR!AR31:AR33)*AP5</f>
        <v>-39736.517678319964</v>
      </c>
      <c r="AQ42" s="106">
        <f>SUM(HR!AS31:AS33)*AQ5</f>
        <v>-39736.517678319964</v>
      </c>
      <c r="AR42" s="106">
        <f>SUM(HR!AT31:AT33)*AR5</f>
        <v>-39736.517678319964</v>
      </c>
      <c r="AS42" s="106">
        <f>SUM(HR!AU31:AU33)*AS5</f>
        <v>-39736.517678319964</v>
      </c>
      <c r="AT42" s="106">
        <f>SUM(HR!AV31:AV33)*AT5</f>
        <v>-39736.517678319964</v>
      </c>
      <c r="AU42" s="106">
        <f>SUM(HR!AW31:AW33)*AU5</f>
        <v>-39736.517678319964</v>
      </c>
      <c r="AV42" s="106">
        <f>SUM(HR!AX31:AX33)*AV5</f>
        <v>-39736.517678319964</v>
      </c>
      <c r="AW42" s="106">
        <f>SUM(HR!AY31:AY33)*AW5</f>
        <v>-39736.517678319964</v>
      </c>
      <c r="AX42" s="106">
        <f>SUM(HR!AZ31:AZ33)*AX5</f>
        <v>-39736.517678319964</v>
      </c>
      <c r="AY42" s="108">
        <f>SUM(HR!BA31:BA33)*AY5</f>
        <v>-39736.517678319964</v>
      </c>
      <c r="AZ42" s="107">
        <f>SUM(HR!BB31:BB33)*AZ5</f>
        <v>-44901.033144453519</v>
      </c>
      <c r="BA42" s="106">
        <f>SUM(HR!BC31:BC33)*BA5</f>
        <v>-44901.033144453519</v>
      </c>
      <c r="BB42" s="106">
        <f>SUM(HR!BD31:BD33)*BB5</f>
        <v>-44901.033144453519</v>
      </c>
      <c r="BC42" s="106">
        <f>SUM(HR!BE31:BE33)*BC5</f>
        <v>-44901.033144453519</v>
      </c>
      <c r="BD42" s="106">
        <f>SUM(HR!BF31:BF33)*BD5</f>
        <v>-44901.033144453519</v>
      </c>
      <c r="BE42" s="106">
        <f>SUM(HR!BG31:BG33)*BE5</f>
        <v>-44901.033144453519</v>
      </c>
      <c r="BF42" s="106">
        <f>SUM(HR!BH31:BH33)*BF5</f>
        <v>-44901.033144453519</v>
      </c>
      <c r="BG42" s="106">
        <f>SUM(HR!BI31:BI33)*BG5</f>
        <v>-44901.033144453519</v>
      </c>
      <c r="BH42" s="106">
        <f>SUM(HR!BJ31:BJ33)*BH5</f>
        <v>-44901.033144453519</v>
      </c>
      <c r="BI42" s="106">
        <f>SUM(HR!BK31:BK33)*BI5</f>
        <v>-44901.033144453519</v>
      </c>
      <c r="BJ42" s="106">
        <f>SUM(HR!BL31:BL33)*BJ5</f>
        <v>-44901.033144453519</v>
      </c>
      <c r="BK42" s="108">
        <f>SUM(HR!BM31:BM33)*BK5</f>
        <v>-44901.033144453519</v>
      </c>
      <c r="BL42" s="107">
        <f>SUM(HR!BN31:BN33)*BL5</f>
        <v>-50736.775521204989</v>
      </c>
      <c r="BM42" s="106">
        <f>SUM(HR!BO31:BO33)*BM5</f>
        <v>-50736.775521204989</v>
      </c>
      <c r="BN42" s="106">
        <f>SUM(HR!BP31:BP33)*BN5</f>
        <v>-50736.775521204989</v>
      </c>
      <c r="BO42" s="106">
        <f>SUM(HR!BQ31:BQ33)*BO5</f>
        <v>-50736.775521204989</v>
      </c>
      <c r="BP42" s="106">
        <f>SUM(HR!BR31:BR33)*BP5</f>
        <v>-50736.775521204989</v>
      </c>
      <c r="BQ42" s="106">
        <f>SUM(HR!BS31:BS33)*BQ5</f>
        <v>-50736.775521204989</v>
      </c>
      <c r="BR42" s="106">
        <f>SUM(HR!BT31:BT33)*BR5</f>
        <v>-50736.775521204989</v>
      </c>
      <c r="BS42" s="106">
        <f>SUM(HR!BU31:BU33)*BS5</f>
        <v>-50736.775521204989</v>
      </c>
      <c r="BT42" s="106">
        <f>SUM(HR!BV31:BV33)*BT5</f>
        <v>-50736.775521204989</v>
      </c>
      <c r="BU42" s="106">
        <f>SUM(HR!BW31:BW33)*BU5</f>
        <v>-50736.775521204989</v>
      </c>
      <c r="BV42" s="106">
        <f>SUM(HR!BX31:BX33)*BV5</f>
        <v>-50736.775521204989</v>
      </c>
      <c r="BW42" s="108">
        <f>SUM(HR!BY31:BY33)*BW5</f>
        <v>-50736.775521204989</v>
      </c>
      <c r="BX42" s="107">
        <f>SUM(HR!BZ31:BZ33)*BX5</f>
        <v>-57330.983498920483</v>
      </c>
      <c r="BY42" s="106">
        <f>SUM(HR!CA31:CA33)*BY5</f>
        <v>-57330.983498920483</v>
      </c>
      <c r="BZ42" s="106">
        <f>SUM(HR!CB31:CB33)*BZ5</f>
        <v>-57330.983498920483</v>
      </c>
      <c r="CA42" s="106">
        <f>SUM(HR!CC31:CC33)*CA5</f>
        <v>-57330.983498920483</v>
      </c>
      <c r="CB42" s="106">
        <f>SUM(HR!CD31:CD33)*CB5</f>
        <v>-57330.983498920483</v>
      </c>
      <c r="CC42" s="106">
        <f>SUM(HR!CE31:CE33)*CC5</f>
        <v>-57330.983498920483</v>
      </c>
      <c r="CD42" s="106">
        <f>SUM(HR!CF31:CF33)*CD5</f>
        <v>-57330.983498920483</v>
      </c>
      <c r="CE42" s="106">
        <f>SUM(HR!CG31:CG33)*CE5</f>
        <v>-57330.983498920483</v>
      </c>
      <c r="CF42" s="106">
        <f>SUM(HR!CH31:CH33)*CF5</f>
        <v>-57330.983498920483</v>
      </c>
      <c r="CG42" s="106">
        <f>SUM(HR!CI31:CI33)*CG5</f>
        <v>-57330.983498920483</v>
      </c>
      <c r="CH42" s="106">
        <f>SUM(HR!CJ31:CJ33)*CH5</f>
        <v>-57330.983498920483</v>
      </c>
      <c r="CI42" s="108">
        <f>SUM(HR!CK31:CK33)*CI5</f>
        <v>-57330.983498920483</v>
      </c>
      <c r="CJ42" s="107">
        <f>SUM(HR!CL31:CL33)*CJ5</f>
        <v>-64782.234093291678</v>
      </c>
      <c r="CK42" s="106">
        <f>SUM(HR!CM31:CM33)*CK5</f>
        <v>-64782.234093291678</v>
      </c>
      <c r="CL42" s="106">
        <f>SUM(HR!CN31:CN33)*CL5</f>
        <v>-64782.234093291678</v>
      </c>
      <c r="CM42" s="106">
        <f>SUM(HR!CO31:CO33)*CM5</f>
        <v>-64782.234093291678</v>
      </c>
      <c r="CN42" s="106">
        <f>SUM(HR!CP31:CP33)*CN5</f>
        <v>-64782.234093291678</v>
      </c>
      <c r="CO42" s="106">
        <f>SUM(HR!CQ31:CQ33)*CO5</f>
        <v>-64782.234093291678</v>
      </c>
      <c r="CP42" s="106">
        <f>SUM(HR!CR31:CR33)*CP5</f>
        <v>-64782.234093291678</v>
      </c>
      <c r="CQ42" s="106">
        <f>SUM(HR!CS31:CS33)*CQ5</f>
        <v>-64782.234093291678</v>
      </c>
      <c r="CR42" s="106">
        <f>SUM(HR!CT31:CT33)*CR5</f>
        <v>-64782.234093291678</v>
      </c>
      <c r="CS42" s="106">
        <f>SUM(HR!CU31:CU33)*CS5</f>
        <v>-64782.234093291678</v>
      </c>
      <c r="CT42" s="106">
        <f>SUM(HR!CV31:CV33)*CT5</f>
        <v>-64782.234093291678</v>
      </c>
      <c r="CU42" s="108">
        <f>SUM(HR!CW31:CW33)*CU5</f>
        <v>-64782.234093291678</v>
      </c>
      <c r="CV42" s="107">
        <f>SUM(HR!CX31:CX33)*CV5</f>
        <v>-73201.916276162694</v>
      </c>
      <c r="CW42" s="106">
        <f>SUM(HR!CY31:CY33)*CW5</f>
        <v>-73201.916276162694</v>
      </c>
      <c r="CX42" s="106">
        <f>SUM(HR!CZ31:CZ33)*CX5</f>
        <v>-73201.916276162694</v>
      </c>
      <c r="CY42" s="106">
        <f>SUM(HR!DA31:DA33)*CY5</f>
        <v>-73201.916276162694</v>
      </c>
      <c r="CZ42" s="106">
        <f>SUM(HR!DB31:DB33)*CZ5</f>
        <v>-73201.916276162694</v>
      </c>
      <c r="DA42" s="106">
        <f>SUM(HR!DC31:DC33)*DA5</f>
        <v>-73201.916276162694</v>
      </c>
      <c r="DB42" s="106">
        <f>SUM(HR!DD31:DD33)*DB5</f>
        <v>-73201.916276162694</v>
      </c>
      <c r="DC42" s="106">
        <f>SUM(HR!DE31:DE33)*DC5</f>
        <v>-73201.916276162694</v>
      </c>
      <c r="DD42" s="106">
        <f>SUM(HR!DF31:DF33)*DD5</f>
        <v>-73201.916276162694</v>
      </c>
      <c r="DE42" s="106">
        <f>SUM(HR!DG31:DG33)*DE5</f>
        <v>-73201.916276162694</v>
      </c>
      <c r="DF42" s="106">
        <f>SUM(HR!DH31:DH33)*DF5</f>
        <v>-73201.916276162694</v>
      </c>
      <c r="DG42" s="108">
        <f>SUM(HR!DI31:DI33)*DG5</f>
        <v>-73201.916276162694</v>
      </c>
      <c r="DH42" s="107">
        <f>SUM(HR!DJ31:DJ33)*DH5</f>
        <v>-82715.896132659269</v>
      </c>
      <c r="DI42" s="106">
        <f>SUM(HR!DK31:DK33)*DI5</f>
        <v>-82715.896132659269</v>
      </c>
      <c r="DJ42" s="106">
        <f>SUM(HR!DL31:DL33)*DJ5</f>
        <v>-82715.896132659269</v>
      </c>
      <c r="DK42" s="106">
        <f>SUM(HR!DM31:DM33)*DK5</f>
        <v>-82715.896132659269</v>
      </c>
      <c r="DL42" s="106">
        <f>SUM(HR!DN31:DN33)*DL5</f>
        <v>-82715.896132659269</v>
      </c>
      <c r="DM42" s="106">
        <f>SUM(HR!DO31:DO33)*DM5</f>
        <v>-82715.896132659269</v>
      </c>
      <c r="DN42" s="106">
        <f>SUM(HR!DP31:DP33)*DN5</f>
        <v>-82715.896132659269</v>
      </c>
      <c r="DO42" s="106">
        <f>SUM(HR!DQ31:DQ33)*DO5</f>
        <v>-82715.896132659269</v>
      </c>
      <c r="DP42" s="106">
        <f>SUM(HR!DR31:DR33)*DP5</f>
        <v>-82715.896132659269</v>
      </c>
      <c r="DQ42" s="106">
        <f>SUM(HR!DS31:DS33)*DQ5</f>
        <v>-82715.896132659269</v>
      </c>
      <c r="DR42" s="106">
        <f>SUM(HR!DT31:DT33)*DR5</f>
        <v>-82715.896132659269</v>
      </c>
      <c r="DS42" s="108">
        <f>SUM(HR!DU31:DU33)*DS5</f>
        <v>-82715.896132659269</v>
      </c>
      <c r="DT42" s="832"/>
    </row>
    <row r="43" spans="1:124" ht="15" x14ac:dyDescent="0.25">
      <c r="A43" s="9"/>
      <c r="B43" s="160" t="s">
        <v>81</v>
      </c>
      <c r="C43" s="833">
        <v>-1000</v>
      </c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97"/>
      <c r="P43" s="107"/>
      <c r="Q43" s="345">
        <f>F43*Q5</f>
        <v>0</v>
      </c>
      <c r="R43" s="345">
        <f>G43*R5</f>
        <v>0</v>
      </c>
      <c r="S43" s="345">
        <f>H43*S5</f>
        <v>0</v>
      </c>
      <c r="T43" s="345">
        <f>I43*T5</f>
        <v>0</v>
      </c>
      <c r="U43" s="345">
        <f>J43*U5</f>
        <v>0</v>
      </c>
      <c r="V43" s="345"/>
      <c r="W43" s="345">
        <f>L43*W5</f>
        <v>0</v>
      </c>
      <c r="X43" s="345">
        <f>M43*X5</f>
        <v>0</v>
      </c>
      <c r="Y43" s="345"/>
      <c r="Z43" s="107">
        <f>SUM(HR!$D$31:$D$33)*$C$43*Z5</f>
        <v>-5315</v>
      </c>
      <c r="AA43" s="739"/>
      <c r="AB43" s="107"/>
      <c r="AC43" s="106"/>
      <c r="AD43" s="106"/>
      <c r="AE43" s="106"/>
      <c r="AF43" s="107">
        <f>SUM(HR!$D$31:$D$33)*$C$43*AF5</f>
        <v>-5649.8449999999993</v>
      </c>
      <c r="AG43" s="106"/>
      <c r="AH43" s="106"/>
      <c r="AI43" s="106"/>
      <c r="AJ43" s="106"/>
      <c r="AK43" s="106"/>
      <c r="AL43" s="107">
        <f>SUM(HR!$D$31:$D$33)*$C$43*AL5</f>
        <v>-5649.8449999999993</v>
      </c>
      <c r="AM43" s="108"/>
      <c r="AN43" s="107"/>
      <c r="AO43" s="106"/>
      <c r="AP43" s="106"/>
      <c r="AQ43" s="106"/>
      <c r="AR43" s="107">
        <f>SUM(HR!$D$31:$D$33)*$C$43*AR5</f>
        <v>-6005.7852349999985</v>
      </c>
      <c r="AS43" s="106"/>
      <c r="AT43" s="106"/>
      <c r="AU43" s="106"/>
      <c r="AV43" s="106"/>
      <c r="AW43" s="106"/>
      <c r="AX43" s="107">
        <f>SUM(HR!$D$31:$D$33)*$C$43*AX5</f>
        <v>-6005.7852349999985</v>
      </c>
      <c r="AY43" s="108"/>
      <c r="AZ43" s="107"/>
      <c r="BA43" s="106"/>
      <c r="BB43" s="106"/>
      <c r="BC43" s="106"/>
      <c r="BD43" s="107">
        <f>SUM(HR!$D$31:$D$33)*$C$43*BD5</f>
        <v>-6384.1497048049978</v>
      </c>
      <c r="BE43" s="106"/>
      <c r="BF43" s="106"/>
      <c r="BG43" s="106"/>
      <c r="BH43" s="106"/>
      <c r="BI43" s="106"/>
      <c r="BJ43" s="107">
        <f>SUM(HR!$D$31:$D$33)*$C$43*BJ5</f>
        <v>-6384.1497048049978</v>
      </c>
      <c r="BK43" s="108"/>
      <c r="BL43" s="107"/>
      <c r="BM43" s="106"/>
      <c r="BN43" s="106"/>
      <c r="BO43" s="106"/>
      <c r="BP43" s="107">
        <f>SUM(HR!$D$31:$D$33)*$C$43*BP5</f>
        <v>-6786.3511362077124</v>
      </c>
      <c r="BQ43" s="106"/>
      <c r="BR43" s="106"/>
      <c r="BS43" s="106"/>
      <c r="BT43" s="106"/>
      <c r="BU43" s="106"/>
      <c r="BV43" s="107">
        <f>SUM(HR!$D$31:$D$33)*$C$43*BV5</f>
        <v>-6786.3511362077124</v>
      </c>
      <c r="BW43" s="108"/>
      <c r="BX43" s="107"/>
      <c r="BY43" s="106"/>
      <c r="BZ43" s="106"/>
      <c r="CA43" s="106"/>
      <c r="CB43" s="107">
        <f>SUM(HR!$D$31:$D$33)*$C$43*CB5</f>
        <v>-7213.8912577887977</v>
      </c>
      <c r="CC43" s="106"/>
      <c r="CD43" s="106"/>
      <c r="CE43" s="106"/>
      <c r="CF43" s="106"/>
      <c r="CG43" s="106"/>
      <c r="CH43" s="107">
        <f>SUM(HR!$D$31:$D$33)*$C$43*CH5</f>
        <v>-7213.8912577887977</v>
      </c>
      <c r="CI43" s="108"/>
      <c r="CJ43" s="107"/>
      <c r="CK43" s="106"/>
      <c r="CL43" s="106"/>
      <c r="CM43" s="106"/>
      <c r="CN43" s="107">
        <f>SUM(HR!$D$31:$D$33)*$C$43*CN5</f>
        <v>-7668.3664070294917</v>
      </c>
      <c r="CO43" s="106"/>
      <c r="CP43" s="106"/>
      <c r="CQ43" s="106"/>
      <c r="CR43" s="106"/>
      <c r="CS43" s="106"/>
      <c r="CT43" s="107">
        <f>SUM(HR!$D$31:$D$33)*$C$43*CT5</f>
        <v>-7668.3664070294917</v>
      </c>
      <c r="CU43" s="108"/>
      <c r="CV43" s="107"/>
      <c r="CW43" s="106"/>
      <c r="CX43" s="106"/>
      <c r="CY43" s="106"/>
      <c r="CZ43" s="107">
        <f>SUM(HR!$D$31:$D$33)*$C$43*CZ5</f>
        <v>-8151.4734906723497</v>
      </c>
      <c r="DA43" s="106"/>
      <c r="DB43" s="106"/>
      <c r="DC43" s="106"/>
      <c r="DD43" s="106"/>
      <c r="DE43" s="106"/>
      <c r="DF43" s="107">
        <f>SUM(HR!$D$31:$D$33)*$C$43*DF5</f>
        <v>-8151.4734906723497</v>
      </c>
      <c r="DG43" s="108"/>
      <c r="DH43" s="107"/>
      <c r="DI43" s="106"/>
      <c r="DJ43" s="106"/>
      <c r="DK43" s="106"/>
      <c r="DL43" s="107">
        <f>SUM(HR!$D$31:$D$33)*$C$43*DL5</f>
        <v>-8665.0163205847075</v>
      </c>
      <c r="DM43" s="106"/>
      <c r="DN43" s="106"/>
      <c r="DO43" s="106"/>
      <c r="DP43" s="106"/>
      <c r="DQ43" s="106"/>
      <c r="DR43" s="107">
        <f>SUM(HR!$D$31:$D$33)*$C$43*DR5</f>
        <v>-8665.0163205847075</v>
      </c>
      <c r="DS43" s="108"/>
      <c r="DT43" s="832"/>
    </row>
    <row r="44" spans="1:124" ht="15" x14ac:dyDescent="0.25">
      <c r="B44" s="160" t="s">
        <v>99</v>
      </c>
      <c r="C44" s="833">
        <v>-10000</v>
      </c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97"/>
      <c r="P44" s="107">
        <f t="shared" ref="P44:Y44" si="24">E44*P5</f>
        <v>0</v>
      </c>
      <c r="Q44" s="107">
        <f t="shared" si="24"/>
        <v>0</v>
      </c>
      <c r="R44" s="107">
        <f t="shared" si="24"/>
        <v>0</v>
      </c>
      <c r="S44" s="107">
        <f t="shared" si="24"/>
        <v>0</v>
      </c>
      <c r="T44" s="107">
        <f t="shared" si="24"/>
        <v>0</v>
      </c>
      <c r="U44" s="107">
        <f t="shared" si="24"/>
        <v>0</v>
      </c>
      <c r="V44" s="107">
        <f t="shared" si="24"/>
        <v>0</v>
      </c>
      <c r="W44" s="107">
        <f t="shared" si="24"/>
        <v>0</v>
      </c>
      <c r="X44" s="107">
        <f t="shared" si="24"/>
        <v>0</v>
      </c>
      <c r="Y44" s="107">
        <f t="shared" si="24"/>
        <v>0</v>
      </c>
      <c r="Z44" s="107">
        <f t="shared" ref="Z44:BE44" si="25">$C$44*Z5</f>
        <v>-10630</v>
      </c>
      <c r="AA44" s="739">
        <f t="shared" si="25"/>
        <v>-10630</v>
      </c>
      <c r="AB44" s="107">
        <f t="shared" si="25"/>
        <v>-11299.689999999999</v>
      </c>
      <c r="AC44" s="106">
        <f t="shared" si="25"/>
        <v>-11299.689999999999</v>
      </c>
      <c r="AD44" s="106">
        <f t="shared" si="25"/>
        <v>-11299.689999999999</v>
      </c>
      <c r="AE44" s="106">
        <f t="shared" si="25"/>
        <v>-11299.689999999999</v>
      </c>
      <c r="AF44" s="106">
        <f t="shared" si="25"/>
        <v>-11299.689999999999</v>
      </c>
      <c r="AG44" s="106">
        <f t="shared" si="25"/>
        <v>-11299.689999999999</v>
      </c>
      <c r="AH44" s="106">
        <f t="shared" si="25"/>
        <v>-11299.689999999999</v>
      </c>
      <c r="AI44" s="106">
        <f t="shared" si="25"/>
        <v>-11299.689999999999</v>
      </c>
      <c r="AJ44" s="106">
        <f t="shared" si="25"/>
        <v>-11299.689999999999</v>
      </c>
      <c r="AK44" s="106">
        <f t="shared" si="25"/>
        <v>-11299.689999999999</v>
      </c>
      <c r="AL44" s="106">
        <f t="shared" si="25"/>
        <v>-11299.689999999999</v>
      </c>
      <c r="AM44" s="108">
        <f t="shared" si="25"/>
        <v>-11299.689999999999</v>
      </c>
      <c r="AN44" s="107">
        <f t="shared" si="25"/>
        <v>-12011.570469999997</v>
      </c>
      <c r="AO44" s="106">
        <f t="shared" si="25"/>
        <v>-12011.570469999997</v>
      </c>
      <c r="AP44" s="106">
        <f t="shared" si="25"/>
        <v>-12011.570469999997</v>
      </c>
      <c r="AQ44" s="106">
        <f t="shared" si="25"/>
        <v>-12011.570469999997</v>
      </c>
      <c r="AR44" s="106">
        <f t="shared" si="25"/>
        <v>-12011.570469999997</v>
      </c>
      <c r="AS44" s="106">
        <f t="shared" si="25"/>
        <v>-12011.570469999997</v>
      </c>
      <c r="AT44" s="106">
        <f t="shared" si="25"/>
        <v>-12011.570469999997</v>
      </c>
      <c r="AU44" s="106">
        <f t="shared" si="25"/>
        <v>-12011.570469999997</v>
      </c>
      <c r="AV44" s="106">
        <f t="shared" si="25"/>
        <v>-12011.570469999997</v>
      </c>
      <c r="AW44" s="106">
        <f t="shared" si="25"/>
        <v>-12011.570469999997</v>
      </c>
      <c r="AX44" s="106">
        <f t="shared" si="25"/>
        <v>-12011.570469999997</v>
      </c>
      <c r="AY44" s="108">
        <f t="shared" si="25"/>
        <v>-12011.570469999997</v>
      </c>
      <c r="AZ44" s="107">
        <f t="shared" si="25"/>
        <v>-12768.299409609996</v>
      </c>
      <c r="BA44" s="106">
        <f t="shared" si="25"/>
        <v>-12768.299409609996</v>
      </c>
      <c r="BB44" s="106">
        <f t="shared" si="25"/>
        <v>-12768.299409609996</v>
      </c>
      <c r="BC44" s="106">
        <f t="shared" si="25"/>
        <v>-12768.299409609996</v>
      </c>
      <c r="BD44" s="106">
        <f t="shared" si="25"/>
        <v>-12768.299409609996</v>
      </c>
      <c r="BE44" s="106">
        <f t="shared" si="25"/>
        <v>-12768.299409609996</v>
      </c>
      <c r="BF44" s="106">
        <f t="shared" ref="BF44:CK44" si="26">$C$44*BF5</f>
        <v>-12768.299409609996</v>
      </c>
      <c r="BG44" s="106">
        <f t="shared" si="26"/>
        <v>-12768.299409609996</v>
      </c>
      <c r="BH44" s="106">
        <f t="shared" si="26"/>
        <v>-12768.299409609996</v>
      </c>
      <c r="BI44" s="106">
        <f t="shared" si="26"/>
        <v>-12768.299409609996</v>
      </c>
      <c r="BJ44" s="106">
        <f t="shared" si="26"/>
        <v>-12768.299409609996</v>
      </c>
      <c r="BK44" s="108">
        <f t="shared" si="26"/>
        <v>-12768.299409609996</v>
      </c>
      <c r="BL44" s="107">
        <f t="shared" si="26"/>
        <v>-13572.702272415425</v>
      </c>
      <c r="BM44" s="106">
        <f t="shared" si="26"/>
        <v>-13572.702272415425</v>
      </c>
      <c r="BN44" s="106">
        <f t="shared" si="26"/>
        <v>-13572.702272415425</v>
      </c>
      <c r="BO44" s="106">
        <f t="shared" si="26"/>
        <v>-13572.702272415425</v>
      </c>
      <c r="BP44" s="106">
        <f t="shared" si="26"/>
        <v>-13572.702272415425</v>
      </c>
      <c r="BQ44" s="106">
        <f t="shared" si="26"/>
        <v>-13572.702272415425</v>
      </c>
      <c r="BR44" s="106">
        <f t="shared" si="26"/>
        <v>-13572.702272415425</v>
      </c>
      <c r="BS44" s="106">
        <f t="shared" si="26"/>
        <v>-13572.702272415425</v>
      </c>
      <c r="BT44" s="106">
        <f t="shared" si="26"/>
        <v>-13572.702272415425</v>
      </c>
      <c r="BU44" s="106">
        <f t="shared" si="26"/>
        <v>-13572.702272415425</v>
      </c>
      <c r="BV44" s="106">
        <f t="shared" si="26"/>
        <v>-13572.702272415425</v>
      </c>
      <c r="BW44" s="108">
        <f t="shared" si="26"/>
        <v>-13572.702272415425</v>
      </c>
      <c r="BX44" s="107">
        <f t="shared" si="26"/>
        <v>-14427.782515577595</v>
      </c>
      <c r="BY44" s="106">
        <f t="shared" si="26"/>
        <v>-14427.782515577595</v>
      </c>
      <c r="BZ44" s="106">
        <f t="shared" si="26"/>
        <v>-14427.782515577595</v>
      </c>
      <c r="CA44" s="106">
        <f t="shared" si="26"/>
        <v>-14427.782515577595</v>
      </c>
      <c r="CB44" s="106">
        <f t="shared" si="26"/>
        <v>-14427.782515577595</v>
      </c>
      <c r="CC44" s="106">
        <f t="shared" si="26"/>
        <v>-14427.782515577595</v>
      </c>
      <c r="CD44" s="106">
        <f t="shared" si="26"/>
        <v>-14427.782515577595</v>
      </c>
      <c r="CE44" s="106">
        <f t="shared" si="26"/>
        <v>-14427.782515577595</v>
      </c>
      <c r="CF44" s="106">
        <f t="shared" si="26"/>
        <v>-14427.782515577595</v>
      </c>
      <c r="CG44" s="106">
        <f t="shared" si="26"/>
        <v>-14427.782515577595</v>
      </c>
      <c r="CH44" s="106">
        <f t="shared" si="26"/>
        <v>-14427.782515577595</v>
      </c>
      <c r="CI44" s="108">
        <f t="shared" si="26"/>
        <v>-14427.782515577595</v>
      </c>
      <c r="CJ44" s="107">
        <f t="shared" si="26"/>
        <v>-15336.732814058983</v>
      </c>
      <c r="CK44" s="106">
        <f t="shared" si="26"/>
        <v>-15336.732814058983</v>
      </c>
      <c r="CL44" s="106">
        <f t="shared" ref="CL44:DS44" si="27">$C$44*CL5</f>
        <v>-15336.732814058983</v>
      </c>
      <c r="CM44" s="106">
        <f t="shared" si="27"/>
        <v>-15336.732814058983</v>
      </c>
      <c r="CN44" s="106">
        <f t="shared" si="27"/>
        <v>-15336.732814058983</v>
      </c>
      <c r="CO44" s="106">
        <f t="shared" si="27"/>
        <v>-15336.732814058983</v>
      </c>
      <c r="CP44" s="106">
        <f t="shared" si="27"/>
        <v>-15336.732814058983</v>
      </c>
      <c r="CQ44" s="106">
        <f t="shared" si="27"/>
        <v>-15336.732814058983</v>
      </c>
      <c r="CR44" s="106">
        <f t="shared" si="27"/>
        <v>-15336.732814058983</v>
      </c>
      <c r="CS44" s="106">
        <f t="shared" si="27"/>
        <v>-15336.732814058983</v>
      </c>
      <c r="CT44" s="106">
        <f t="shared" si="27"/>
        <v>-15336.732814058983</v>
      </c>
      <c r="CU44" s="108">
        <f t="shared" si="27"/>
        <v>-15336.732814058983</v>
      </c>
      <c r="CV44" s="107">
        <f t="shared" si="27"/>
        <v>-16302.946981344699</v>
      </c>
      <c r="CW44" s="106">
        <f t="shared" si="27"/>
        <v>-16302.946981344699</v>
      </c>
      <c r="CX44" s="106">
        <f t="shared" si="27"/>
        <v>-16302.946981344699</v>
      </c>
      <c r="CY44" s="106">
        <f t="shared" si="27"/>
        <v>-16302.946981344699</v>
      </c>
      <c r="CZ44" s="106">
        <f t="shared" si="27"/>
        <v>-16302.946981344699</v>
      </c>
      <c r="DA44" s="106">
        <f t="shared" si="27"/>
        <v>-16302.946981344699</v>
      </c>
      <c r="DB44" s="106">
        <f t="shared" si="27"/>
        <v>-16302.946981344699</v>
      </c>
      <c r="DC44" s="106">
        <f t="shared" si="27"/>
        <v>-16302.946981344699</v>
      </c>
      <c r="DD44" s="106">
        <f t="shared" si="27"/>
        <v>-16302.946981344699</v>
      </c>
      <c r="DE44" s="106">
        <f t="shared" si="27"/>
        <v>-16302.946981344699</v>
      </c>
      <c r="DF44" s="106">
        <f t="shared" si="27"/>
        <v>-16302.946981344699</v>
      </c>
      <c r="DG44" s="108">
        <f t="shared" si="27"/>
        <v>-16302.946981344699</v>
      </c>
      <c r="DH44" s="107">
        <f t="shared" si="27"/>
        <v>-17330.032641169415</v>
      </c>
      <c r="DI44" s="106">
        <f t="shared" si="27"/>
        <v>-17330.032641169415</v>
      </c>
      <c r="DJ44" s="106">
        <f t="shared" si="27"/>
        <v>-17330.032641169415</v>
      </c>
      <c r="DK44" s="106">
        <f t="shared" si="27"/>
        <v>-17330.032641169415</v>
      </c>
      <c r="DL44" s="106">
        <f t="shared" si="27"/>
        <v>-17330.032641169415</v>
      </c>
      <c r="DM44" s="106">
        <f t="shared" si="27"/>
        <v>-17330.032641169415</v>
      </c>
      <c r="DN44" s="106">
        <f t="shared" si="27"/>
        <v>-17330.032641169415</v>
      </c>
      <c r="DO44" s="106">
        <f t="shared" si="27"/>
        <v>-17330.032641169415</v>
      </c>
      <c r="DP44" s="106">
        <f t="shared" si="27"/>
        <v>-17330.032641169415</v>
      </c>
      <c r="DQ44" s="106">
        <f t="shared" si="27"/>
        <v>-17330.032641169415</v>
      </c>
      <c r="DR44" s="106">
        <f t="shared" si="27"/>
        <v>-17330.032641169415</v>
      </c>
      <c r="DS44" s="108">
        <f t="shared" si="27"/>
        <v>-17330.032641169415</v>
      </c>
      <c r="DT44" s="832"/>
    </row>
    <row r="45" spans="1:124" ht="15" x14ac:dyDescent="0.25">
      <c r="B45" s="160" t="s">
        <v>197</v>
      </c>
      <c r="C45" s="833">
        <v>-5000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97"/>
      <c r="P45" s="107">
        <f t="shared" ref="P45:Y45" si="28">E45*P5</f>
        <v>0</v>
      </c>
      <c r="Q45" s="345">
        <f t="shared" si="28"/>
        <v>0</v>
      </c>
      <c r="R45" s="345">
        <f t="shared" si="28"/>
        <v>0</v>
      </c>
      <c r="S45" s="345">
        <f t="shared" si="28"/>
        <v>0</v>
      </c>
      <c r="T45" s="345">
        <f t="shared" si="28"/>
        <v>0</v>
      </c>
      <c r="U45" s="345">
        <f t="shared" si="28"/>
        <v>0</v>
      </c>
      <c r="V45" s="345">
        <f t="shared" si="28"/>
        <v>0</v>
      </c>
      <c r="W45" s="345">
        <f t="shared" si="28"/>
        <v>0</v>
      </c>
      <c r="X45" s="345">
        <f t="shared" si="28"/>
        <v>0</v>
      </c>
      <c r="Y45" s="345">
        <f t="shared" si="28"/>
        <v>0</v>
      </c>
      <c r="Z45" s="107">
        <f t="shared" ref="Z45:AA45" si="29">$C$45*Z5</f>
        <v>-5315</v>
      </c>
      <c r="AA45" s="739">
        <f t="shared" si="29"/>
        <v>-5315</v>
      </c>
      <c r="AB45" s="107">
        <f>$C$45*AB5</f>
        <v>-5649.8449999999993</v>
      </c>
      <c r="AC45" s="106">
        <f t="shared" ref="AC45:CN45" si="30">$C$45*AC5</f>
        <v>-5649.8449999999993</v>
      </c>
      <c r="AD45" s="106">
        <f t="shared" si="30"/>
        <v>-5649.8449999999993</v>
      </c>
      <c r="AE45" s="106">
        <f t="shared" si="30"/>
        <v>-5649.8449999999993</v>
      </c>
      <c r="AF45" s="106">
        <f t="shared" si="30"/>
        <v>-5649.8449999999993</v>
      </c>
      <c r="AG45" s="106">
        <f t="shared" si="30"/>
        <v>-5649.8449999999993</v>
      </c>
      <c r="AH45" s="106">
        <f t="shared" si="30"/>
        <v>-5649.8449999999993</v>
      </c>
      <c r="AI45" s="106">
        <f t="shared" si="30"/>
        <v>-5649.8449999999993</v>
      </c>
      <c r="AJ45" s="106">
        <f t="shared" si="30"/>
        <v>-5649.8449999999993</v>
      </c>
      <c r="AK45" s="106">
        <f t="shared" si="30"/>
        <v>-5649.8449999999993</v>
      </c>
      <c r="AL45" s="106">
        <f t="shared" si="30"/>
        <v>-5649.8449999999993</v>
      </c>
      <c r="AM45" s="108">
        <f t="shared" si="30"/>
        <v>-5649.8449999999993</v>
      </c>
      <c r="AN45" s="107">
        <f t="shared" si="30"/>
        <v>-6005.7852349999985</v>
      </c>
      <c r="AO45" s="106">
        <f t="shared" si="30"/>
        <v>-6005.7852349999985</v>
      </c>
      <c r="AP45" s="106">
        <f t="shared" si="30"/>
        <v>-6005.7852349999985</v>
      </c>
      <c r="AQ45" s="106">
        <f t="shared" si="30"/>
        <v>-6005.7852349999985</v>
      </c>
      <c r="AR45" s="106">
        <f t="shared" si="30"/>
        <v>-6005.7852349999985</v>
      </c>
      <c r="AS45" s="106">
        <f t="shared" si="30"/>
        <v>-6005.7852349999985</v>
      </c>
      <c r="AT45" s="106">
        <f t="shared" si="30"/>
        <v>-6005.7852349999985</v>
      </c>
      <c r="AU45" s="106">
        <f t="shared" si="30"/>
        <v>-6005.7852349999985</v>
      </c>
      <c r="AV45" s="106">
        <f t="shared" si="30"/>
        <v>-6005.7852349999985</v>
      </c>
      <c r="AW45" s="106">
        <f t="shared" si="30"/>
        <v>-6005.7852349999985</v>
      </c>
      <c r="AX45" s="106">
        <f t="shared" si="30"/>
        <v>-6005.7852349999985</v>
      </c>
      <c r="AY45" s="108">
        <f t="shared" si="30"/>
        <v>-6005.7852349999985</v>
      </c>
      <c r="AZ45" s="107">
        <f t="shared" si="30"/>
        <v>-6384.1497048049978</v>
      </c>
      <c r="BA45" s="106">
        <f t="shared" si="30"/>
        <v>-6384.1497048049978</v>
      </c>
      <c r="BB45" s="106">
        <f t="shared" si="30"/>
        <v>-6384.1497048049978</v>
      </c>
      <c r="BC45" s="106">
        <f t="shared" si="30"/>
        <v>-6384.1497048049978</v>
      </c>
      <c r="BD45" s="106">
        <f t="shared" si="30"/>
        <v>-6384.1497048049978</v>
      </c>
      <c r="BE45" s="106">
        <f t="shared" si="30"/>
        <v>-6384.1497048049978</v>
      </c>
      <c r="BF45" s="106">
        <f t="shared" si="30"/>
        <v>-6384.1497048049978</v>
      </c>
      <c r="BG45" s="106">
        <f t="shared" si="30"/>
        <v>-6384.1497048049978</v>
      </c>
      <c r="BH45" s="106">
        <f t="shared" si="30"/>
        <v>-6384.1497048049978</v>
      </c>
      <c r="BI45" s="106">
        <f t="shared" si="30"/>
        <v>-6384.1497048049978</v>
      </c>
      <c r="BJ45" s="106">
        <f t="shared" si="30"/>
        <v>-6384.1497048049978</v>
      </c>
      <c r="BK45" s="108">
        <f t="shared" si="30"/>
        <v>-6384.1497048049978</v>
      </c>
      <c r="BL45" s="107">
        <f t="shared" si="30"/>
        <v>-6786.3511362077124</v>
      </c>
      <c r="BM45" s="106">
        <f t="shared" si="30"/>
        <v>-6786.3511362077124</v>
      </c>
      <c r="BN45" s="106">
        <f t="shared" si="30"/>
        <v>-6786.3511362077124</v>
      </c>
      <c r="BO45" s="106">
        <f t="shared" si="30"/>
        <v>-6786.3511362077124</v>
      </c>
      <c r="BP45" s="106">
        <f t="shared" si="30"/>
        <v>-6786.3511362077124</v>
      </c>
      <c r="BQ45" s="106">
        <f t="shared" si="30"/>
        <v>-6786.3511362077124</v>
      </c>
      <c r="BR45" s="106">
        <f t="shared" si="30"/>
        <v>-6786.3511362077124</v>
      </c>
      <c r="BS45" s="106">
        <f t="shared" si="30"/>
        <v>-6786.3511362077124</v>
      </c>
      <c r="BT45" s="106">
        <f t="shared" si="30"/>
        <v>-6786.3511362077124</v>
      </c>
      <c r="BU45" s="106">
        <f t="shared" si="30"/>
        <v>-6786.3511362077124</v>
      </c>
      <c r="BV45" s="106">
        <f t="shared" si="30"/>
        <v>-6786.3511362077124</v>
      </c>
      <c r="BW45" s="108">
        <f t="shared" si="30"/>
        <v>-6786.3511362077124</v>
      </c>
      <c r="BX45" s="107">
        <f t="shared" si="30"/>
        <v>-7213.8912577887977</v>
      </c>
      <c r="BY45" s="106">
        <f t="shared" si="30"/>
        <v>-7213.8912577887977</v>
      </c>
      <c r="BZ45" s="106">
        <f t="shared" si="30"/>
        <v>-7213.8912577887977</v>
      </c>
      <c r="CA45" s="106">
        <f t="shared" si="30"/>
        <v>-7213.8912577887977</v>
      </c>
      <c r="CB45" s="106">
        <f t="shared" si="30"/>
        <v>-7213.8912577887977</v>
      </c>
      <c r="CC45" s="106">
        <f t="shared" si="30"/>
        <v>-7213.8912577887977</v>
      </c>
      <c r="CD45" s="106">
        <f t="shared" si="30"/>
        <v>-7213.8912577887977</v>
      </c>
      <c r="CE45" s="106">
        <f t="shared" si="30"/>
        <v>-7213.8912577887977</v>
      </c>
      <c r="CF45" s="106">
        <f t="shared" si="30"/>
        <v>-7213.8912577887977</v>
      </c>
      <c r="CG45" s="106">
        <f t="shared" si="30"/>
        <v>-7213.8912577887977</v>
      </c>
      <c r="CH45" s="106">
        <f t="shared" si="30"/>
        <v>-7213.8912577887977</v>
      </c>
      <c r="CI45" s="108">
        <f t="shared" si="30"/>
        <v>-7213.8912577887977</v>
      </c>
      <c r="CJ45" s="107">
        <f t="shared" si="30"/>
        <v>-7668.3664070294917</v>
      </c>
      <c r="CK45" s="106">
        <f t="shared" si="30"/>
        <v>-7668.3664070294917</v>
      </c>
      <c r="CL45" s="106">
        <f t="shared" si="30"/>
        <v>-7668.3664070294917</v>
      </c>
      <c r="CM45" s="106">
        <f t="shared" si="30"/>
        <v>-7668.3664070294917</v>
      </c>
      <c r="CN45" s="106">
        <f t="shared" si="30"/>
        <v>-7668.3664070294917</v>
      </c>
      <c r="CO45" s="106">
        <f t="shared" ref="CO45:DS45" si="31">$C$45*CO5</f>
        <v>-7668.3664070294917</v>
      </c>
      <c r="CP45" s="106">
        <f t="shared" si="31"/>
        <v>-7668.3664070294917</v>
      </c>
      <c r="CQ45" s="106">
        <f t="shared" si="31"/>
        <v>-7668.3664070294917</v>
      </c>
      <c r="CR45" s="106">
        <f t="shared" si="31"/>
        <v>-7668.3664070294917</v>
      </c>
      <c r="CS45" s="106">
        <f t="shared" si="31"/>
        <v>-7668.3664070294917</v>
      </c>
      <c r="CT45" s="106">
        <f t="shared" si="31"/>
        <v>-7668.3664070294917</v>
      </c>
      <c r="CU45" s="108">
        <f t="shared" si="31"/>
        <v>-7668.3664070294917</v>
      </c>
      <c r="CV45" s="107">
        <f t="shared" si="31"/>
        <v>-8151.4734906723497</v>
      </c>
      <c r="CW45" s="106">
        <f t="shared" si="31"/>
        <v>-8151.4734906723497</v>
      </c>
      <c r="CX45" s="106">
        <f t="shared" si="31"/>
        <v>-8151.4734906723497</v>
      </c>
      <c r="CY45" s="106">
        <f t="shared" si="31"/>
        <v>-8151.4734906723497</v>
      </c>
      <c r="CZ45" s="106">
        <f t="shared" si="31"/>
        <v>-8151.4734906723497</v>
      </c>
      <c r="DA45" s="106">
        <f t="shared" si="31"/>
        <v>-8151.4734906723497</v>
      </c>
      <c r="DB45" s="106">
        <f t="shared" si="31"/>
        <v>-8151.4734906723497</v>
      </c>
      <c r="DC45" s="106">
        <f t="shared" si="31"/>
        <v>-8151.4734906723497</v>
      </c>
      <c r="DD45" s="106">
        <f t="shared" si="31"/>
        <v>-8151.4734906723497</v>
      </c>
      <c r="DE45" s="106">
        <f t="shared" si="31"/>
        <v>-8151.4734906723497</v>
      </c>
      <c r="DF45" s="106">
        <f t="shared" si="31"/>
        <v>-8151.4734906723497</v>
      </c>
      <c r="DG45" s="108">
        <f t="shared" si="31"/>
        <v>-8151.4734906723497</v>
      </c>
      <c r="DH45" s="107">
        <f t="shared" si="31"/>
        <v>-8665.0163205847075</v>
      </c>
      <c r="DI45" s="106">
        <f t="shared" si="31"/>
        <v>-8665.0163205847075</v>
      </c>
      <c r="DJ45" s="106">
        <f t="shared" si="31"/>
        <v>-8665.0163205847075</v>
      </c>
      <c r="DK45" s="106">
        <f t="shared" si="31"/>
        <v>-8665.0163205847075</v>
      </c>
      <c r="DL45" s="106">
        <f t="shared" si="31"/>
        <v>-8665.0163205847075</v>
      </c>
      <c r="DM45" s="106">
        <f t="shared" si="31"/>
        <v>-8665.0163205847075</v>
      </c>
      <c r="DN45" s="106">
        <f t="shared" si="31"/>
        <v>-8665.0163205847075</v>
      </c>
      <c r="DO45" s="106">
        <f t="shared" si="31"/>
        <v>-8665.0163205847075</v>
      </c>
      <c r="DP45" s="106">
        <f t="shared" si="31"/>
        <v>-8665.0163205847075</v>
      </c>
      <c r="DQ45" s="106">
        <f t="shared" si="31"/>
        <v>-8665.0163205847075</v>
      </c>
      <c r="DR45" s="106">
        <f t="shared" si="31"/>
        <v>-8665.0163205847075</v>
      </c>
      <c r="DS45" s="108">
        <f t="shared" si="31"/>
        <v>-8665.0163205847075</v>
      </c>
      <c r="DT45" s="832"/>
    </row>
    <row r="46" spans="1:124" ht="15" x14ac:dyDescent="0.25">
      <c r="B46" s="160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12"/>
      <c r="P46" s="887"/>
      <c r="Q46" s="887"/>
      <c r="R46" s="887"/>
      <c r="S46" s="887"/>
      <c r="T46" s="887"/>
      <c r="U46" s="887"/>
      <c r="V46" s="887"/>
      <c r="W46" s="887"/>
      <c r="X46" s="887"/>
      <c r="Y46" s="887"/>
      <c r="Z46" s="887"/>
      <c r="AA46" s="842"/>
      <c r="AB46" s="887"/>
      <c r="AC46" s="887"/>
      <c r="AD46" s="887"/>
      <c r="AE46" s="887"/>
      <c r="AF46" s="887"/>
      <c r="AG46" s="887"/>
      <c r="AH46" s="887"/>
      <c r="AI46" s="887"/>
      <c r="AJ46" s="887"/>
      <c r="AK46" s="887"/>
      <c r="AL46" s="887"/>
      <c r="AM46" s="842"/>
      <c r="AN46" s="887"/>
      <c r="AO46" s="887"/>
      <c r="AP46" s="887"/>
      <c r="AQ46" s="887"/>
      <c r="AR46" s="887"/>
      <c r="AS46" s="887"/>
      <c r="AT46" s="887"/>
      <c r="AU46" s="887"/>
      <c r="AV46" s="887"/>
      <c r="AW46" s="887"/>
      <c r="AX46" s="887"/>
      <c r="AY46" s="842"/>
      <c r="AZ46" s="887"/>
      <c r="BA46" s="887"/>
      <c r="BB46" s="887"/>
      <c r="BC46" s="887"/>
      <c r="BD46" s="887"/>
      <c r="BE46" s="887"/>
      <c r="BF46" s="887"/>
      <c r="BG46" s="887"/>
      <c r="BH46" s="887"/>
      <c r="BI46" s="887"/>
      <c r="BJ46" s="887"/>
      <c r="BK46" s="842"/>
      <c r="BL46" s="887"/>
      <c r="BM46" s="887"/>
      <c r="BN46" s="887"/>
      <c r="BO46" s="887"/>
      <c r="BP46" s="887"/>
      <c r="BQ46" s="887"/>
      <c r="BR46" s="887"/>
      <c r="BS46" s="887"/>
      <c r="BT46" s="887"/>
      <c r="BU46" s="887"/>
      <c r="BV46" s="887"/>
      <c r="BW46" s="842"/>
      <c r="BX46" s="887"/>
      <c r="BY46" s="887"/>
      <c r="BZ46" s="887"/>
      <c r="CA46" s="887"/>
      <c r="CB46" s="887"/>
      <c r="CC46" s="887"/>
      <c r="CD46" s="887"/>
      <c r="CE46" s="887"/>
      <c r="CF46" s="887"/>
      <c r="CG46" s="887"/>
      <c r="CH46" s="887"/>
      <c r="CI46" s="842"/>
      <c r="CJ46" s="887"/>
      <c r="CK46" s="887"/>
      <c r="CL46" s="887"/>
      <c r="CM46" s="887"/>
      <c r="CN46" s="887"/>
      <c r="CO46" s="887"/>
      <c r="CP46" s="887"/>
      <c r="CQ46" s="887"/>
      <c r="CR46" s="887"/>
      <c r="CS46" s="887"/>
      <c r="CT46" s="887"/>
      <c r="CU46" s="842"/>
      <c r="CV46" s="887"/>
      <c r="CW46" s="887"/>
      <c r="CX46" s="887"/>
      <c r="CY46" s="887"/>
      <c r="CZ46" s="887"/>
      <c r="DA46" s="887"/>
      <c r="DB46" s="887"/>
      <c r="DC46" s="887"/>
      <c r="DD46" s="887"/>
      <c r="DE46" s="887"/>
      <c r="DF46" s="887"/>
      <c r="DG46" s="842"/>
      <c r="DH46" s="887"/>
      <c r="DI46" s="887"/>
      <c r="DJ46" s="887"/>
      <c r="DK46" s="887"/>
      <c r="DL46" s="887"/>
      <c r="DM46" s="887"/>
      <c r="DN46" s="887"/>
      <c r="DO46" s="887"/>
      <c r="DP46" s="887"/>
      <c r="DQ46" s="887"/>
      <c r="DR46" s="887"/>
      <c r="DS46" s="842"/>
      <c r="DT46" s="832"/>
    </row>
    <row r="47" spans="1:124" ht="15.75" x14ac:dyDescent="0.25">
      <c r="B47" s="166" t="s">
        <v>198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12"/>
      <c r="P47" s="887"/>
      <c r="Q47" s="887"/>
      <c r="R47" s="887"/>
      <c r="S47" s="887"/>
      <c r="T47" s="887"/>
      <c r="U47" s="887"/>
      <c r="V47" s="887"/>
      <c r="W47" s="887"/>
      <c r="X47" s="887"/>
      <c r="Y47" s="887"/>
      <c r="Z47" s="887"/>
      <c r="AA47" s="842"/>
      <c r="AB47" s="887"/>
      <c r="AC47" s="887"/>
      <c r="AD47" s="887"/>
      <c r="AE47" s="887"/>
      <c r="AF47" s="887"/>
      <c r="AG47" s="887"/>
      <c r="AH47" s="887"/>
      <c r="AI47" s="887"/>
      <c r="AJ47" s="887"/>
      <c r="AK47" s="887"/>
      <c r="AL47" s="887"/>
      <c r="AM47" s="842"/>
      <c r="AN47" s="887"/>
      <c r="AO47" s="887"/>
      <c r="AP47" s="887"/>
      <c r="AQ47" s="887"/>
      <c r="AR47" s="887"/>
      <c r="AS47" s="887"/>
      <c r="AT47" s="887"/>
      <c r="AU47" s="887"/>
      <c r="AV47" s="887"/>
      <c r="AW47" s="887"/>
      <c r="AX47" s="887"/>
      <c r="AY47" s="842"/>
      <c r="AZ47" s="887"/>
      <c r="BA47" s="887"/>
      <c r="BB47" s="887"/>
      <c r="BC47" s="887"/>
      <c r="BD47" s="887"/>
      <c r="BE47" s="887"/>
      <c r="BF47" s="887"/>
      <c r="BG47" s="887"/>
      <c r="BH47" s="887"/>
      <c r="BI47" s="887"/>
      <c r="BJ47" s="887"/>
      <c r="BK47" s="842"/>
      <c r="BL47" s="887"/>
      <c r="BM47" s="887"/>
      <c r="BN47" s="887"/>
      <c r="BO47" s="887"/>
      <c r="BP47" s="887"/>
      <c r="BQ47" s="887"/>
      <c r="BR47" s="887"/>
      <c r="BS47" s="887"/>
      <c r="BT47" s="887"/>
      <c r="BU47" s="887"/>
      <c r="BV47" s="887"/>
      <c r="BW47" s="842"/>
      <c r="BX47" s="887"/>
      <c r="BY47" s="887"/>
      <c r="BZ47" s="887"/>
      <c r="CA47" s="887"/>
      <c r="CB47" s="887"/>
      <c r="CC47" s="887"/>
      <c r="CD47" s="887"/>
      <c r="CE47" s="887"/>
      <c r="CF47" s="887"/>
      <c r="CG47" s="887"/>
      <c r="CH47" s="887"/>
      <c r="CI47" s="842"/>
      <c r="CJ47" s="887"/>
      <c r="CK47" s="887"/>
      <c r="CL47" s="887"/>
      <c r="CM47" s="887"/>
      <c r="CN47" s="887"/>
      <c r="CO47" s="887"/>
      <c r="CP47" s="887"/>
      <c r="CQ47" s="887"/>
      <c r="CR47" s="887"/>
      <c r="CS47" s="887"/>
      <c r="CT47" s="887"/>
      <c r="CU47" s="842"/>
      <c r="CV47" s="887"/>
      <c r="CW47" s="887"/>
      <c r="CX47" s="887"/>
      <c r="CY47" s="887"/>
      <c r="CZ47" s="887"/>
      <c r="DA47" s="887"/>
      <c r="DB47" s="887"/>
      <c r="DC47" s="887"/>
      <c r="DD47" s="887"/>
      <c r="DE47" s="887"/>
      <c r="DF47" s="887"/>
      <c r="DG47" s="842"/>
      <c r="DH47" s="887"/>
      <c r="DI47" s="887"/>
      <c r="DJ47" s="887"/>
      <c r="DK47" s="887"/>
      <c r="DL47" s="887"/>
      <c r="DM47" s="887"/>
      <c r="DN47" s="887"/>
      <c r="DO47" s="887"/>
      <c r="DP47" s="887"/>
      <c r="DQ47" s="887"/>
      <c r="DR47" s="887"/>
      <c r="DS47" s="842"/>
      <c r="DT47" s="832"/>
    </row>
    <row r="48" spans="1:124" ht="15" x14ac:dyDescent="0.25">
      <c r="B48" s="836" t="s">
        <v>190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>
        <f>SUM(HR!P36:P37)</f>
        <v>-10583.333333333332</v>
      </c>
      <c r="O48" s="497">
        <f>SUM(HR!Q36:Q37)</f>
        <v>-10583.333333333332</v>
      </c>
      <c r="P48" s="107">
        <f>SUM(HR!R36:R37)</f>
        <v>-11250.083333333332</v>
      </c>
      <c r="Q48" s="107">
        <f>SUM(HR!S36:S37)</f>
        <v>-11250.083333333332</v>
      </c>
      <c r="R48" s="107">
        <f>SUM(HR!T36:T37)</f>
        <v>-11250.083333333332</v>
      </c>
      <c r="S48" s="107">
        <f>SUM(HR!U36:U37)</f>
        <v>-11250.083333333332</v>
      </c>
      <c r="T48" s="107">
        <f>SUM(HR!V36:V37)</f>
        <v>-11250.083333333332</v>
      </c>
      <c r="U48" s="107">
        <f>SUM(HR!W36:W37)</f>
        <v>-11250.083333333332</v>
      </c>
      <c r="V48" s="107">
        <f>SUM(HR!X36:X37)</f>
        <v>-11250.083333333332</v>
      </c>
      <c r="W48" s="107">
        <f>SUM(HR!Y36:Y37)</f>
        <v>-11250.083333333332</v>
      </c>
      <c r="X48" s="107">
        <f>SUM(HR!Z36:Z37)</f>
        <v>-11250.083333333332</v>
      </c>
      <c r="Y48" s="107">
        <f>SUM(HR!AA36:AA37)</f>
        <v>-11250.083333333332</v>
      </c>
      <c r="Z48" s="107">
        <f>SUM(HR!AB36:AB37)</f>
        <v>-11250.083333333332</v>
      </c>
      <c r="AA48" s="739">
        <f>SUM(HR!AC36:AC37)</f>
        <v>-11250.083333333332</v>
      </c>
      <c r="AB48" s="107">
        <f>SUM(HR!AD36:AD37)</f>
        <v>-11958.83858333333</v>
      </c>
      <c r="AC48" s="107">
        <f>SUM(HR!AE36:AE37)</f>
        <v>-11958.83858333333</v>
      </c>
      <c r="AD48" s="107">
        <f>SUM(HR!AF36:AF37)</f>
        <v>-11958.83858333333</v>
      </c>
      <c r="AE48" s="107">
        <f>SUM(HR!AG36:AG37)</f>
        <v>-11958.83858333333</v>
      </c>
      <c r="AF48" s="107">
        <f>SUM(HR!AH36:AH37)</f>
        <v>-11958.83858333333</v>
      </c>
      <c r="AG48" s="107">
        <f>SUM(HR!AI36:AI37)</f>
        <v>-11958.83858333333</v>
      </c>
      <c r="AH48" s="107">
        <f>SUM(HR!AJ36:AJ37)</f>
        <v>-11958.83858333333</v>
      </c>
      <c r="AI48" s="107">
        <f>SUM(HR!AK36:AK37)</f>
        <v>-11958.83858333333</v>
      </c>
      <c r="AJ48" s="107">
        <f>SUM(HR!AL36:AL37)</f>
        <v>-11958.83858333333</v>
      </c>
      <c r="AK48" s="107">
        <f>SUM(HR!AM36:AM37)</f>
        <v>-11958.83858333333</v>
      </c>
      <c r="AL48" s="107">
        <f>SUM(HR!AN36:AN37)</f>
        <v>-11958.83858333333</v>
      </c>
      <c r="AM48" s="739">
        <f>SUM(HR!AO36:AO37)</f>
        <v>-11958.83858333333</v>
      </c>
      <c r="AN48" s="107">
        <f>SUM(HR!AP36:AP37)</f>
        <v>-12712.245414083329</v>
      </c>
      <c r="AO48" s="107">
        <f>SUM(HR!AQ36:AQ37)</f>
        <v>-12712.245414083329</v>
      </c>
      <c r="AP48" s="107">
        <f>SUM(HR!AR36:AR37)</f>
        <v>-12712.245414083329</v>
      </c>
      <c r="AQ48" s="107">
        <f>SUM(HR!AS36:AS37)</f>
        <v>-12712.245414083329</v>
      </c>
      <c r="AR48" s="107">
        <f>SUM(HR!AT36:AT37)</f>
        <v>-12712.245414083329</v>
      </c>
      <c r="AS48" s="107">
        <f>SUM(HR!AU36:AU37)</f>
        <v>-12712.245414083329</v>
      </c>
      <c r="AT48" s="107">
        <f>SUM(HR!AV36:AV37)</f>
        <v>-12712.245414083329</v>
      </c>
      <c r="AU48" s="107">
        <f>SUM(HR!AW36:AW37)</f>
        <v>-12712.245414083329</v>
      </c>
      <c r="AV48" s="107">
        <f>SUM(HR!AX36:AX37)</f>
        <v>-12712.245414083329</v>
      </c>
      <c r="AW48" s="107">
        <f>SUM(HR!AY36:AY37)</f>
        <v>-12712.245414083329</v>
      </c>
      <c r="AX48" s="107">
        <f>SUM(HR!AZ36:AZ37)</f>
        <v>-12712.245414083329</v>
      </c>
      <c r="AY48" s="739">
        <f>SUM(HR!BA36:BA37)</f>
        <v>-12712.245414083329</v>
      </c>
      <c r="AZ48" s="107">
        <f>SUM(HR!BB36:BB37)</f>
        <v>-13513.116875170579</v>
      </c>
      <c r="BA48" s="107">
        <f>SUM(HR!BC36:BC37)</f>
        <v>-13513.116875170579</v>
      </c>
      <c r="BB48" s="107">
        <f>SUM(HR!BD36:BD37)</f>
        <v>-13513.116875170579</v>
      </c>
      <c r="BC48" s="107">
        <f>SUM(HR!BE36:BE37)</f>
        <v>-13513.116875170579</v>
      </c>
      <c r="BD48" s="107">
        <f>SUM(HR!BF36:BF37)</f>
        <v>-13513.116875170579</v>
      </c>
      <c r="BE48" s="107">
        <f>SUM(HR!BG36:BG37)</f>
        <v>-13513.116875170579</v>
      </c>
      <c r="BF48" s="107">
        <f>SUM(HR!BH36:BH37)</f>
        <v>-13513.116875170579</v>
      </c>
      <c r="BG48" s="107">
        <f>SUM(HR!BI36:BI37)</f>
        <v>-13513.116875170579</v>
      </c>
      <c r="BH48" s="107">
        <f>SUM(HR!BJ36:BJ37)</f>
        <v>-13513.116875170579</v>
      </c>
      <c r="BI48" s="107">
        <f>SUM(HR!BK36:BK37)</f>
        <v>-13513.116875170579</v>
      </c>
      <c r="BJ48" s="107">
        <f>SUM(HR!BL36:BL37)</f>
        <v>-13513.116875170579</v>
      </c>
      <c r="BK48" s="739">
        <f>SUM(HR!BM36:BM37)</f>
        <v>-13513.116875170579</v>
      </c>
      <c r="BL48" s="107">
        <f>SUM(HR!BN36:BN37)</f>
        <v>-14364.443238306325</v>
      </c>
      <c r="BM48" s="107">
        <f>SUM(HR!BO36:BO37)</f>
        <v>-14364.443238306325</v>
      </c>
      <c r="BN48" s="107">
        <f>SUM(HR!BP36:BP37)</f>
        <v>-14364.443238306325</v>
      </c>
      <c r="BO48" s="107">
        <f>SUM(HR!BQ36:BQ37)</f>
        <v>-14364.443238306325</v>
      </c>
      <c r="BP48" s="107">
        <f>SUM(HR!BR36:BR37)</f>
        <v>-14364.443238306325</v>
      </c>
      <c r="BQ48" s="107">
        <f>SUM(HR!BS36:BS37)</f>
        <v>-14364.443238306325</v>
      </c>
      <c r="BR48" s="107">
        <f>SUM(HR!BT36:BT37)</f>
        <v>-14364.443238306325</v>
      </c>
      <c r="BS48" s="107">
        <f>SUM(HR!BU36:BU37)</f>
        <v>-14364.443238306325</v>
      </c>
      <c r="BT48" s="107">
        <f>SUM(HR!BV36:BV37)</f>
        <v>-14364.443238306325</v>
      </c>
      <c r="BU48" s="107">
        <f>SUM(HR!BW36:BW37)</f>
        <v>-14364.443238306325</v>
      </c>
      <c r="BV48" s="107">
        <f>SUM(HR!BX36:BX37)</f>
        <v>-14364.443238306325</v>
      </c>
      <c r="BW48" s="739">
        <f>SUM(HR!BY36:BY37)</f>
        <v>-14364.443238306325</v>
      </c>
      <c r="BX48" s="107">
        <f>SUM(HR!BZ36:BZ37)</f>
        <v>-15269.403162319622</v>
      </c>
      <c r="BY48" s="107">
        <f>SUM(HR!CA36:CA37)</f>
        <v>-15269.403162319622</v>
      </c>
      <c r="BZ48" s="107">
        <f>SUM(HR!CB36:CB37)</f>
        <v>-15269.403162319622</v>
      </c>
      <c r="CA48" s="107">
        <f>SUM(HR!CC36:CC37)</f>
        <v>-15269.403162319622</v>
      </c>
      <c r="CB48" s="107">
        <f>SUM(HR!CD36:CD37)</f>
        <v>-15269.403162319622</v>
      </c>
      <c r="CC48" s="107">
        <f>SUM(HR!CE36:CE37)</f>
        <v>-15269.403162319622</v>
      </c>
      <c r="CD48" s="107">
        <f>SUM(HR!CF36:CF37)</f>
        <v>-15269.403162319622</v>
      </c>
      <c r="CE48" s="107">
        <f>SUM(HR!CG36:CG37)</f>
        <v>-15269.403162319622</v>
      </c>
      <c r="CF48" s="107">
        <f>SUM(HR!CH36:CH37)</f>
        <v>-15269.403162319622</v>
      </c>
      <c r="CG48" s="107">
        <f>SUM(HR!CI36:CI37)</f>
        <v>-15269.403162319622</v>
      </c>
      <c r="CH48" s="107">
        <f>SUM(HR!CJ36:CJ37)</f>
        <v>-15269.403162319622</v>
      </c>
      <c r="CI48" s="739">
        <f>SUM(HR!CK36:CK37)</f>
        <v>-15269.403162319622</v>
      </c>
      <c r="CJ48" s="107">
        <f>SUM(HR!CL36:CL37)</f>
        <v>-16231.375561545758</v>
      </c>
      <c r="CK48" s="107">
        <f>SUM(HR!CM36:CM37)</f>
        <v>-16231.375561545758</v>
      </c>
      <c r="CL48" s="107">
        <f>SUM(HR!CN36:CN37)</f>
        <v>-16231.375561545758</v>
      </c>
      <c r="CM48" s="107">
        <f>SUM(HR!CO36:CO37)</f>
        <v>-16231.375561545758</v>
      </c>
      <c r="CN48" s="107">
        <f>SUM(HR!CP36:CP37)</f>
        <v>-16231.375561545758</v>
      </c>
      <c r="CO48" s="107">
        <f>SUM(HR!CQ36:CQ37)</f>
        <v>-16231.375561545758</v>
      </c>
      <c r="CP48" s="107">
        <f>SUM(HR!CR36:CR37)</f>
        <v>-16231.375561545758</v>
      </c>
      <c r="CQ48" s="107">
        <f>SUM(HR!CS36:CS37)</f>
        <v>-16231.375561545758</v>
      </c>
      <c r="CR48" s="107">
        <f>SUM(HR!CT36:CT37)</f>
        <v>-16231.375561545758</v>
      </c>
      <c r="CS48" s="107">
        <f>SUM(HR!CU36:CU37)</f>
        <v>-16231.375561545758</v>
      </c>
      <c r="CT48" s="107">
        <f>SUM(HR!CV36:CV37)</f>
        <v>-16231.375561545758</v>
      </c>
      <c r="CU48" s="739">
        <f>SUM(HR!CW36:CW37)</f>
        <v>-16231.375561545758</v>
      </c>
      <c r="CV48" s="107">
        <f>SUM(HR!CX36:CX37)</f>
        <v>-17253.95222192314</v>
      </c>
      <c r="CW48" s="107">
        <f>SUM(HR!CY36:CY37)</f>
        <v>-17253.95222192314</v>
      </c>
      <c r="CX48" s="107">
        <f>SUM(HR!CZ36:CZ37)</f>
        <v>-17253.95222192314</v>
      </c>
      <c r="CY48" s="107">
        <f>SUM(HR!DA36:DA37)</f>
        <v>-17253.95222192314</v>
      </c>
      <c r="CZ48" s="107">
        <f>SUM(HR!DB36:DB37)</f>
        <v>-17253.95222192314</v>
      </c>
      <c r="DA48" s="107">
        <f>SUM(HR!DC36:DC37)</f>
        <v>-17253.95222192314</v>
      </c>
      <c r="DB48" s="107">
        <f>SUM(HR!DD36:DD37)</f>
        <v>-17253.95222192314</v>
      </c>
      <c r="DC48" s="107">
        <f>SUM(HR!DE36:DE37)</f>
        <v>-17253.95222192314</v>
      </c>
      <c r="DD48" s="107">
        <f>SUM(HR!DF36:DF37)</f>
        <v>-17253.95222192314</v>
      </c>
      <c r="DE48" s="107">
        <f>SUM(HR!DG36:DG37)</f>
        <v>-17253.95222192314</v>
      </c>
      <c r="DF48" s="107">
        <f>SUM(HR!DH36:DH37)</f>
        <v>-17253.95222192314</v>
      </c>
      <c r="DG48" s="739">
        <f>SUM(HR!DI36:DI37)</f>
        <v>-17253.95222192314</v>
      </c>
      <c r="DH48" s="107">
        <f>SUM(HR!DJ36:DJ37)</f>
        <v>-18340.951211904296</v>
      </c>
      <c r="DI48" s="107">
        <f>SUM(HR!DK36:DK37)</f>
        <v>-18340.951211904296</v>
      </c>
      <c r="DJ48" s="107">
        <f>SUM(HR!DL36:DL37)</f>
        <v>-18340.951211904296</v>
      </c>
      <c r="DK48" s="107">
        <f>SUM(HR!DM36:DM37)</f>
        <v>-18340.951211904296</v>
      </c>
      <c r="DL48" s="107">
        <f>SUM(HR!DN36:DN37)</f>
        <v>-18340.951211904296</v>
      </c>
      <c r="DM48" s="107">
        <f>SUM(HR!DO36:DO37)</f>
        <v>-18340.951211904296</v>
      </c>
      <c r="DN48" s="107">
        <f>SUM(HR!DP36:DP37)</f>
        <v>-18340.951211904296</v>
      </c>
      <c r="DO48" s="107">
        <f>SUM(HR!DQ36:DQ37)</f>
        <v>-18340.951211904296</v>
      </c>
      <c r="DP48" s="107">
        <f>SUM(HR!DR36:DR37)</f>
        <v>-18340.951211904296</v>
      </c>
      <c r="DQ48" s="107">
        <f>SUM(HR!DS36:DS37)</f>
        <v>-18340.951211904296</v>
      </c>
      <c r="DR48" s="107">
        <f>SUM(HR!DT36:DT37)</f>
        <v>-18340.951211904296</v>
      </c>
      <c r="DS48" s="739">
        <f>SUM(HR!DU36:DU37)</f>
        <v>-18340.951211904296</v>
      </c>
      <c r="DT48" s="832"/>
    </row>
    <row r="49" spans="2:124" ht="15" x14ac:dyDescent="0.25">
      <c r="B49" s="836" t="s">
        <v>199</v>
      </c>
      <c r="C49" s="833">
        <v>-15000</v>
      </c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>
        <f>$C$49*N5</f>
        <v>-15000</v>
      </c>
      <c r="O49" s="497"/>
      <c r="P49" s="107"/>
      <c r="Q49" s="345">
        <f>$C$49*Q5</f>
        <v>-15945</v>
      </c>
      <c r="R49" s="107"/>
      <c r="S49" s="107"/>
      <c r="T49" s="345">
        <f>$C$49*T5</f>
        <v>-15945</v>
      </c>
      <c r="U49" s="107"/>
      <c r="V49" s="107"/>
      <c r="W49" s="345">
        <f>$C$49*W5</f>
        <v>-15945</v>
      </c>
      <c r="X49" s="107"/>
      <c r="Y49" s="107"/>
      <c r="Z49" s="345">
        <f>$C$49*Z5</f>
        <v>-15945</v>
      </c>
      <c r="AA49" s="739"/>
      <c r="AB49" s="107"/>
      <c r="AC49" s="345">
        <f>$C$49*AC5</f>
        <v>-16949.534999999996</v>
      </c>
      <c r="AD49" s="107"/>
      <c r="AE49" s="107"/>
      <c r="AF49" s="345">
        <f>$C$49*AF5</f>
        <v>-16949.534999999996</v>
      </c>
      <c r="AG49" s="107"/>
      <c r="AH49" s="107"/>
      <c r="AI49" s="345">
        <f>$C$49*AI5</f>
        <v>-16949.534999999996</v>
      </c>
      <c r="AJ49" s="107"/>
      <c r="AK49" s="107"/>
      <c r="AL49" s="345">
        <f>$C$49*AL5</f>
        <v>-16949.534999999996</v>
      </c>
      <c r="AM49" s="739"/>
      <c r="AN49" s="107"/>
      <c r="AO49" s="345">
        <f>$C$49*AO5</f>
        <v>-18017.355704999994</v>
      </c>
      <c r="AP49" s="107"/>
      <c r="AQ49" s="107"/>
      <c r="AR49" s="345">
        <f>$C$49*AR5</f>
        <v>-18017.355704999994</v>
      </c>
      <c r="AS49" s="107"/>
      <c r="AT49" s="107"/>
      <c r="AU49" s="345">
        <f>$C$49*AU5</f>
        <v>-18017.355704999994</v>
      </c>
      <c r="AV49" s="107"/>
      <c r="AW49" s="107"/>
      <c r="AX49" s="345">
        <f>$C$49*AX5</f>
        <v>-18017.355704999994</v>
      </c>
      <c r="AY49" s="739"/>
      <c r="AZ49" s="107"/>
      <c r="BA49" s="345">
        <f>$C$49*BA5</f>
        <v>-19152.449114414994</v>
      </c>
      <c r="BB49" s="107"/>
      <c r="BC49" s="107"/>
      <c r="BD49" s="345">
        <f>$C$49*BD5</f>
        <v>-19152.449114414994</v>
      </c>
      <c r="BE49" s="107"/>
      <c r="BF49" s="107"/>
      <c r="BG49" s="345">
        <f>$C$49*BG5</f>
        <v>-19152.449114414994</v>
      </c>
      <c r="BH49" s="107"/>
      <c r="BI49" s="107"/>
      <c r="BJ49" s="345">
        <f>$C$49*BJ5</f>
        <v>-19152.449114414994</v>
      </c>
      <c r="BK49" s="739"/>
      <c r="BL49" s="107"/>
      <c r="BM49" s="345">
        <f>$C$49*BM5</f>
        <v>-20359.053408623138</v>
      </c>
      <c r="BN49" s="107"/>
      <c r="BO49" s="107"/>
      <c r="BP49" s="345">
        <f>$C$49*BP5</f>
        <v>-20359.053408623138</v>
      </c>
      <c r="BQ49" s="107"/>
      <c r="BR49" s="107"/>
      <c r="BS49" s="345">
        <f>$C$49*BS5</f>
        <v>-20359.053408623138</v>
      </c>
      <c r="BT49" s="107"/>
      <c r="BU49" s="107"/>
      <c r="BV49" s="345">
        <f>$C$49*BV5</f>
        <v>-20359.053408623138</v>
      </c>
      <c r="BW49" s="739"/>
      <c r="BX49" s="107"/>
      <c r="BY49" s="345">
        <f>$C$49*BY5</f>
        <v>-21641.673773366394</v>
      </c>
      <c r="BZ49" s="107"/>
      <c r="CA49" s="107"/>
      <c r="CB49" s="345">
        <f>$C$49*CB5</f>
        <v>-21641.673773366394</v>
      </c>
      <c r="CC49" s="107"/>
      <c r="CD49" s="107"/>
      <c r="CE49" s="345">
        <f>$C$49*CE5</f>
        <v>-21641.673773366394</v>
      </c>
      <c r="CF49" s="107"/>
      <c r="CG49" s="107"/>
      <c r="CH49" s="345">
        <f>$C$49*CH5</f>
        <v>-21641.673773366394</v>
      </c>
      <c r="CI49" s="739"/>
      <c r="CJ49" s="107"/>
      <c r="CK49" s="345">
        <f>$C$49*CK5</f>
        <v>-23005.099221088476</v>
      </c>
      <c r="CL49" s="107"/>
      <c r="CM49" s="107"/>
      <c r="CN49" s="345">
        <f>$C$49*CN5</f>
        <v>-23005.099221088476</v>
      </c>
      <c r="CO49" s="107"/>
      <c r="CP49" s="107"/>
      <c r="CQ49" s="345">
        <f>$C$49*CQ5</f>
        <v>-23005.099221088476</v>
      </c>
      <c r="CR49" s="107"/>
      <c r="CS49" s="107"/>
      <c r="CT49" s="345">
        <f>$C$49*CT5</f>
        <v>-23005.099221088476</v>
      </c>
      <c r="CU49" s="739"/>
      <c r="CV49" s="107"/>
      <c r="CW49" s="345">
        <f>$C$49*CW5</f>
        <v>-24454.420472017049</v>
      </c>
      <c r="CX49" s="107"/>
      <c r="CY49" s="107"/>
      <c r="CZ49" s="345">
        <f>$C$49*CZ5</f>
        <v>-24454.420472017049</v>
      </c>
      <c r="DA49" s="107"/>
      <c r="DB49" s="107"/>
      <c r="DC49" s="345">
        <f>$C$49*DC5</f>
        <v>-24454.420472017049</v>
      </c>
      <c r="DD49" s="107"/>
      <c r="DE49" s="107"/>
      <c r="DF49" s="345">
        <f>$C$49*DF5</f>
        <v>-24454.420472017049</v>
      </c>
      <c r="DG49" s="739"/>
      <c r="DH49" s="107"/>
      <c r="DI49" s="345">
        <f>$C$49*DI5</f>
        <v>-25995.048961754121</v>
      </c>
      <c r="DJ49" s="107"/>
      <c r="DK49" s="107"/>
      <c r="DL49" s="345">
        <f>$C$49*DL5</f>
        <v>-25995.048961754121</v>
      </c>
      <c r="DM49" s="107"/>
      <c r="DN49" s="107"/>
      <c r="DO49" s="345">
        <f>$C$49*DO5</f>
        <v>-25995.048961754121</v>
      </c>
      <c r="DP49" s="107"/>
      <c r="DQ49" s="107"/>
      <c r="DR49" s="345">
        <f>$C$49*DR5</f>
        <v>-25995.048961754121</v>
      </c>
      <c r="DS49" s="739"/>
      <c r="DT49" s="832"/>
    </row>
    <row r="50" spans="2:124" ht="15" x14ac:dyDescent="0.25">
      <c r="B50" s="836" t="s">
        <v>652</v>
      </c>
      <c r="C50" s="833">
        <v>-10000</v>
      </c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>
        <f t="shared" ref="N50:O50" si="32">$C$50*N5</f>
        <v>-10000</v>
      </c>
      <c r="O50" s="497">
        <f t="shared" si="32"/>
        <v>-10000</v>
      </c>
      <c r="P50" s="107">
        <f>$C$50*P5</f>
        <v>-10630</v>
      </c>
      <c r="Q50" s="107">
        <f t="shared" ref="Q50:CB50" si="33">$C$50*Q5</f>
        <v>-10630</v>
      </c>
      <c r="R50" s="107">
        <f t="shared" si="33"/>
        <v>-10630</v>
      </c>
      <c r="S50" s="107">
        <f t="shared" si="33"/>
        <v>-10630</v>
      </c>
      <c r="T50" s="107">
        <f t="shared" si="33"/>
        <v>-10630</v>
      </c>
      <c r="U50" s="107">
        <f t="shared" si="33"/>
        <v>-10630</v>
      </c>
      <c r="V50" s="107">
        <f t="shared" si="33"/>
        <v>-10630</v>
      </c>
      <c r="W50" s="107">
        <f t="shared" si="33"/>
        <v>-10630</v>
      </c>
      <c r="X50" s="107">
        <f t="shared" si="33"/>
        <v>-10630</v>
      </c>
      <c r="Y50" s="107">
        <f t="shared" si="33"/>
        <v>-10630</v>
      </c>
      <c r="Z50" s="107">
        <f t="shared" si="33"/>
        <v>-10630</v>
      </c>
      <c r="AA50" s="739">
        <f t="shared" si="33"/>
        <v>-10630</v>
      </c>
      <c r="AB50" s="107">
        <f t="shared" si="33"/>
        <v>-11299.689999999999</v>
      </c>
      <c r="AC50" s="107">
        <f t="shared" si="33"/>
        <v>-11299.689999999999</v>
      </c>
      <c r="AD50" s="107">
        <f t="shared" si="33"/>
        <v>-11299.689999999999</v>
      </c>
      <c r="AE50" s="107">
        <f t="shared" si="33"/>
        <v>-11299.689999999999</v>
      </c>
      <c r="AF50" s="107">
        <f t="shared" si="33"/>
        <v>-11299.689999999999</v>
      </c>
      <c r="AG50" s="107">
        <f t="shared" si="33"/>
        <v>-11299.689999999999</v>
      </c>
      <c r="AH50" s="107">
        <f t="shared" si="33"/>
        <v>-11299.689999999999</v>
      </c>
      <c r="AI50" s="107">
        <f t="shared" si="33"/>
        <v>-11299.689999999999</v>
      </c>
      <c r="AJ50" s="107">
        <f t="shared" si="33"/>
        <v>-11299.689999999999</v>
      </c>
      <c r="AK50" s="107">
        <f t="shared" si="33"/>
        <v>-11299.689999999999</v>
      </c>
      <c r="AL50" s="107">
        <f t="shared" si="33"/>
        <v>-11299.689999999999</v>
      </c>
      <c r="AM50" s="739">
        <f t="shared" si="33"/>
        <v>-11299.689999999999</v>
      </c>
      <c r="AN50" s="107">
        <f t="shared" si="33"/>
        <v>-12011.570469999997</v>
      </c>
      <c r="AO50" s="107">
        <f t="shared" si="33"/>
        <v>-12011.570469999997</v>
      </c>
      <c r="AP50" s="107">
        <f t="shared" si="33"/>
        <v>-12011.570469999997</v>
      </c>
      <c r="AQ50" s="107">
        <f t="shared" si="33"/>
        <v>-12011.570469999997</v>
      </c>
      <c r="AR50" s="107">
        <f t="shared" si="33"/>
        <v>-12011.570469999997</v>
      </c>
      <c r="AS50" s="107">
        <f t="shared" si="33"/>
        <v>-12011.570469999997</v>
      </c>
      <c r="AT50" s="107">
        <f t="shared" si="33"/>
        <v>-12011.570469999997</v>
      </c>
      <c r="AU50" s="107">
        <f t="shared" si="33"/>
        <v>-12011.570469999997</v>
      </c>
      <c r="AV50" s="107">
        <f t="shared" si="33"/>
        <v>-12011.570469999997</v>
      </c>
      <c r="AW50" s="107">
        <f t="shared" si="33"/>
        <v>-12011.570469999997</v>
      </c>
      <c r="AX50" s="107">
        <f t="shared" si="33"/>
        <v>-12011.570469999997</v>
      </c>
      <c r="AY50" s="739">
        <f t="shared" si="33"/>
        <v>-12011.570469999997</v>
      </c>
      <c r="AZ50" s="107">
        <f t="shared" si="33"/>
        <v>-12768.299409609996</v>
      </c>
      <c r="BA50" s="107">
        <f t="shared" si="33"/>
        <v>-12768.299409609996</v>
      </c>
      <c r="BB50" s="107">
        <f t="shared" si="33"/>
        <v>-12768.299409609996</v>
      </c>
      <c r="BC50" s="107">
        <f t="shared" si="33"/>
        <v>-12768.299409609996</v>
      </c>
      <c r="BD50" s="107">
        <f t="shared" si="33"/>
        <v>-12768.299409609996</v>
      </c>
      <c r="BE50" s="107">
        <f t="shared" si="33"/>
        <v>-12768.299409609996</v>
      </c>
      <c r="BF50" s="107">
        <f t="shared" si="33"/>
        <v>-12768.299409609996</v>
      </c>
      <c r="BG50" s="107">
        <f t="shared" si="33"/>
        <v>-12768.299409609996</v>
      </c>
      <c r="BH50" s="107">
        <f t="shared" si="33"/>
        <v>-12768.299409609996</v>
      </c>
      <c r="BI50" s="107">
        <f t="shared" si="33"/>
        <v>-12768.299409609996</v>
      </c>
      <c r="BJ50" s="107">
        <f t="shared" si="33"/>
        <v>-12768.299409609996</v>
      </c>
      <c r="BK50" s="739">
        <f t="shared" si="33"/>
        <v>-12768.299409609996</v>
      </c>
      <c r="BL50" s="107">
        <f t="shared" si="33"/>
        <v>-13572.702272415425</v>
      </c>
      <c r="BM50" s="107">
        <f t="shared" si="33"/>
        <v>-13572.702272415425</v>
      </c>
      <c r="BN50" s="107">
        <f t="shared" si="33"/>
        <v>-13572.702272415425</v>
      </c>
      <c r="BO50" s="107">
        <f t="shared" si="33"/>
        <v>-13572.702272415425</v>
      </c>
      <c r="BP50" s="107">
        <f t="shared" si="33"/>
        <v>-13572.702272415425</v>
      </c>
      <c r="BQ50" s="107">
        <f t="shared" si="33"/>
        <v>-13572.702272415425</v>
      </c>
      <c r="BR50" s="107">
        <f t="shared" si="33"/>
        <v>-13572.702272415425</v>
      </c>
      <c r="BS50" s="107">
        <f t="shared" si="33"/>
        <v>-13572.702272415425</v>
      </c>
      <c r="BT50" s="107">
        <f t="shared" si="33"/>
        <v>-13572.702272415425</v>
      </c>
      <c r="BU50" s="107">
        <f t="shared" si="33"/>
        <v>-13572.702272415425</v>
      </c>
      <c r="BV50" s="107">
        <f t="shared" si="33"/>
        <v>-13572.702272415425</v>
      </c>
      <c r="BW50" s="739">
        <f t="shared" si="33"/>
        <v>-13572.702272415425</v>
      </c>
      <c r="BX50" s="107">
        <f t="shared" si="33"/>
        <v>-14427.782515577595</v>
      </c>
      <c r="BY50" s="107">
        <f t="shared" si="33"/>
        <v>-14427.782515577595</v>
      </c>
      <c r="BZ50" s="107">
        <f t="shared" si="33"/>
        <v>-14427.782515577595</v>
      </c>
      <c r="CA50" s="107">
        <f t="shared" si="33"/>
        <v>-14427.782515577595</v>
      </c>
      <c r="CB50" s="107">
        <f t="shared" si="33"/>
        <v>-14427.782515577595</v>
      </c>
      <c r="CC50" s="107">
        <f t="shared" ref="CC50:DS50" si="34">$C$50*CC5</f>
        <v>-14427.782515577595</v>
      </c>
      <c r="CD50" s="107">
        <f t="shared" si="34"/>
        <v>-14427.782515577595</v>
      </c>
      <c r="CE50" s="107">
        <f t="shared" si="34"/>
        <v>-14427.782515577595</v>
      </c>
      <c r="CF50" s="107">
        <f t="shared" si="34"/>
        <v>-14427.782515577595</v>
      </c>
      <c r="CG50" s="107">
        <f t="shared" si="34"/>
        <v>-14427.782515577595</v>
      </c>
      <c r="CH50" s="107">
        <f t="shared" si="34"/>
        <v>-14427.782515577595</v>
      </c>
      <c r="CI50" s="739">
        <f t="shared" si="34"/>
        <v>-14427.782515577595</v>
      </c>
      <c r="CJ50" s="107">
        <f t="shared" si="34"/>
        <v>-15336.732814058983</v>
      </c>
      <c r="CK50" s="107">
        <f t="shared" si="34"/>
        <v>-15336.732814058983</v>
      </c>
      <c r="CL50" s="107">
        <f t="shared" si="34"/>
        <v>-15336.732814058983</v>
      </c>
      <c r="CM50" s="107">
        <f t="shared" si="34"/>
        <v>-15336.732814058983</v>
      </c>
      <c r="CN50" s="107">
        <f t="shared" si="34"/>
        <v>-15336.732814058983</v>
      </c>
      <c r="CO50" s="107">
        <f t="shared" si="34"/>
        <v>-15336.732814058983</v>
      </c>
      <c r="CP50" s="107">
        <f t="shared" si="34"/>
        <v>-15336.732814058983</v>
      </c>
      <c r="CQ50" s="107">
        <f t="shared" si="34"/>
        <v>-15336.732814058983</v>
      </c>
      <c r="CR50" s="107">
        <f t="shared" si="34"/>
        <v>-15336.732814058983</v>
      </c>
      <c r="CS50" s="107">
        <f t="shared" si="34"/>
        <v>-15336.732814058983</v>
      </c>
      <c r="CT50" s="107">
        <f t="shared" si="34"/>
        <v>-15336.732814058983</v>
      </c>
      <c r="CU50" s="739">
        <f t="shared" si="34"/>
        <v>-15336.732814058983</v>
      </c>
      <c r="CV50" s="107">
        <f t="shared" si="34"/>
        <v>-16302.946981344699</v>
      </c>
      <c r="CW50" s="107">
        <f t="shared" si="34"/>
        <v>-16302.946981344699</v>
      </c>
      <c r="CX50" s="107">
        <f t="shared" si="34"/>
        <v>-16302.946981344699</v>
      </c>
      <c r="CY50" s="107">
        <f t="shared" si="34"/>
        <v>-16302.946981344699</v>
      </c>
      <c r="CZ50" s="107">
        <f t="shared" si="34"/>
        <v>-16302.946981344699</v>
      </c>
      <c r="DA50" s="107">
        <f t="shared" si="34"/>
        <v>-16302.946981344699</v>
      </c>
      <c r="DB50" s="107">
        <f t="shared" si="34"/>
        <v>-16302.946981344699</v>
      </c>
      <c r="DC50" s="107">
        <f t="shared" si="34"/>
        <v>-16302.946981344699</v>
      </c>
      <c r="DD50" s="107">
        <f t="shared" si="34"/>
        <v>-16302.946981344699</v>
      </c>
      <c r="DE50" s="107">
        <f t="shared" si="34"/>
        <v>-16302.946981344699</v>
      </c>
      <c r="DF50" s="107">
        <f t="shared" si="34"/>
        <v>-16302.946981344699</v>
      </c>
      <c r="DG50" s="739">
        <f t="shared" si="34"/>
        <v>-16302.946981344699</v>
      </c>
      <c r="DH50" s="107">
        <f t="shared" si="34"/>
        <v>-17330.032641169415</v>
      </c>
      <c r="DI50" s="107">
        <f t="shared" si="34"/>
        <v>-17330.032641169415</v>
      </c>
      <c r="DJ50" s="107">
        <f t="shared" si="34"/>
        <v>-17330.032641169415</v>
      </c>
      <c r="DK50" s="107">
        <f t="shared" si="34"/>
        <v>-17330.032641169415</v>
      </c>
      <c r="DL50" s="107">
        <f t="shared" si="34"/>
        <v>-17330.032641169415</v>
      </c>
      <c r="DM50" s="107">
        <f t="shared" si="34"/>
        <v>-17330.032641169415</v>
      </c>
      <c r="DN50" s="107">
        <f t="shared" si="34"/>
        <v>-17330.032641169415</v>
      </c>
      <c r="DO50" s="107">
        <f t="shared" si="34"/>
        <v>-17330.032641169415</v>
      </c>
      <c r="DP50" s="107">
        <f t="shared" si="34"/>
        <v>-17330.032641169415</v>
      </c>
      <c r="DQ50" s="107">
        <f t="shared" si="34"/>
        <v>-17330.032641169415</v>
      </c>
      <c r="DR50" s="107">
        <f t="shared" si="34"/>
        <v>-17330.032641169415</v>
      </c>
      <c r="DS50" s="739">
        <f t="shared" si="34"/>
        <v>-17330.032641169415</v>
      </c>
      <c r="DT50" s="832"/>
    </row>
    <row r="51" spans="2:124" ht="15" x14ac:dyDescent="0.25">
      <c r="B51" s="836" t="s">
        <v>271</v>
      </c>
      <c r="C51" s="833">
        <v>-15000</v>
      </c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>
        <f t="shared" ref="N51" si="35">$C$51*N5</f>
        <v>-15000</v>
      </c>
      <c r="O51" s="497"/>
      <c r="P51" s="107"/>
      <c r="Q51" s="345"/>
      <c r="R51" s="345"/>
      <c r="S51" s="345"/>
      <c r="T51" s="345">
        <f t="shared" ref="T51" si="36">$C$51*T5</f>
        <v>-15945</v>
      </c>
      <c r="U51" s="345"/>
      <c r="V51" s="345"/>
      <c r="W51" s="345"/>
      <c r="X51" s="345"/>
      <c r="Y51" s="345"/>
      <c r="Z51" s="345">
        <f t="shared" ref="Z51" si="37">$C$51*Z5</f>
        <v>-15945</v>
      </c>
      <c r="AA51" s="697"/>
      <c r="AB51" s="107"/>
      <c r="AC51" s="345"/>
      <c r="AD51" s="345"/>
      <c r="AE51" s="345"/>
      <c r="AF51" s="345">
        <f t="shared" ref="AF51" si="38">$C$51*AF5</f>
        <v>-16949.534999999996</v>
      </c>
      <c r="AG51" s="345"/>
      <c r="AH51" s="345"/>
      <c r="AI51" s="345"/>
      <c r="AJ51" s="345"/>
      <c r="AK51" s="345"/>
      <c r="AL51" s="345">
        <f t="shared" ref="AL51" si="39">$C$51*AL5</f>
        <v>-16949.534999999996</v>
      </c>
      <c r="AM51" s="697"/>
      <c r="AN51" s="107"/>
      <c r="AO51" s="345"/>
      <c r="AP51" s="345"/>
      <c r="AQ51" s="345"/>
      <c r="AR51" s="345">
        <f t="shared" ref="AR51" si="40">$C$51*AR5</f>
        <v>-18017.355704999994</v>
      </c>
      <c r="AS51" s="345"/>
      <c r="AT51" s="345"/>
      <c r="AU51" s="345"/>
      <c r="AV51" s="345"/>
      <c r="AW51" s="345"/>
      <c r="AX51" s="345">
        <f t="shared" ref="AX51" si="41">$C$51*AX5</f>
        <v>-18017.355704999994</v>
      </c>
      <c r="AY51" s="697"/>
      <c r="AZ51" s="107"/>
      <c r="BA51" s="345"/>
      <c r="BB51" s="345"/>
      <c r="BC51" s="345"/>
      <c r="BD51" s="345">
        <f t="shared" ref="BD51" si="42">$C$51*BD5</f>
        <v>-19152.449114414994</v>
      </c>
      <c r="BE51" s="345"/>
      <c r="BF51" s="345"/>
      <c r="BG51" s="345"/>
      <c r="BH51" s="345"/>
      <c r="BI51" s="345"/>
      <c r="BJ51" s="345">
        <f t="shared" ref="BJ51" si="43">$C$51*BJ5</f>
        <v>-19152.449114414994</v>
      </c>
      <c r="BK51" s="697"/>
      <c r="BL51" s="107"/>
      <c r="BM51" s="345"/>
      <c r="BN51" s="345"/>
      <c r="BO51" s="345"/>
      <c r="BP51" s="345">
        <f t="shared" ref="BP51" si="44">$C$51*BP5</f>
        <v>-20359.053408623138</v>
      </c>
      <c r="BQ51" s="345"/>
      <c r="BR51" s="345"/>
      <c r="BS51" s="345"/>
      <c r="BT51" s="345"/>
      <c r="BU51" s="345"/>
      <c r="BV51" s="345">
        <f t="shared" ref="BV51" si="45">$C$51*BV5</f>
        <v>-20359.053408623138</v>
      </c>
      <c r="BW51" s="697"/>
      <c r="BX51" s="107"/>
      <c r="BY51" s="345"/>
      <c r="BZ51" s="345"/>
      <c r="CA51" s="345"/>
      <c r="CB51" s="345">
        <f t="shared" ref="CB51" si="46">$C$51*CB5</f>
        <v>-21641.673773366394</v>
      </c>
      <c r="CC51" s="345"/>
      <c r="CD51" s="345"/>
      <c r="CE51" s="345"/>
      <c r="CF51" s="345"/>
      <c r="CG51" s="345"/>
      <c r="CH51" s="345">
        <f t="shared" ref="CH51" si="47">$C$51*CH5</f>
        <v>-21641.673773366394</v>
      </c>
      <c r="CI51" s="697"/>
      <c r="CJ51" s="107"/>
      <c r="CK51" s="345"/>
      <c r="CL51" s="345"/>
      <c r="CM51" s="345"/>
      <c r="CN51" s="345">
        <f t="shared" ref="CN51" si="48">$C$51*CN5</f>
        <v>-23005.099221088476</v>
      </c>
      <c r="CO51" s="345"/>
      <c r="CP51" s="345"/>
      <c r="CQ51" s="345"/>
      <c r="CR51" s="345"/>
      <c r="CS51" s="345"/>
      <c r="CT51" s="345">
        <f t="shared" ref="CT51" si="49">$C$51*CT5</f>
        <v>-23005.099221088476</v>
      </c>
      <c r="CU51" s="697"/>
      <c r="CV51" s="107"/>
      <c r="CW51" s="345"/>
      <c r="CX51" s="345"/>
      <c r="CY51" s="345"/>
      <c r="CZ51" s="345">
        <f t="shared" ref="CZ51" si="50">$C$51*CZ5</f>
        <v>-24454.420472017049</v>
      </c>
      <c r="DA51" s="345"/>
      <c r="DB51" s="345"/>
      <c r="DC51" s="345"/>
      <c r="DD51" s="345"/>
      <c r="DE51" s="345"/>
      <c r="DF51" s="345">
        <f t="shared" ref="DF51" si="51">$C$51*DF5</f>
        <v>-24454.420472017049</v>
      </c>
      <c r="DG51" s="697"/>
      <c r="DH51" s="107"/>
      <c r="DI51" s="345"/>
      <c r="DJ51" s="345"/>
      <c r="DK51" s="345"/>
      <c r="DL51" s="345">
        <f t="shared" ref="DL51" si="52">$C$51*DL5</f>
        <v>-25995.048961754121</v>
      </c>
      <c r="DM51" s="345"/>
      <c r="DN51" s="345"/>
      <c r="DO51" s="345"/>
      <c r="DP51" s="345"/>
      <c r="DQ51" s="345"/>
      <c r="DR51" s="345">
        <f t="shared" ref="DR51" si="53">$C$51*DR5</f>
        <v>-25995.048961754121</v>
      </c>
      <c r="DS51" s="697"/>
      <c r="DT51" s="832"/>
    </row>
    <row r="52" spans="2:124" ht="15" x14ac:dyDescent="0.25">
      <c r="B52" s="836" t="s">
        <v>653</v>
      </c>
      <c r="C52" s="833">
        <v>-10000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942">
        <f t="shared" ref="N52" si="54">$C$52*N5</f>
        <v>-10000</v>
      </c>
      <c r="O52" s="712"/>
      <c r="P52" s="107"/>
      <c r="Q52" s="107"/>
      <c r="R52" s="107"/>
      <c r="S52" s="107"/>
      <c r="T52" s="345">
        <f t="shared" ref="T52" si="55">$C$52*T5</f>
        <v>-10630</v>
      </c>
      <c r="U52" s="107"/>
      <c r="V52" s="107"/>
      <c r="W52" s="107"/>
      <c r="X52" s="107"/>
      <c r="Y52" s="107"/>
      <c r="Z52" s="345">
        <f t="shared" ref="Z52" si="56">$C$52*Z5</f>
        <v>-10630</v>
      </c>
      <c r="AA52" s="739"/>
      <c r="AB52" s="107"/>
      <c r="AC52" s="107"/>
      <c r="AD52" s="107"/>
      <c r="AE52" s="107"/>
      <c r="AF52" s="345">
        <f t="shared" ref="AF52" si="57">$C$52*AF5</f>
        <v>-11299.689999999999</v>
      </c>
      <c r="AG52" s="107"/>
      <c r="AH52" s="107"/>
      <c r="AI52" s="107"/>
      <c r="AJ52" s="107"/>
      <c r="AK52" s="107"/>
      <c r="AL52" s="345">
        <f t="shared" ref="AL52" si="58">$C$52*AL5</f>
        <v>-11299.689999999999</v>
      </c>
      <c r="AM52" s="739"/>
      <c r="AN52" s="107"/>
      <c r="AO52" s="107"/>
      <c r="AP52" s="107"/>
      <c r="AQ52" s="107"/>
      <c r="AR52" s="345">
        <f t="shared" ref="AR52" si="59">$C$52*AR5</f>
        <v>-12011.570469999997</v>
      </c>
      <c r="AS52" s="107"/>
      <c r="AT52" s="107"/>
      <c r="AU52" s="107"/>
      <c r="AV52" s="107"/>
      <c r="AW52" s="107"/>
      <c r="AX52" s="345">
        <f t="shared" ref="AX52" si="60">$C$52*AX5</f>
        <v>-12011.570469999997</v>
      </c>
      <c r="AY52" s="739"/>
      <c r="AZ52" s="107"/>
      <c r="BA52" s="107"/>
      <c r="BB52" s="107"/>
      <c r="BC52" s="107"/>
      <c r="BD52" s="345">
        <f t="shared" ref="BD52" si="61">$C$52*BD5</f>
        <v>-12768.299409609996</v>
      </c>
      <c r="BE52" s="107"/>
      <c r="BF52" s="107"/>
      <c r="BG52" s="107"/>
      <c r="BH52" s="107"/>
      <c r="BI52" s="107"/>
      <c r="BJ52" s="345">
        <f t="shared" ref="BJ52" si="62">$C$52*BJ5</f>
        <v>-12768.299409609996</v>
      </c>
      <c r="BK52" s="739"/>
      <c r="BL52" s="107"/>
      <c r="BM52" s="107"/>
      <c r="BN52" s="107"/>
      <c r="BO52" s="107"/>
      <c r="BP52" s="345">
        <f t="shared" ref="BP52" si="63">$C$52*BP5</f>
        <v>-13572.702272415425</v>
      </c>
      <c r="BQ52" s="107"/>
      <c r="BR52" s="107"/>
      <c r="BS52" s="107"/>
      <c r="BT52" s="107"/>
      <c r="BU52" s="107"/>
      <c r="BV52" s="345">
        <f t="shared" ref="BV52" si="64">$C$52*BV5</f>
        <v>-13572.702272415425</v>
      </c>
      <c r="BW52" s="739"/>
      <c r="BX52" s="107"/>
      <c r="BY52" s="107"/>
      <c r="BZ52" s="107"/>
      <c r="CA52" s="107"/>
      <c r="CB52" s="345">
        <f t="shared" ref="CB52" si="65">$C$52*CB5</f>
        <v>-14427.782515577595</v>
      </c>
      <c r="CC52" s="107"/>
      <c r="CD52" s="107"/>
      <c r="CE52" s="107"/>
      <c r="CF52" s="107"/>
      <c r="CG52" s="107"/>
      <c r="CH52" s="345">
        <f t="shared" ref="CH52" si="66">$C$52*CH5</f>
        <v>-14427.782515577595</v>
      </c>
      <c r="CI52" s="739"/>
      <c r="CJ52" s="107"/>
      <c r="CK52" s="107"/>
      <c r="CL52" s="107"/>
      <c r="CM52" s="107"/>
      <c r="CN52" s="345">
        <f t="shared" ref="CN52" si="67">$C$52*CN5</f>
        <v>-15336.732814058983</v>
      </c>
      <c r="CO52" s="107"/>
      <c r="CP52" s="107"/>
      <c r="CQ52" s="107"/>
      <c r="CR52" s="107"/>
      <c r="CS52" s="107"/>
      <c r="CT52" s="345">
        <f t="shared" ref="CT52" si="68">$C$52*CT5</f>
        <v>-15336.732814058983</v>
      </c>
      <c r="CU52" s="739"/>
      <c r="CV52" s="107"/>
      <c r="CW52" s="107"/>
      <c r="CX52" s="107"/>
      <c r="CY52" s="107"/>
      <c r="CZ52" s="345">
        <f t="shared" ref="CZ52" si="69">$C$52*CZ5</f>
        <v>-16302.946981344699</v>
      </c>
      <c r="DA52" s="107"/>
      <c r="DB52" s="107"/>
      <c r="DC52" s="107"/>
      <c r="DD52" s="107"/>
      <c r="DE52" s="107"/>
      <c r="DF52" s="345">
        <f t="shared" ref="DF52" si="70">$C$52*DF5</f>
        <v>-16302.946981344699</v>
      </c>
      <c r="DG52" s="739"/>
      <c r="DH52" s="107"/>
      <c r="DI52" s="107"/>
      <c r="DJ52" s="107"/>
      <c r="DK52" s="107"/>
      <c r="DL52" s="345">
        <f t="shared" ref="DL52" si="71">$C$52*DL5</f>
        <v>-17330.032641169415</v>
      </c>
      <c r="DM52" s="107"/>
      <c r="DN52" s="107"/>
      <c r="DO52" s="107"/>
      <c r="DP52" s="107"/>
      <c r="DQ52" s="107"/>
      <c r="DR52" s="345">
        <f t="shared" ref="DR52" si="72">$C$52*DR5</f>
        <v>-17330.032641169415</v>
      </c>
      <c r="DS52" s="739"/>
      <c r="DT52" s="832"/>
    </row>
    <row r="53" spans="2:124" ht="15" x14ac:dyDescent="0.25">
      <c r="B53" s="836" t="s">
        <v>81</v>
      </c>
      <c r="C53" s="833">
        <v>-1000</v>
      </c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>
        <f>SUM(HR!D35:D37)*C53*N5</f>
        <v>-2000</v>
      </c>
      <c r="O53" s="497"/>
      <c r="P53" s="107"/>
      <c r="Q53" s="107"/>
      <c r="R53" s="107"/>
      <c r="S53" s="107"/>
      <c r="T53" s="107">
        <f>$C$53*T5</f>
        <v>-1063</v>
      </c>
      <c r="U53" s="107"/>
      <c r="V53" s="107"/>
      <c r="W53" s="107"/>
      <c r="X53" s="107"/>
      <c r="Y53" s="107"/>
      <c r="Z53" s="107">
        <f>$C$53*Z5</f>
        <v>-1063</v>
      </c>
      <c r="AA53" s="739"/>
      <c r="AB53" s="107"/>
      <c r="AC53" s="107"/>
      <c r="AD53" s="107"/>
      <c r="AE53" s="107"/>
      <c r="AF53" s="107">
        <f>$C$53*AF5</f>
        <v>-1129.9689999999998</v>
      </c>
      <c r="AG53" s="107"/>
      <c r="AH53" s="107"/>
      <c r="AI53" s="107"/>
      <c r="AJ53" s="107"/>
      <c r="AK53" s="107"/>
      <c r="AL53" s="107">
        <f>$C$53*AL5</f>
        <v>-1129.9689999999998</v>
      </c>
      <c r="AM53" s="739"/>
      <c r="AN53" s="107"/>
      <c r="AO53" s="107"/>
      <c r="AP53" s="107"/>
      <c r="AQ53" s="107"/>
      <c r="AR53" s="107">
        <f>$C$53*AR5</f>
        <v>-1201.1570469999997</v>
      </c>
      <c r="AS53" s="107"/>
      <c r="AT53" s="107"/>
      <c r="AU53" s="107"/>
      <c r="AV53" s="107"/>
      <c r="AW53" s="107"/>
      <c r="AX53" s="107">
        <f>$C$53*AX5</f>
        <v>-1201.1570469999997</v>
      </c>
      <c r="AY53" s="739"/>
      <c r="AZ53" s="107"/>
      <c r="BA53" s="107"/>
      <c r="BB53" s="107"/>
      <c r="BC53" s="107"/>
      <c r="BD53" s="107">
        <f>$C$53*BD5</f>
        <v>-1276.8299409609995</v>
      </c>
      <c r="BE53" s="107"/>
      <c r="BF53" s="107"/>
      <c r="BG53" s="107"/>
      <c r="BH53" s="107"/>
      <c r="BI53" s="107"/>
      <c r="BJ53" s="107">
        <f>$C$53*BJ5</f>
        <v>-1276.8299409609995</v>
      </c>
      <c r="BK53" s="739"/>
      <c r="BL53" s="107"/>
      <c r="BM53" s="107"/>
      <c r="BN53" s="107"/>
      <c r="BO53" s="107"/>
      <c r="BP53" s="107">
        <f>$C$53*BP5</f>
        <v>-1357.2702272415424</v>
      </c>
      <c r="BQ53" s="107"/>
      <c r="BR53" s="107"/>
      <c r="BS53" s="107"/>
      <c r="BT53" s="107"/>
      <c r="BU53" s="107"/>
      <c r="BV53" s="739">
        <f>$C$53*BV5</f>
        <v>-1357.2702272415424</v>
      </c>
      <c r="BW53" s="739"/>
      <c r="BX53" s="107"/>
      <c r="BY53" s="107"/>
      <c r="BZ53" s="107"/>
      <c r="CA53" s="107"/>
      <c r="CB53" s="107">
        <f>$C$53*CB5</f>
        <v>-1442.7782515577596</v>
      </c>
      <c r="CC53" s="107"/>
      <c r="CD53" s="107"/>
      <c r="CE53" s="107"/>
      <c r="CF53" s="107"/>
      <c r="CG53" s="107"/>
      <c r="CH53" s="107">
        <f>$C$53*CH5</f>
        <v>-1442.7782515577596</v>
      </c>
      <c r="CI53" s="739"/>
      <c r="CJ53" s="107"/>
      <c r="CK53" s="107"/>
      <c r="CL53" s="107"/>
      <c r="CM53" s="107"/>
      <c r="CN53" s="107">
        <f>$C$53*CN5</f>
        <v>-1533.6732814058985</v>
      </c>
      <c r="CO53" s="107"/>
      <c r="CP53" s="107"/>
      <c r="CQ53" s="107"/>
      <c r="CR53" s="107"/>
      <c r="CS53" s="107"/>
      <c r="CT53" s="107">
        <f>$C$53*CT5</f>
        <v>-1533.6732814058985</v>
      </c>
      <c r="CU53" s="739"/>
      <c r="CV53" s="107"/>
      <c r="CW53" s="107"/>
      <c r="CX53" s="107"/>
      <c r="CY53" s="107"/>
      <c r="CZ53" s="107">
        <f>$C$53*CZ5</f>
        <v>-1630.2946981344699</v>
      </c>
      <c r="DA53" s="107"/>
      <c r="DB53" s="107"/>
      <c r="DC53" s="107"/>
      <c r="DD53" s="107"/>
      <c r="DE53" s="107"/>
      <c r="DF53" s="107">
        <f>$C$53*DF5</f>
        <v>-1630.2946981344699</v>
      </c>
      <c r="DG53" s="739"/>
      <c r="DH53" s="107"/>
      <c r="DI53" s="107"/>
      <c r="DJ53" s="107"/>
      <c r="DK53" s="107"/>
      <c r="DL53" s="107">
        <f>$C$53*DL5</f>
        <v>-1733.0032641169414</v>
      </c>
      <c r="DM53" s="107"/>
      <c r="DN53" s="107"/>
      <c r="DO53" s="107"/>
      <c r="DP53" s="107"/>
      <c r="DQ53" s="107"/>
      <c r="DR53" s="107">
        <f>$C$53*DR5</f>
        <v>-1733.0032641169414</v>
      </c>
      <c r="DS53" s="739"/>
      <c r="DT53" s="832"/>
    </row>
    <row r="54" spans="2:124" x14ac:dyDescent="0.2"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42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42"/>
      <c r="AB54" s="887"/>
      <c r="AC54" s="887"/>
      <c r="AD54" s="887"/>
      <c r="AE54" s="887"/>
      <c r="AF54" s="887"/>
      <c r="AG54" s="887"/>
      <c r="AH54" s="887"/>
      <c r="AI54" s="887"/>
      <c r="AJ54" s="887"/>
      <c r="AK54" s="887"/>
      <c r="AL54" s="887"/>
      <c r="AM54" s="842"/>
      <c r="AN54" s="887"/>
      <c r="AO54" s="887"/>
      <c r="AP54" s="887"/>
      <c r="AQ54" s="887"/>
      <c r="AR54" s="887"/>
      <c r="AS54" s="887"/>
      <c r="AT54" s="887"/>
      <c r="AU54" s="887"/>
      <c r="AV54" s="887"/>
      <c r="AW54" s="887"/>
      <c r="AX54" s="887"/>
      <c r="AY54" s="842"/>
      <c r="AZ54" s="887"/>
      <c r="BA54" s="887"/>
      <c r="BB54" s="887"/>
      <c r="BC54" s="887"/>
      <c r="BD54" s="887"/>
      <c r="BE54" s="887"/>
      <c r="BF54" s="887"/>
      <c r="BG54" s="887"/>
      <c r="BH54" s="887"/>
      <c r="BI54" s="887"/>
      <c r="BJ54" s="887"/>
      <c r="BK54" s="842"/>
      <c r="BL54" s="887"/>
      <c r="BM54" s="887"/>
      <c r="BN54" s="887"/>
      <c r="BO54" s="887"/>
      <c r="BP54" s="887"/>
      <c r="BQ54" s="887"/>
      <c r="BR54" s="887"/>
      <c r="BS54" s="887"/>
      <c r="BT54" s="887"/>
      <c r="BU54" s="887"/>
      <c r="BV54" s="887"/>
      <c r="BW54" s="842"/>
      <c r="BX54" s="887"/>
      <c r="BY54" s="887"/>
      <c r="BZ54" s="887"/>
      <c r="CA54" s="887"/>
      <c r="CB54" s="887"/>
      <c r="CC54" s="887"/>
      <c r="CD54" s="887"/>
      <c r="CE54" s="887"/>
      <c r="CF54" s="887"/>
      <c r="CG54" s="887"/>
      <c r="CH54" s="887"/>
      <c r="CI54" s="842"/>
      <c r="CJ54" s="887"/>
      <c r="CK54" s="887"/>
      <c r="CL54" s="887"/>
      <c r="CM54" s="887"/>
      <c r="CN54" s="887"/>
      <c r="CO54" s="887"/>
      <c r="CP54" s="887"/>
      <c r="CQ54" s="887"/>
      <c r="CR54" s="887"/>
      <c r="CS54" s="887"/>
      <c r="CT54" s="887"/>
      <c r="CU54" s="842"/>
      <c r="CV54" s="887"/>
      <c r="CW54" s="887"/>
      <c r="CX54" s="887"/>
      <c r="CY54" s="887"/>
      <c r="CZ54" s="887"/>
      <c r="DA54" s="887"/>
      <c r="DB54" s="887"/>
      <c r="DC54" s="887"/>
      <c r="DD54" s="887"/>
      <c r="DE54" s="887"/>
      <c r="DF54" s="887"/>
      <c r="DG54" s="842"/>
      <c r="DH54" s="887"/>
      <c r="DI54" s="887"/>
      <c r="DJ54" s="887"/>
      <c r="DK54" s="887"/>
      <c r="DL54" s="887"/>
      <c r="DM54" s="887"/>
      <c r="DN54" s="887"/>
      <c r="DO54" s="887"/>
      <c r="DP54" s="887"/>
      <c r="DQ54" s="887"/>
      <c r="DR54" s="887"/>
      <c r="DS54" s="842"/>
    </row>
    <row r="55" spans="2:124" x14ac:dyDescent="0.2"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9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9"/>
      <c r="AB55" s="508"/>
      <c r="AC55" s="508"/>
      <c r="AD55" s="508"/>
      <c r="AE55" s="508"/>
      <c r="AF55" s="508"/>
      <c r="AG55" s="508"/>
      <c r="AH55" s="508"/>
      <c r="AI55" s="508"/>
      <c r="AJ55" s="508"/>
      <c r="AK55" s="508"/>
      <c r="AL55" s="508"/>
      <c r="AM55" s="509"/>
      <c r="AN55" s="508"/>
      <c r="AO55" s="508"/>
      <c r="AP55" s="508"/>
      <c r="AQ55" s="508"/>
      <c r="AR55" s="508"/>
      <c r="AS55" s="508"/>
      <c r="AT55" s="508"/>
      <c r="AU55" s="508"/>
      <c r="AV55" s="508"/>
      <c r="AW55" s="508"/>
      <c r="AX55" s="508"/>
      <c r="AY55" s="509"/>
      <c r="AZ55" s="508"/>
      <c r="BA55" s="508"/>
      <c r="BB55" s="508"/>
      <c r="BC55" s="508"/>
      <c r="BD55" s="508"/>
      <c r="BE55" s="508"/>
      <c r="BF55" s="508"/>
      <c r="BG55" s="508"/>
      <c r="BH55" s="508"/>
      <c r="BI55" s="508"/>
      <c r="BJ55" s="508"/>
      <c r="BK55" s="509"/>
      <c r="BL55" s="508"/>
      <c r="BM55" s="508"/>
      <c r="BN55" s="508"/>
      <c r="BO55" s="508"/>
      <c r="BP55" s="508"/>
      <c r="BQ55" s="508"/>
      <c r="BR55" s="508"/>
      <c r="BS55" s="508"/>
      <c r="BT55" s="508"/>
      <c r="BU55" s="508"/>
      <c r="BV55" s="508"/>
      <c r="BW55" s="509"/>
      <c r="BX55" s="508"/>
      <c r="BY55" s="508"/>
      <c r="BZ55" s="508"/>
      <c r="CA55" s="508"/>
      <c r="CB55" s="508"/>
      <c r="CC55" s="508"/>
      <c r="CD55" s="508"/>
      <c r="CE55" s="508"/>
      <c r="CF55" s="508"/>
      <c r="CG55" s="508"/>
      <c r="CH55" s="508"/>
      <c r="CI55" s="509"/>
      <c r="CJ55" s="508"/>
      <c r="CK55" s="508"/>
      <c r="CL55" s="508"/>
      <c r="CM55" s="508"/>
      <c r="CN55" s="508"/>
      <c r="CO55" s="508"/>
      <c r="CP55" s="508"/>
      <c r="CQ55" s="508"/>
      <c r="CR55" s="508"/>
      <c r="CS55" s="508"/>
      <c r="CT55" s="508"/>
      <c r="CU55" s="509"/>
      <c r="CV55" s="508"/>
      <c r="CW55" s="508"/>
      <c r="CX55" s="508"/>
      <c r="CY55" s="508"/>
      <c r="CZ55" s="508"/>
      <c r="DA55" s="508"/>
      <c r="DB55" s="508"/>
      <c r="DC55" s="508"/>
      <c r="DD55" s="508"/>
      <c r="DE55" s="508"/>
      <c r="DF55" s="508"/>
      <c r="DG55" s="509"/>
      <c r="DH55" s="508"/>
      <c r="DI55" s="508"/>
      <c r="DJ55" s="508"/>
      <c r="DK55" s="508"/>
      <c r="DL55" s="508"/>
      <c r="DM55" s="508"/>
      <c r="DN55" s="508"/>
      <c r="DO55" s="508"/>
      <c r="DP55" s="508"/>
      <c r="DQ55" s="508"/>
      <c r="DR55" s="508"/>
      <c r="DS55" s="509"/>
    </row>
  </sheetData>
  <mergeCells count="11">
    <mergeCell ref="A1:C2"/>
    <mergeCell ref="P2:AA2"/>
    <mergeCell ref="D2:O2"/>
    <mergeCell ref="BX2:CI2"/>
    <mergeCell ref="CJ2:CU2"/>
    <mergeCell ref="CV2:DG2"/>
    <mergeCell ref="DH2:DS2"/>
    <mergeCell ref="AB2:AM2"/>
    <mergeCell ref="AN2:AY2"/>
    <mergeCell ref="AZ2:BK2"/>
    <mergeCell ref="BL2:BW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FD35"/>
  <sheetViews>
    <sheetView zoomScale="77" zoomScaleNormal="77" zoomScalePageLayoutView="85" workbookViewId="0">
      <pane xSplit="2" ySplit="3" topLeftCell="AC13" activePane="bottomRight" state="frozen"/>
      <selection pane="topRight" activeCell="C1" sqref="C1"/>
      <selection pane="bottomLeft" activeCell="A4" sqref="A4"/>
      <selection pane="bottomRight" activeCell="AI16" sqref="AI16"/>
    </sheetView>
  </sheetViews>
  <sheetFormatPr defaultColWidth="8.85546875" defaultRowHeight="12.75" x14ac:dyDescent="0.2"/>
  <cols>
    <col min="1" max="1" width="4.7109375" style="2" customWidth="1"/>
    <col min="2" max="2" width="37.28515625" style="2" customWidth="1"/>
    <col min="3" max="3" width="1.85546875" style="2" customWidth="1"/>
    <col min="4" max="123" width="11.7109375" style="2" customWidth="1"/>
    <col min="124" max="16384" width="8.85546875" style="2"/>
  </cols>
  <sheetData>
    <row r="1" spans="1:129" ht="12.75" customHeight="1" x14ac:dyDescent="0.2">
      <c r="A1" s="1345" t="s">
        <v>186</v>
      </c>
      <c r="B1" s="1345"/>
      <c r="C1" s="67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4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42"/>
      <c r="AB1" s="832"/>
      <c r="AC1" s="832"/>
      <c r="AD1" s="832"/>
      <c r="AE1" s="832"/>
      <c r="AF1" s="832"/>
      <c r="AG1" s="832"/>
      <c r="AH1" s="832"/>
      <c r="AI1" s="832"/>
      <c r="AJ1" s="832"/>
      <c r="AK1" s="832"/>
      <c r="AL1" s="832"/>
      <c r="AM1" s="842"/>
      <c r="AN1" s="832"/>
      <c r="AO1" s="832"/>
      <c r="AP1" s="832"/>
      <c r="AQ1" s="832"/>
      <c r="AR1" s="832"/>
      <c r="AS1" s="832"/>
      <c r="AT1" s="832"/>
      <c r="AU1" s="832"/>
      <c r="AV1" s="832"/>
      <c r="AW1" s="832"/>
      <c r="AX1" s="832"/>
      <c r="AY1" s="842"/>
      <c r="AZ1" s="832"/>
      <c r="BA1" s="832"/>
      <c r="BB1" s="832"/>
      <c r="BC1" s="832"/>
      <c r="BD1" s="832"/>
      <c r="BE1" s="832"/>
      <c r="BF1" s="832"/>
      <c r="BG1" s="832"/>
      <c r="BH1" s="832"/>
      <c r="BI1" s="832"/>
      <c r="BJ1" s="832"/>
      <c r="BK1" s="842"/>
      <c r="BL1" s="832"/>
      <c r="BM1" s="832"/>
      <c r="BN1" s="832"/>
      <c r="BO1" s="832"/>
      <c r="BP1" s="832"/>
      <c r="BQ1" s="832"/>
      <c r="BR1" s="832"/>
      <c r="BS1" s="832"/>
      <c r="BT1" s="832"/>
      <c r="BU1" s="832"/>
      <c r="BV1" s="832"/>
      <c r="BW1" s="842"/>
      <c r="BX1" s="832"/>
      <c r="BY1" s="832"/>
      <c r="BZ1" s="832"/>
      <c r="CA1" s="832"/>
      <c r="CB1" s="832"/>
      <c r="CC1" s="832"/>
      <c r="CD1" s="832"/>
      <c r="CE1" s="832"/>
      <c r="CF1" s="832"/>
      <c r="CG1" s="832"/>
      <c r="CH1" s="832"/>
      <c r="CI1" s="842"/>
      <c r="CJ1" s="832"/>
      <c r="CK1" s="832"/>
      <c r="CL1" s="832"/>
      <c r="CM1" s="832"/>
      <c r="CN1" s="832"/>
      <c r="CO1" s="832"/>
      <c r="CP1" s="832"/>
      <c r="CQ1" s="832"/>
      <c r="CR1" s="832"/>
      <c r="CS1" s="832"/>
      <c r="CT1" s="832"/>
      <c r="CU1" s="842"/>
      <c r="CV1" s="832"/>
      <c r="CW1" s="832"/>
      <c r="CX1" s="832"/>
      <c r="CY1" s="832"/>
      <c r="CZ1" s="832"/>
      <c r="DA1" s="832"/>
      <c r="DB1" s="832"/>
      <c r="DC1" s="832"/>
      <c r="DD1" s="832"/>
      <c r="DE1" s="832"/>
      <c r="DF1" s="832"/>
      <c r="DG1" s="842"/>
      <c r="DH1" s="832"/>
      <c r="DI1" s="832"/>
      <c r="DJ1" s="832"/>
      <c r="DK1" s="832"/>
      <c r="DL1" s="832"/>
      <c r="DM1" s="832"/>
      <c r="DN1" s="832"/>
      <c r="DO1" s="832"/>
      <c r="DP1" s="832"/>
      <c r="DQ1" s="832"/>
      <c r="DR1" s="832"/>
      <c r="DS1" s="842"/>
    </row>
    <row r="2" spans="1:129" ht="39" customHeight="1" x14ac:dyDescent="0.2">
      <c r="A2" s="1345"/>
      <c r="B2" s="1345"/>
      <c r="C2" s="67"/>
      <c r="D2" s="1334" t="s">
        <v>454</v>
      </c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5"/>
      <c r="P2" s="1340" t="s">
        <v>455</v>
      </c>
      <c r="Q2" s="1340"/>
      <c r="R2" s="1340"/>
      <c r="S2" s="1340"/>
      <c r="T2" s="1340"/>
      <c r="U2" s="1340"/>
      <c r="V2" s="1340"/>
      <c r="W2" s="1340"/>
      <c r="X2" s="1340"/>
      <c r="Y2" s="1340"/>
      <c r="Z2" s="1340"/>
      <c r="AA2" s="1341"/>
      <c r="AB2" s="1340" t="s">
        <v>456</v>
      </c>
      <c r="AC2" s="1340"/>
      <c r="AD2" s="1340"/>
      <c r="AE2" s="1340"/>
      <c r="AF2" s="1340"/>
      <c r="AG2" s="1340"/>
      <c r="AH2" s="1340"/>
      <c r="AI2" s="1340"/>
      <c r="AJ2" s="1340"/>
      <c r="AK2" s="1340"/>
      <c r="AL2" s="1340"/>
      <c r="AM2" s="1341"/>
      <c r="AN2" s="1340" t="s">
        <v>457</v>
      </c>
      <c r="AO2" s="1340"/>
      <c r="AP2" s="1340"/>
      <c r="AQ2" s="1340"/>
      <c r="AR2" s="1340"/>
      <c r="AS2" s="1340"/>
      <c r="AT2" s="1340"/>
      <c r="AU2" s="1340"/>
      <c r="AV2" s="1340"/>
      <c r="AW2" s="1340"/>
      <c r="AX2" s="1340"/>
      <c r="AY2" s="1341"/>
      <c r="AZ2" s="1340" t="s">
        <v>458</v>
      </c>
      <c r="BA2" s="1340"/>
      <c r="BB2" s="1340"/>
      <c r="BC2" s="1340"/>
      <c r="BD2" s="1340"/>
      <c r="BE2" s="1340"/>
      <c r="BF2" s="1340"/>
      <c r="BG2" s="1340"/>
      <c r="BH2" s="1340"/>
      <c r="BI2" s="1340"/>
      <c r="BJ2" s="1340"/>
      <c r="BK2" s="1341"/>
      <c r="BL2" s="1340" t="s">
        <v>459</v>
      </c>
      <c r="BM2" s="1340"/>
      <c r="BN2" s="1340"/>
      <c r="BO2" s="1340"/>
      <c r="BP2" s="1340"/>
      <c r="BQ2" s="1340"/>
      <c r="BR2" s="1340"/>
      <c r="BS2" s="1340"/>
      <c r="BT2" s="1340"/>
      <c r="BU2" s="1340"/>
      <c r="BV2" s="1340"/>
      <c r="BW2" s="1341"/>
      <c r="BX2" s="1340" t="s">
        <v>460</v>
      </c>
      <c r="BY2" s="1340"/>
      <c r="BZ2" s="1340"/>
      <c r="CA2" s="1340"/>
      <c r="CB2" s="1340"/>
      <c r="CC2" s="1340"/>
      <c r="CD2" s="1340"/>
      <c r="CE2" s="1340"/>
      <c r="CF2" s="1340"/>
      <c r="CG2" s="1340"/>
      <c r="CH2" s="1340"/>
      <c r="CI2" s="1341"/>
      <c r="CJ2" s="1340" t="s">
        <v>461</v>
      </c>
      <c r="CK2" s="1340"/>
      <c r="CL2" s="1340"/>
      <c r="CM2" s="1340"/>
      <c r="CN2" s="1340"/>
      <c r="CO2" s="1340"/>
      <c r="CP2" s="1340"/>
      <c r="CQ2" s="1340"/>
      <c r="CR2" s="1340"/>
      <c r="CS2" s="1340"/>
      <c r="CT2" s="1340"/>
      <c r="CU2" s="1341"/>
      <c r="CV2" s="1340" t="s">
        <v>462</v>
      </c>
      <c r="CW2" s="1340"/>
      <c r="CX2" s="1340"/>
      <c r="CY2" s="1340"/>
      <c r="CZ2" s="1340"/>
      <c r="DA2" s="1340"/>
      <c r="DB2" s="1340"/>
      <c r="DC2" s="1340"/>
      <c r="DD2" s="1340"/>
      <c r="DE2" s="1340"/>
      <c r="DF2" s="1340"/>
      <c r="DG2" s="1341"/>
      <c r="DH2" s="1340" t="s">
        <v>463</v>
      </c>
      <c r="DI2" s="1340"/>
      <c r="DJ2" s="1340"/>
      <c r="DK2" s="1340"/>
      <c r="DL2" s="1340"/>
      <c r="DM2" s="1340"/>
      <c r="DN2" s="1340"/>
      <c r="DO2" s="1340"/>
      <c r="DP2" s="1340"/>
      <c r="DQ2" s="1340"/>
      <c r="DR2" s="1340"/>
      <c r="DS2" s="1341"/>
      <c r="DT2" s="111"/>
      <c r="DU2" s="111"/>
      <c r="DV2" s="111"/>
      <c r="DW2" s="111"/>
      <c r="DX2" s="111"/>
      <c r="DY2" s="111"/>
    </row>
    <row r="3" spans="1:129" s="55" customFormat="1" ht="12.75" customHeight="1" x14ac:dyDescent="0.25">
      <c r="A3" s="1345"/>
      <c r="B3" s="1345"/>
      <c r="C3" s="109"/>
      <c r="D3" s="840" t="s">
        <v>174</v>
      </c>
      <c r="E3" s="840" t="s">
        <v>175</v>
      </c>
      <c r="F3" s="840" t="s">
        <v>176</v>
      </c>
      <c r="G3" s="840" t="s">
        <v>177</v>
      </c>
      <c r="H3" s="840" t="s">
        <v>166</v>
      </c>
      <c r="I3" s="840" t="s">
        <v>167</v>
      </c>
      <c r="J3" s="840" t="s">
        <v>168</v>
      </c>
      <c r="K3" s="840" t="s">
        <v>169</v>
      </c>
      <c r="L3" s="840" t="s">
        <v>170</v>
      </c>
      <c r="M3" s="840" t="s">
        <v>171</v>
      </c>
      <c r="N3" s="840" t="s">
        <v>172</v>
      </c>
      <c r="O3" s="682" t="s">
        <v>173</v>
      </c>
      <c r="P3" s="838" t="s">
        <v>174</v>
      </c>
      <c r="Q3" s="838" t="s">
        <v>175</v>
      </c>
      <c r="R3" s="838" t="s">
        <v>176</v>
      </c>
      <c r="S3" s="838" t="s">
        <v>177</v>
      </c>
      <c r="T3" s="838" t="s">
        <v>166</v>
      </c>
      <c r="U3" s="838" t="s">
        <v>167</v>
      </c>
      <c r="V3" s="838" t="s">
        <v>168</v>
      </c>
      <c r="W3" s="838" t="s">
        <v>169</v>
      </c>
      <c r="X3" s="838" t="s">
        <v>170</v>
      </c>
      <c r="Y3" s="838" t="s">
        <v>171</v>
      </c>
      <c r="Z3" s="838" t="s">
        <v>172</v>
      </c>
      <c r="AA3" s="846" t="s">
        <v>173</v>
      </c>
      <c r="AB3" s="838" t="s">
        <v>174</v>
      </c>
      <c r="AC3" s="838" t="s">
        <v>175</v>
      </c>
      <c r="AD3" s="838" t="s">
        <v>176</v>
      </c>
      <c r="AE3" s="838" t="s">
        <v>177</v>
      </c>
      <c r="AF3" s="838" t="s">
        <v>166</v>
      </c>
      <c r="AG3" s="838" t="s">
        <v>167</v>
      </c>
      <c r="AH3" s="838" t="s">
        <v>168</v>
      </c>
      <c r="AI3" s="838" t="s">
        <v>169</v>
      </c>
      <c r="AJ3" s="838" t="s">
        <v>170</v>
      </c>
      <c r="AK3" s="838" t="s">
        <v>171</v>
      </c>
      <c r="AL3" s="838" t="s">
        <v>172</v>
      </c>
      <c r="AM3" s="846" t="s">
        <v>173</v>
      </c>
      <c r="AN3" s="838" t="s">
        <v>174</v>
      </c>
      <c r="AO3" s="838" t="s">
        <v>175</v>
      </c>
      <c r="AP3" s="838" t="s">
        <v>176</v>
      </c>
      <c r="AQ3" s="838" t="s">
        <v>177</v>
      </c>
      <c r="AR3" s="838" t="s">
        <v>166</v>
      </c>
      <c r="AS3" s="838" t="s">
        <v>167</v>
      </c>
      <c r="AT3" s="838" t="s">
        <v>168</v>
      </c>
      <c r="AU3" s="838" t="s">
        <v>169</v>
      </c>
      <c r="AV3" s="838" t="s">
        <v>170</v>
      </c>
      <c r="AW3" s="838" t="s">
        <v>171</v>
      </c>
      <c r="AX3" s="838" t="s">
        <v>172</v>
      </c>
      <c r="AY3" s="846" t="s">
        <v>173</v>
      </c>
      <c r="AZ3" s="838" t="s">
        <v>174</v>
      </c>
      <c r="BA3" s="838" t="s">
        <v>175</v>
      </c>
      <c r="BB3" s="838" t="s">
        <v>176</v>
      </c>
      <c r="BC3" s="838" t="s">
        <v>177</v>
      </c>
      <c r="BD3" s="838" t="s">
        <v>166</v>
      </c>
      <c r="BE3" s="838" t="s">
        <v>167</v>
      </c>
      <c r="BF3" s="838" t="s">
        <v>168</v>
      </c>
      <c r="BG3" s="838" t="s">
        <v>169</v>
      </c>
      <c r="BH3" s="838" t="s">
        <v>170</v>
      </c>
      <c r="BI3" s="838" t="s">
        <v>171</v>
      </c>
      <c r="BJ3" s="838" t="s">
        <v>172</v>
      </c>
      <c r="BK3" s="846" t="s">
        <v>173</v>
      </c>
      <c r="BL3" s="838" t="s">
        <v>174</v>
      </c>
      <c r="BM3" s="838" t="s">
        <v>175</v>
      </c>
      <c r="BN3" s="838" t="s">
        <v>176</v>
      </c>
      <c r="BO3" s="838" t="s">
        <v>177</v>
      </c>
      <c r="BP3" s="838" t="s">
        <v>166</v>
      </c>
      <c r="BQ3" s="838" t="s">
        <v>167</v>
      </c>
      <c r="BR3" s="838" t="s">
        <v>168</v>
      </c>
      <c r="BS3" s="838" t="s">
        <v>169</v>
      </c>
      <c r="BT3" s="838" t="s">
        <v>170</v>
      </c>
      <c r="BU3" s="838" t="s">
        <v>171</v>
      </c>
      <c r="BV3" s="838" t="s">
        <v>172</v>
      </c>
      <c r="BW3" s="846" t="s">
        <v>173</v>
      </c>
      <c r="BX3" s="838" t="s">
        <v>174</v>
      </c>
      <c r="BY3" s="838" t="s">
        <v>175</v>
      </c>
      <c r="BZ3" s="838" t="s">
        <v>176</v>
      </c>
      <c r="CA3" s="838" t="s">
        <v>177</v>
      </c>
      <c r="CB3" s="838" t="s">
        <v>166</v>
      </c>
      <c r="CC3" s="838" t="s">
        <v>167</v>
      </c>
      <c r="CD3" s="838" t="s">
        <v>168</v>
      </c>
      <c r="CE3" s="838" t="s">
        <v>169</v>
      </c>
      <c r="CF3" s="838" t="s">
        <v>170</v>
      </c>
      <c r="CG3" s="838" t="s">
        <v>171</v>
      </c>
      <c r="CH3" s="838" t="s">
        <v>172</v>
      </c>
      <c r="CI3" s="846" t="s">
        <v>173</v>
      </c>
      <c r="CJ3" s="838" t="s">
        <v>174</v>
      </c>
      <c r="CK3" s="838" t="s">
        <v>175</v>
      </c>
      <c r="CL3" s="838" t="s">
        <v>176</v>
      </c>
      <c r="CM3" s="838" t="s">
        <v>177</v>
      </c>
      <c r="CN3" s="838" t="s">
        <v>166</v>
      </c>
      <c r="CO3" s="838" t="s">
        <v>167</v>
      </c>
      <c r="CP3" s="838" t="s">
        <v>168</v>
      </c>
      <c r="CQ3" s="838" t="s">
        <v>169</v>
      </c>
      <c r="CR3" s="838" t="s">
        <v>170</v>
      </c>
      <c r="CS3" s="838" t="s">
        <v>171</v>
      </c>
      <c r="CT3" s="838" t="s">
        <v>172</v>
      </c>
      <c r="CU3" s="846" t="s">
        <v>173</v>
      </c>
      <c r="CV3" s="838" t="s">
        <v>174</v>
      </c>
      <c r="CW3" s="838" t="s">
        <v>175</v>
      </c>
      <c r="CX3" s="838" t="s">
        <v>176</v>
      </c>
      <c r="CY3" s="838" t="s">
        <v>177</v>
      </c>
      <c r="CZ3" s="838" t="s">
        <v>166</v>
      </c>
      <c r="DA3" s="838" t="s">
        <v>167</v>
      </c>
      <c r="DB3" s="838" t="s">
        <v>168</v>
      </c>
      <c r="DC3" s="838" t="s">
        <v>169</v>
      </c>
      <c r="DD3" s="838" t="s">
        <v>170</v>
      </c>
      <c r="DE3" s="838" t="s">
        <v>171</v>
      </c>
      <c r="DF3" s="838" t="s">
        <v>172</v>
      </c>
      <c r="DG3" s="846" t="s">
        <v>173</v>
      </c>
      <c r="DH3" s="838" t="s">
        <v>174</v>
      </c>
      <c r="DI3" s="838" t="s">
        <v>175</v>
      </c>
      <c r="DJ3" s="838" t="s">
        <v>176</v>
      </c>
      <c r="DK3" s="838" t="s">
        <v>177</v>
      </c>
      <c r="DL3" s="838" t="s">
        <v>166</v>
      </c>
      <c r="DM3" s="838" t="s">
        <v>167</v>
      </c>
      <c r="DN3" s="838" t="s">
        <v>168</v>
      </c>
      <c r="DO3" s="838" t="s">
        <v>169</v>
      </c>
      <c r="DP3" s="838" t="s">
        <v>170</v>
      </c>
      <c r="DQ3" s="838" t="s">
        <v>171</v>
      </c>
      <c r="DR3" s="838" t="s">
        <v>172</v>
      </c>
      <c r="DS3" s="846" t="s">
        <v>173</v>
      </c>
    </row>
    <row r="4" spans="1:129" hidden="1" x14ac:dyDescent="0.2">
      <c r="B4" s="21" t="s">
        <v>88</v>
      </c>
      <c r="C4" s="20"/>
      <c r="D4" s="834" t="e">
        <f>#REF!</f>
        <v>#REF!</v>
      </c>
      <c r="E4" s="834" t="e">
        <f>#REF!</f>
        <v>#REF!</v>
      </c>
      <c r="F4" s="834" t="e">
        <f>#REF!</f>
        <v>#REF!</v>
      </c>
      <c r="G4" s="834" t="e">
        <f>#REF!</f>
        <v>#REF!</v>
      </c>
      <c r="H4" s="834" t="e">
        <f>#REF!</f>
        <v>#REF!</v>
      </c>
      <c r="I4" s="834" t="e">
        <f>#REF!</f>
        <v>#REF!</v>
      </c>
      <c r="J4" s="834" t="e">
        <f>#REF!</f>
        <v>#REF!</v>
      </c>
      <c r="K4" s="834" t="e">
        <f>#REF!</f>
        <v>#REF!</v>
      </c>
      <c r="L4" s="834" t="e">
        <f>#REF!</f>
        <v>#REF!</v>
      </c>
      <c r="M4" s="834" t="e">
        <f>#REF!</f>
        <v>#REF!</v>
      </c>
      <c r="N4" s="834" t="e">
        <f>#REF!</f>
        <v>#REF!</v>
      </c>
      <c r="O4" s="847" t="e">
        <f>#REF!</f>
        <v>#REF!</v>
      </c>
      <c r="P4" s="690" t="e">
        <f>#REF!</f>
        <v>#REF!</v>
      </c>
      <c r="Q4" s="834" t="e">
        <f>#REF!</f>
        <v>#REF!</v>
      </c>
      <c r="R4" s="834" t="e">
        <f>#REF!</f>
        <v>#REF!</v>
      </c>
      <c r="S4" s="834" t="e">
        <f>#REF!</f>
        <v>#REF!</v>
      </c>
      <c r="T4" s="834" t="e">
        <f>#REF!</f>
        <v>#REF!</v>
      </c>
      <c r="U4" s="834" t="e">
        <f>#REF!</f>
        <v>#REF!</v>
      </c>
      <c r="V4" s="834" t="e">
        <f>#REF!</f>
        <v>#REF!</v>
      </c>
      <c r="W4" s="834" t="e">
        <f>#REF!</f>
        <v>#REF!</v>
      </c>
      <c r="X4" s="834" t="e">
        <f>#REF!</f>
        <v>#REF!</v>
      </c>
      <c r="Y4" s="834" t="e">
        <f>#REF!</f>
        <v>#REF!</v>
      </c>
      <c r="Z4" s="834" t="e">
        <f>#REF!</f>
        <v>#REF!</v>
      </c>
      <c r="AA4" s="847" t="e">
        <f>#REF!</f>
        <v>#REF!</v>
      </c>
      <c r="AB4" s="690" t="e">
        <f>#REF!</f>
        <v>#REF!</v>
      </c>
      <c r="AC4" s="834" t="e">
        <f>#REF!</f>
        <v>#REF!</v>
      </c>
      <c r="AD4" s="834" t="e">
        <f>#REF!</f>
        <v>#REF!</v>
      </c>
      <c r="AE4" s="834" t="e">
        <f>#REF!</f>
        <v>#REF!</v>
      </c>
      <c r="AF4" s="834" t="e">
        <f>#REF!</f>
        <v>#REF!</v>
      </c>
      <c r="AG4" s="834" t="e">
        <f>#REF!</f>
        <v>#REF!</v>
      </c>
      <c r="AH4" s="834" t="e">
        <f>#REF!</f>
        <v>#REF!</v>
      </c>
      <c r="AI4" s="834" t="e">
        <f>#REF!</f>
        <v>#REF!</v>
      </c>
      <c r="AJ4" s="834" t="e">
        <f>#REF!</f>
        <v>#REF!</v>
      </c>
      <c r="AK4" s="834" t="e">
        <f>#REF!</f>
        <v>#REF!</v>
      </c>
      <c r="AL4" s="834" t="e">
        <f>#REF!</f>
        <v>#REF!</v>
      </c>
      <c r="AM4" s="847" t="e">
        <f>#REF!</f>
        <v>#REF!</v>
      </c>
      <c r="AN4" s="690" t="e">
        <f>#REF!</f>
        <v>#REF!</v>
      </c>
      <c r="AO4" s="834" t="e">
        <f>#REF!</f>
        <v>#REF!</v>
      </c>
      <c r="AP4" s="834" t="e">
        <f>#REF!</f>
        <v>#REF!</v>
      </c>
      <c r="AQ4" s="834" t="e">
        <f>#REF!</f>
        <v>#REF!</v>
      </c>
      <c r="AR4" s="834" t="e">
        <f>#REF!</f>
        <v>#REF!</v>
      </c>
      <c r="AS4" s="834" t="e">
        <f>#REF!</f>
        <v>#REF!</v>
      </c>
      <c r="AT4" s="834" t="e">
        <f>#REF!</f>
        <v>#REF!</v>
      </c>
      <c r="AU4" s="834" t="e">
        <f>#REF!</f>
        <v>#REF!</v>
      </c>
      <c r="AV4" s="834" t="e">
        <f>#REF!</f>
        <v>#REF!</v>
      </c>
      <c r="AW4" s="834" t="e">
        <f>#REF!</f>
        <v>#REF!</v>
      </c>
      <c r="AX4" s="834" t="e">
        <f>#REF!</f>
        <v>#REF!</v>
      </c>
      <c r="AY4" s="847" t="e">
        <f>#REF!</f>
        <v>#REF!</v>
      </c>
      <c r="AZ4" s="690" t="e">
        <f>#REF!</f>
        <v>#REF!</v>
      </c>
      <c r="BA4" s="834" t="e">
        <f>#REF!</f>
        <v>#REF!</v>
      </c>
      <c r="BB4" s="834" t="e">
        <f>#REF!</f>
        <v>#REF!</v>
      </c>
      <c r="BC4" s="834" t="e">
        <f>#REF!</f>
        <v>#REF!</v>
      </c>
      <c r="BD4" s="834" t="e">
        <f>#REF!</f>
        <v>#REF!</v>
      </c>
      <c r="BE4" s="834" t="e">
        <f>#REF!</f>
        <v>#REF!</v>
      </c>
      <c r="BF4" s="834" t="e">
        <f>#REF!</f>
        <v>#REF!</v>
      </c>
      <c r="BG4" s="834" t="e">
        <f>#REF!</f>
        <v>#REF!</v>
      </c>
      <c r="BH4" s="834" t="e">
        <f>#REF!</f>
        <v>#REF!</v>
      </c>
      <c r="BI4" s="834" t="e">
        <f>#REF!</f>
        <v>#REF!</v>
      </c>
      <c r="BJ4" s="834" t="e">
        <f>#REF!</f>
        <v>#REF!</v>
      </c>
      <c r="BK4" s="847" t="e">
        <f>#REF!</f>
        <v>#REF!</v>
      </c>
      <c r="BL4" s="690" t="e">
        <f>#REF!</f>
        <v>#REF!</v>
      </c>
      <c r="BM4" s="834" t="e">
        <f>#REF!</f>
        <v>#REF!</v>
      </c>
      <c r="BN4" s="834" t="e">
        <f>#REF!</f>
        <v>#REF!</v>
      </c>
      <c r="BO4" s="834" t="e">
        <f>#REF!</f>
        <v>#REF!</v>
      </c>
      <c r="BP4" s="834" t="e">
        <f>#REF!</f>
        <v>#REF!</v>
      </c>
      <c r="BQ4" s="834" t="e">
        <f>#REF!</f>
        <v>#REF!</v>
      </c>
      <c r="BR4" s="834" t="e">
        <f>#REF!</f>
        <v>#REF!</v>
      </c>
      <c r="BS4" s="834" t="e">
        <f>#REF!</f>
        <v>#REF!</v>
      </c>
      <c r="BT4" s="834" t="e">
        <f>#REF!</f>
        <v>#REF!</v>
      </c>
      <c r="BU4" s="834" t="e">
        <f>#REF!</f>
        <v>#REF!</v>
      </c>
      <c r="BV4" s="834" t="e">
        <f>#REF!</f>
        <v>#REF!</v>
      </c>
      <c r="BW4" s="847" t="e">
        <f>#REF!</f>
        <v>#REF!</v>
      </c>
      <c r="BX4" s="690" t="e">
        <f>#REF!</f>
        <v>#REF!</v>
      </c>
      <c r="BY4" s="834" t="e">
        <f>#REF!</f>
        <v>#REF!</v>
      </c>
      <c r="BZ4" s="834" t="e">
        <f>#REF!</f>
        <v>#REF!</v>
      </c>
      <c r="CA4" s="834" t="e">
        <f>#REF!</f>
        <v>#REF!</v>
      </c>
      <c r="CB4" s="834" t="e">
        <f>#REF!</f>
        <v>#REF!</v>
      </c>
      <c r="CC4" s="834" t="e">
        <f>#REF!</f>
        <v>#REF!</v>
      </c>
      <c r="CD4" s="834" t="e">
        <f>#REF!</f>
        <v>#REF!</v>
      </c>
      <c r="CE4" s="834" t="e">
        <f>#REF!</f>
        <v>#REF!</v>
      </c>
      <c r="CF4" s="834" t="e">
        <f>#REF!</f>
        <v>#REF!</v>
      </c>
      <c r="CG4" s="834" t="e">
        <f>#REF!</f>
        <v>#REF!</v>
      </c>
      <c r="CH4" s="834" t="e">
        <f>#REF!</f>
        <v>#REF!</v>
      </c>
      <c r="CI4" s="847" t="e">
        <f>#REF!</f>
        <v>#REF!</v>
      </c>
      <c r="CJ4" s="690" t="e">
        <f>#REF!</f>
        <v>#REF!</v>
      </c>
      <c r="CK4" s="834" t="e">
        <f>#REF!</f>
        <v>#REF!</v>
      </c>
      <c r="CL4" s="834" t="e">
        <f>#REF!</f>
        <v>#REF!</v>
      </c>
      <c r="CM4" s="834" t="e">
        <f>#REF!</f>
        <v>#REF!</v>
      </c>
      <c r="CN4" s="834" t="e">
        <f>#REF!</f>
        <v>#REF!</v>
      </c>
      <c r="CO4" s="834" t="e">
        <f>#REF!</f>
        <v>#REF!</v>
      </c>
      <c r="CP4" s="834" t="e">
        <f>#REF!</f>
        <v>#REF!</v>
      </c>
      <c r="CQ4" s="834" t="e">
        <f>#REF!</f>
        <v>#REF!</v>
      </c>
      <c r="CR4" s="834" t="e">
        <f>#REF!</f>
        <v>#REF!</v>
      </c>
      <c r="CS4" s="834" t="e">
        <f>#REF!</f>
        <v>#REF!</v>
      </c>
      <c r="CT4" s="834" t="e">
        <f>#REF!</f>
        <v>#REF!</v>
      </c>
      <c r="CU4" s="847" t="e">
        <f>#REF!</f>
        <v>#REF!</v>
      </c>
      <c r="CV4" s="690" t="e">
        <f>#REF!</f>
        <v>#REF!</v>
      </c>
      <c r="CW4" s="834" t="e">
        <f>#REF!</f>
        <v>#REF!</v>
      </c>
      <c r="CX4" s="834" t="e">
        <f>#REF!</f>
        <v>#REF!</v>
      </c>
      <c r="CY4" s="834" t="e">
        <f>#REF!</f>
        <v>#REF!</v>
      </c>
      <c r="CZ4" s="834" t="e">
        <f>#REF!</f>
        <v>#REF!</v>
      </c>
      <c r="DA4" s="834" t="e">
        <f>#REF!</f>
        <v>#REF!</v>
      </c>
      <c r="DB4" s="834" t="e">
        <f>#REF!</f>
        <v>#REF!</v>
      </c>
      <c r="DC4" s="834" t="e">
        <f>#REF!</f>
        <v>#REF!</v>
      </c>
      <c r="DD4" s="834" t="e">
        <f>#REF!</f>
        <v>#REF!</v>
      </c>
      <c r="DE4" s="834" t="e">
        <f>#REF!</f>
        <v>#REF!</v>
      </c>
      <c r="DF4" s="834" t="e">
        <f>#REF!</f>
        <v>#REF!</v>
      </c>
      <c r="DG4" s="847" t="e">
        <f>#REF!</f>
        <v>#REF!</v>
      </c>
      <c r="DH4" s="690" t="e">
        <f>#REF!</f>
        <v>#REF!</v>
      </c>
      <c r="DI4" s="834" t="e">
        <f>#REF!</f>
        <v>#REF!</v>
      </c>
      <c r="DJ4" s="834" t="e">
        <f>#REF!</f>
        <v>#REF!</v>
      </c>
      <c r="DK4" s="834" t="e">
        <f>#REF!</f>
        <v>#REF!</v>
      </c>
      <c r="DL4" s="834" t="e">
        <f>#REF!</f>
        <v>#REF!</v>
      </c>
      <c r="DM4" s="834" t="e">
        <f>#REF!</f>
        <v>#REF!</v>
      </c>
      <c r="DN4" s="834" t="e">
        <f>#REF!</f>
        <v>#REF!</v>
      </c>
      <c r="DO4" s="834" t="e">
        <f>#REF!</f>
        <v>#REF!</v>
      </c>
      <c r="DP4" s="834" t="e">
        <f>#REF!</f>
        <v>#REF!</v>
      </c>
      <c r="DQ4" s="834" t="e">
        <f>#REF!</f>
        <v>#REF!</v>
      </c>
      <c r="DR4" s="834" t="e">
        <f>#REF!</f>
        <v>#REF!</v>
      </c>
      <c r="DS4" s="847" t="e">
        <f>#REF!</f>
        <v>#REF!</v>
      </c>
    </row>
    <row r="5" spans="1:129" hidden="1" x14ac:dyDescent="0.2">
      <c r="B5" s="21" t="s">
        <v>89</v>
      </c>
      <c r="C5" s="20"/>
      <c r="D5" s="834" t="e">
        <f>#REF!</f>
        <v>#REF!</v>
      </c>
      <c r="E5" s="834" t="e">
        <f>#REF!</f>
        <v>#REF!</v>
      </c>
      <c r="F5" s="834" t="e">
        <f>#REF!</f>
        <v>#REF!</v>
      </c>
      <c r="G5" s="834" t="e">
        <f>#REF!</f>
        <v>#REF!</v>
      </c>
      <c r="H5" s="834" t="e">
        <f>#REF!</f>
        <v>#REF!</v>
      </c>
      <c r="I5" s="834" t="e">
        <f>#REF!</f>
        <v>#REF!</v>
      </c>
      <c r="J5" s="834" t="e">
        <f>#REF!</f>
        <v>#REF!</v>
      </c>
      <c r="K5" s="834" t="e">
        <f>#REF!</f>
        <v>#REF!</v>
      </c>
      <c r="L5" s="834" t="e">
        <f>#REF!</f>
        <v>#REF!</v>
      </c>
      <c r="M5" s="834" t="e">
        <f>#REF!</f>
        <v>#REF!</v>
      </c>
      <c r="N5" s="834" t="e">
        <f>#REF!</f>
        <v>#REF!</v>
      </c>
      <c r="O5" s="847" t="e">
        <f>#REF!</f>
        <v>#REF!</v>
      </c>
      <c r="P5" s="690" t="e">
        <f>#REF!</f>
        <v>#REF!</v>
      </c>
      <c r="Q5" s="834" t="e">
        <f>#REF!</f>
        <v>#REF!</v>
      </c>
      <c r="R5" s="834" t="e">
        <f>#REF!</f>
        <v>#REF!</v>
      </c>
      <c r="S5" s="834" t="e">
        <f>#REF!</f>
        <v>#REF!</v>
      </c>
      <c r="T5" s="834" t="e">
        <f>#REF!</f>
        <v>#REF!</v>
      </c>
      <c r="U5" s="834" t="e">
        <f>#REF!</f>
        <v>#REF!</v>
      </c>
      <c r="V5" s="834" t="e">
        <f>#REF!</f>
        <v>#REF!</v>
      </c>
      <c r="W5" s="834" t="e">
        <f>#REF!</f>
        <v>#REF!</v>
      </c>
      <c r="X5" s="834" t="e">
        <f>#REF!</f>
        <v>#REF!</v>
      </c>
      <c r="Y5" s="834" t="e">
        <f>#REF!</f>
        <v>#REF!</v>
      </c>
      <c r="Z5" s="834" t="e">
        <f>#REF!</f>
        <v>#REF!</v>
      </c>
      <c r="AA5" s="847" t="e">
        <f>#REF!</f>
        <v>#REF!</v>
      </c>
      <c r="AB5" s="690" t="e">
        <f>#REF!</f>
        <v>#REF!</v>
      </c>
      <c r="AC5" s="834" t="e">
        <f>#REF!</f>
        <v>#REF!</v>
      </c>
      <c r="AD5" s="834" t="e">
        <f>#REF!</f>
        <v>#REF!</v>
      </c>
      <c r="AE5" s="834" t="e">
        <f>#REF!</f>
        <v>#REF!</v>
      </c>
      <c r="AF5" s="834" t="e">
        <f>#REF!</f>
        <v>#REF!</v>
      </c>
      <c r="AG5" s="834" t="e">
        <f>#REF!</f>
        <v>#REF!</v>
      </c>
      <c r="AH5" s="834" t="e">
        <f>#REF!</f>
        <v>#REF!</v>
      </c>
      <c r="AI5" s="834" t="e">
        <f>#REF!</f>
        <v>#REF!</v>
      </c>
      <c r="AJ5" s="834" t="e">
        <f>#REF!</f>
        <v>#REF!</v>
      </c>
      <c r="AK5" s="834" t="e">
        <f>#REF!</f>
        <v>#REF!</v>
      </c>
      <c r="AL5" s="834" t="e">
        <f>#REF!</f>
        <v>#REF!</v>
      </c>
      <c r="AM5" s="847" t="e">
        <f>#REF!</f>
        <v>#REF!</v>
      </c>
      <c r="AN5" s="690" t="e">
        <f>#REF!</f>
        <v>#REF!</v>
      </c>
      <c r="AO5" s="834" t="e">
        <f>#REF!</f>
        <v>#REF!</v>
      </c>
      <c r="AP5" s="834" t="e">
        <f>#REF!</f>
        <v>#REF!</v>
      </c>
      <c r="AQ5" s="834" t="e">
        <f>#REF!</f>
        <v>#REF!</v>
      </c>
      <c r="AR5" s="834" t="e">
        <f>#REF!</f>
        <v>#REF!</v>
      </c>
      <c r="AS5" s="834" t="e">
        <f>#REF!</f>
        <v>#REF!</v>
      </c>
      <c r="AT5" s="834" t="e">
        <f>#REF!</f>
        <v>#REF!</v>
      </c>
      <c r="AU5" s="834" t="e">
        <f>#REF!</f>
        <v>#REF!</v>
      </c>
      <c r="AV5" s="834" t="e">
        <f>#REF!</f>
        <v>#REF!</v>
      </c>
      <c r="AW5" s="834" t="e">
        <f>#REF!</f>
        <v>#REF!</v>
      </c>
      <c r="AX5" s="834" t="e">
        <f>#REF!</f>
        <v>#REF!</v>
      </c>
      <c r="AY5" s="847" t="e">
        <f>#REF!</f>
        <v>#REF!</v>
      </c>
      <c r="AZ5" s="690" t="e">
        <f>#REF!</f>
        <v>#REF!</v>
      </c>
      <c r="BA5" s="834" t="e">
        <f>#REF!</f>
        <v>#REF!</v>
      </c>
      <c r="BB5" s="834" t="e">
        <f>#REF!</f>
        <v>#REF!</v>
      </c>
      <c r="BC5" s="834" t="e">
        <f>#REF!</f>
        <v>#REF!</v>
      </c>
      <c r="BD5" s="834" t="e">
        <f>#REF!</f>
        <v>#REF!</v>
      </c>
      <c r="BE5" s="834" t="e">
        <f>#REF!</f>
        <v>#REF!</v>
      </c>
      <c r="BF5" s="834" t="e">
        <f>#REF!</f>
        <v>#REF!</v>
      </c>
      <c r="BG5" s="834" t="e">
        <f>#REF!</f>
        <v>#REF!</v>
      </c>
      <c r="BH5" s="834" t="e">
        <f>#REF!</f>
        <v>#REF!</v>
      </c>
      <c r="BI5" s="834" t="e">
        <f>#REF!</f>
        <v>#REF!</v>
      </c>
      <c r="BJ5" s="834" t="e">
        <f>#REF!</f>
        <v>#REF!</v>
      </c>
      <c r="BK5" s="847" t="e">
        <f>#REF!</f>
        <v>#REF!</v>
      </c>
      <c r="BL5" s="690" t="e">
        <f>#REF!</f>
        <v>#REF!</v>
      </c>
      <c r="BM5" s="834" t="e">
        <f>#REF!</f>
        <v>#REF!</v>
      </c>
      <c r="BN5" s="834" t="e">
        <f>#REF!</f>
        <v>#REF!</v>
      </c>
      <c r="BO5" s="834" t="e">
        <f>#REF!</f>
        <v>#REF!</v>
      </c>
      <c r="BP5" s="834" t="e">
        <f>#REF!</f>
        <v>#REF!</v>
      </c>
      <c r="BQ5" s="834" t="e">
        <f>#REF!</f>
        <v>#REF!</v>
      </c>
      <c r="BR5" s="834" t="e">
        <f>#REF!</f>
        <v>#REF!</v>
      </c>
      <c r="BS5" s="834" t="e">
        <f>#REF!</f>
        <v>#REF!</v>
      </c>
      <c r="BT5" s="834" t="e">
        <f>#REF!</f>
        <v>#REF!</v>
      </c>
      <c r="BU5" s="834" t="e">
        <f>#REF!</f>
        <v>#REF!</v>
      </c>
      <c r="BV5" s="834" t="e">
        <f>#REF!</f>
        <v>#REF!</v>
      </c>
      <c r="BW5" s="847" t="e">
        <f>#REF!</f>
        <v>#REF!</v>
      </c>
      <c r="BX5" s="690" t="e">
        <f>#REF!</f>
        <v>#REF!</v>
      </c>
      <c r="BY5" s="834" t="e">
        <f>#REF!</f>
        <v>#REF!</v>
      </c>
      <c r="BZ5" s="834" t="e">
        <f>#REF!</f>
        <v>#REF!</v>
      </c>
      <c r="CA5" s="834" t="e">
        <f>#REF!</f>
        <v>#REF!</v>
      </c>
      <c r="CB5" s="834" t="e">
        <f>#REF!</f>
        <v>#REF!</v>
      </c>
      <c r="CC5" s="834" t="e">
        <f>#REF!</f>
        <v>#REF!</v>
      </c>
      <c r="CD5" s="834" t="e">
        <f>#REF!</f>
        <v>#REF!</v>
      </c>
      <c r="CE5" s="834" t="e">
        <f>#REF!</f>
        <v>#REF!</v>
      </c>
      <c r="CF5" s="834" t="e">
        <f>#REF!</f>
        <v>#REF!</v>
      </c>
      <c r="CG5" s="834" t="e">
        <f>#REF!</f>
        <v>#REF!</v>
      </c>
      <c r="CH5" s="834" t="e">
        <f>#REF!</f>
        <v>#REF!</v>
      </c>
      <c r="CI5" s="847" t="e">
        <f>#REF!</f>
        <v>#REF!</v>
      </c>
      <c r="CJ5" s="690" t="e">
        <f>#REF!</f>
        <v>#REF!</v>
      </c>
      <c r="CK5" s="834" t="e">
        <f>#REF!</f>
        <v>#REF!</v>
      </c>
      <c r="CL5" s="834" t="e">
        <f>#REF!</f>
        <v>#REF!</v>
      </c>
      <c r="CM5" s="834" t="e">
        <f>#REF!</f>
        <v>#REF!</v>
      </c>
      <c r="CN5" s="834" t="e">
        <f>#REF!</f>
        <v>#REF!</v>
      </c>
      <c r="CO5" s="834" t="e">
        <f>#REF!</f>
        <v>#REF!</v>
      </c>
      <c r="CP5" s="834" t="e">
        <f>#REF!</f>
        <v>#REF!</v>
      </c>
      <c r="CQ5" s="834" t="e">
        <f>#REF!</f>
        <v>#REF!</v>
      </c>
      <c r="CR5" s="834" t="e">
        <f>#REF!</f>
        <v>#REF!</v>
      </c>
      <c r="CS5" s="834" t="e">
        <f>#REF!</f>
        <v>#REF!</v>
      </c>
      <c r="CT5" s="834" t="e">
        <f>#REF!</f>
        <v>#REF!</v>
      </c>
      <c r="CU5" s="847" t="e">
        <f>#REF!</f>
        <v>#REF!</v>
      </c>
      <c r="CV5" s="690" t="e">
        <f>#REF!</f>
        <v>#REF!</v>
      </c>
      <c r="CW5" s="834" t="e">
        <f>#REF!</f>
        <v>#REF!</v>
      </c>
      <c r="CX5" s="834" t="e">
        <f>#REF!</f>
        <v>#REF!</v>
      </c>
      <c r="CY5" s="834" t="e">
        <f>#REF!</f>
        <v>#REF!</v>
      </c>
      <c r="CZ5" s="834" t="e">
        <f>#REF!</f>
        <v>#REF!</v>
      </c>
      <c r="DA5" s="834" t="e">
        <f>#REF!</f>
        <v>#REF!</v>
      </c>
      <c r="DB5" s="834" t="e">
        <f>#REF!</f>
        <v>#REF!</v>
      </c>
      <c r="DC5" s="834" t="e">
        <f>#REF!</f>
        <v>#REF!</v>
      </c>
      <c r="DD5" s="834" t="e">
        <f>#REF!</f>
        <v>#REF!</v>
      </c>
      <c r="DE5" s="834" t="e">
        <f>#REF!</f>
        <v>#REF!</v>
      </c>
      <c r="DF5" s="834" t="e">
        <f>#REF!</f>
        <v>#REF!</v>
      </c>
      <c r="DG5" s="847" t="e">
        <f>#REF!</f>
        <v>#REF!</v>
      </c>
      <c r="DH5" s="690" t="e">
        <f>#REF!</f>
        <v>#REF!</v>
      </c>
      <c r="DI5" s="834" t="e">
        <f>#REF!</f>
        <v>#REF!</v>
      </c>
      <c r="DJ5" s="834" t="e">
        <f>#REF!</f>
        <v>#REF!</v>
      </c>
      <c r="DK5" s="834" t="e">
        <f>#REF!</f>
        <v>#REF!</v>
      </c>
      <c r="DL5" s="834" t="e">
        <f>#REF!</f>
        <v>#REF!</v>
      </c>
      <c r="DM5" s="834" t="e">
        <f>#REF!</f>
        <v>#REF!</v>
      </c>
      <c r="DN5" s="834" t="e">
        <f>#REF!</f>
        <v>#REF!</v>
      </c>
      <c r="DO5" s="834" t="e">
        <f>#REF!</f>
        <v>#REF!</v>
      </c>
      <c r="DP5" s="834" t="e">
        <f>#REF!</f>
        <v>#REF!</v>
      </c>
      <c r="DQ5" s="834" t="e">
        <f>#REF!</f>
        <v>#REF!</v>
      </c>
      <c r="DR5" s="834" t="e">
        <f>#REF!</f>
        <v>#REF!</v>
      </c>
      <c r="DS5" s="847" t="e">
        <f>#REF!</f>
        <v>#REF!</v>
      </c>
    </row>
    <row r="6" spans="1:129" x14ac:dyDescent="0.2">
      <c r="B6" s="21" t="s">
        <v>307</v>
      </c>
      <c r="C6" s="20"/>
      <c r="D6" s="834">
        <f>Assumptions!$E$7</f>
        <v>1</v>
      </c>
      <c r="E6" s="834">
        <f>Assumptions!$E$7</f>
        <v>1</v>
      </c>
      <c r="F6" s="834">
        <f>Assumptions!$E$7</f>
        <v>1</v>
      </c>
      <c r="G6" s="834">
        <f>Assumptions!$E$7</f>
        <v>1</v>
      </c>
      <c r="H6" s="834">
        <f>Assumptions!$E$7</f>
        <v>1</v>
      </c>
      <c r="I6" s="834">
        <f>Assumptions!$E$7</f>
        <v>1</v>
      </c>
      <c r="J6" s="834">
        <f>Assumptions!$E$7</f>
        <v>1</v>
      </c>
      <c r="K6" s="834">
        <f>Assumptions!$E$7</f>
        <v>1</v>
      </c>
      <c r="L6" s="834">
        <f>Assumptions!$E$7</f>
        <v>1</v>
      </c>
      <c r="M6" s="834">
        <f>Assumptions!$E$7</f>
        <v>1</v>
      </c>
      <c r="N6" s="834">
        <f>Assumptions!$E$7</f>
        <v>1</v>
      </c>
      <c r="O6" s="847">
        <f>Assumptions!$E$7</f>
        <v>1</v>
      </c>
      <c r="P6" s="690">
        <f>Assumptions!$F7</f>
        <v>1.0629999999999999</v>
      </c>
      <c r="Q6" s="834">
        <f>Assumptions!$F7</f>
        <v>1.0629999999999999</v>
      </c>
      <c r="R6" s="834">
        <f>Assumptions!$F7</f>
        <v>1.0629999999999999</v>
      </c>
      <c r="S6" s="834">
        <f>Assumptions!$F7</f>
        <v>1.0629999999999999</v>
      </c>
      <c r="T6" s="834">
        <f>Assumptions!$F7</f>
        <v>1.0629999999999999</v>
      </c>
      <c r="U6" s="834">
        <f>Assumptions!$F7</f>
        <v>1.0629999999999999</v>
      </c>
      <c r="V6" s="834">
        <f>Assumptions!$F7</f>
        <v>1.0629999999999999</v>
      </c>
      <c r="W6" s="834">
        <f>Assumptions!$F7</f>
        <v>1.0629999999999999</v>
      </c>
      <c r="X6" s="834">
        <f>Assumptions!$F7</f>
        <v>1.0629999999999999</v>
      </c>
      <c r="Y6" s="834">
        <f>Assumptions!$F7</f>
        <v>1.0629999999999999</v>
      </c>
      <c r="Z6" s="834">
        <f>Assumptions!$F7</f>
        <v>1.0629999999999999</v>
      </c>
      <c r="AA6" s="847">
        <f>Assumptions!$F7</f>
        <v>1.0629999999999999</v>
      </c>
      <c r="AB6" s="690">
        <f>Assumptions!$G7</f>
        <v>1.1299689999999998</v>
      </c>
      <c r="AC6" s="834">
        <f>Assumptions!$G7</f>
        <v>1.1299689999999998</v>
      </c>
      <c r="AD6" s="834">
        <f>Assumptions!$G7</f>
        <v>1.1299689999999998</v>
      </c>
      <c r="AE6" s="834">
        <f>Assumptions!$G7</f>
        <v>1.1299689999999998</v>
      </c>
      <c r="AF6" s="834">
        <f>Assumptions!$G7</f>
        <v>1.1299689999999998</v>
      </c>
      <c r="AG6" s="834">
        <f>Assumptions!$G7</f>
        <v>1.1299689999999998</v>
      </c>
      <c r="AH6" s="834">
        <f>Assumptions!$G7</f>
        <v>1.1299689999999998</v>
      </c>
      <c r="AI6" s="834">
        <f>Assumptions!$G7</f>
        <v>1.1299689999999998</v>
      </c>
      <c r="AJ6" s="834">
        <f>Assumptions!$G7</f>
        <v>1.1299689999999998</v>
      </c>
      <c r="AK6" s="834">
        <f>Assumptions!$G7</f>
        <v>1.1299689999999998</v>
      </c>
      <c r="AL6" s="834">
        <f>Assumptions!$G7</f>
        <v>1.1299689999999998</v>
      </c>
      <c r="AM6" s="847">
        <f>Assumptions!$G7</f>
        <v>1.1299689999999998</v>
      </c>
      <c r="AN6" s="690">
        <f>Assumptions!$H7</f>
        <v>1.2011570469999997</v>
      </c>
      <c r="AO6" s="834">
        <f>Assumptions!$H7</f>
        <v>1.2011570469999997</v>
      </c>
      <c r="AP6" s="834">
        <f>Assumptions!$H7</f>
        <v>1.2011570469999997</v>
      </c>
      <c r="AQ6" s="834">
        <f>Assumptions!$H7</f>
        <v>1.2011570469999997</v>
      </c>
      <c r="AR6" s="834">
        <f>Assumptions!$H7</f>
        <v>1.2011570469999997</v>
      </c>
      <c r="AS6" s="834">
        <f>Assumptions!$H7</f>
        <v>1.2011570469999997</v>
      </c>
      <c r="AT6" s="834">
        <f>Assumptions!$H7</f>
        <v>1.2011570469999997</v>
      </c>
      <c r="AU6" s="834">
        <f>Assumptions!$H7</f>
        <v>1.2011570469999997</v>
      </c>
      <c r="AV6" s="834">
        <f>Assumptions!$H7</f>
        <v>1.2011570469999997</v>
      </c>
      <c r="AW6" s="834">
        <f>Assumptions!$H7</f>
        <v>1.2011570469999997</v>
      </c>
      <c r="AX6" s="834">
        <f>Assumptions!$H7</f>
        <v>1.2011570469999997</v>
      </c>
      <c r="AY6" s="847">
        <f>Assumptions!$H7</f>
        <v>1.2011570469999997</v>
      </c>
      <c r="AZ6" s="690">
        <f>Assumptions!$I7</f>
        <v>1.2768299409609996</v>
      </c>
      <c r="BA6" s="834">
        <f>Assumptions!$I7</f>
        <v>1.2768299409609996</v>
      </c>
      <c r="BB6" s="834">
        <f>Assumptions!$I7</f>
        <v>1.2768299409609996</v>
      </c>
      <c r="BC6" s="834">
        <f>Assumptions!$I7</f>
        <v>1.2768299409609996</v>
      </c>
      <c r="BD6" s="834">
        <f>Assumptions!$I7</f>
        <v>1.2768299409609996</v>
      </c>
      <c r="BE6" s="834">
        <f>Assumptions!$I7</f>
        <v>1.2768299409609996</v>
      </c>
      <c r="BF6" s="834">
        <f>Assumptions!$I7</f>
        <v>1.2768299409609996</v>
      </c>
      <c r="BG6" s="834">
        <f>Assumptions!$I7</f>
        <v>1.2768299409609996</v>
      </c>
      <c r="BH6" s="834">
        <f>Assumptions!$I7</f>
        <v>1.2768299409609996</v>
      </c>
      <c r="BI6" s="834">
        <f>Assumptions!$I7</f>
        <v>1.2768299409609996</v>
      </c>
      <c r="BJ6" s="834">
        <f>Assumptions!$I7</f>
        <v>1.2768299409609996</v>
      </c>
      <c r="BK6" s="847">
        <f>Assumptions!$I7</f>
        <v>1.2768299409609996</v>
      </c>
      <c r="BL6" s="690">
        <f>Assumptions!$J7</f>
        <v>1.3572702272415424</v>
      </c>
      <c r="BM6" s="834">
        <f>Assumptions!$J7</f>
        <v>1.3572702272415424</v>
      </c>
      <c r="BN6" s="834">
        <f>Assumptions!$J7</f>
        <v>1.3572702272415424</v>
      </c>
      <c r="BO6" s="834">
        <f>Assumptions!$J7</f>
        <v>1.3572702272415424</v>
      </c>
      <c r="BP6" s="834">
        <f>Assumptions!$J7</f>
        <v>1.3572702272415424</v>
      </c>
      <c r="BQ6" s="834">
        <f>Assumptions!$J7</f>
        <v>1.3572702272415424</v>
      </c>
      <c r="BR6" s="834">
        <f>Assumptions!$J7</f>
        <v>1.3572702272415424</v>
      </c>
      <c r="BS6" s="834">
        <f>Assumptions!$J7</f>
        <v>1.3572702272415424</v>
      </c>
      <c r="BT6" s="834">
        <f>Assumptions!$J7</f>
        <v>1.3572702272415424</v>
      </c>
      <c r="BU6" s="834">
        <f>Assumptions!$J7</f>
        <v>1.3572702272415424</v>
      </c>
      <c r="BV6" s="834">
        <f>Assumptions!$J7</f>
        <v>1.3572702272415424</v>
      </c>
      <c r="BW6" s="847">
        <f>Assumptions!$J7</f>
        <v>1.3572702272415424</v>
      </c>
      <c r="BX6" s="690">
        <f>Assumptions!$K7</f>
        <v>1.4427782515577596</v>
      </c>
      <c r="BY6" s="834">
        <f>Assumptions!$K7</f>
        <v>1.4427782515577596</v>
      </c>
      <c r="BZ6" s="834">
        <f>Assumptions!$K7</f>
        <v>1.4427782515577596</v>
      </c>
      <c r="CA6" s="834">
        <f>Assumptions!$K7</f>
        <v>1.4427782515577596</v>
      </c>
      <c r="CB6" s="834">
        <f>Assumptions!$K7</f>
        <v>1.4427782515577596</v>
      </c>
      <c r="CC6" s="834">
        <f>Assumptions!$K7</f>
        <v>1.4427782515577596</v>
      </c>
      <c r="CD6" s="834">
        <f>Assumptions!$K7</f>
        <v>1.4427782515577596</v>
      </c>
      <c r="CE6" s="834">
        <f>Assumptions!$K7</f>
        <v>1.4427782515577596</v>
      </c>
      <c r="CF6" s="834">
        <f>Assumptions!$K7</f>
        <v>1.4427782515577596</v>
      </c>
      <c r="CG6" s="834">
        <f>Assumptions!$K7</f>
        <v>1.4427782515577596</v>
      </c>
      <c r="CH6" s="834">
        <f>Assumptions!$K7</f>
        <v>1.4427782515577596</v>
      </c>
      <c r="CI6" s="847">
        <f>Assumptions!$K7</f>
        <v>1.4427782515577596</v>
      </c>
      <c r="CJ6" s="690">
        <f>Assumptions!$L7</f>
        <v>1.5336732814058984</v>
      </c>
      <c r="CK6" s="834">
        <f>Assumptions!$L7</f>
        <v>1.5336732814058984</v>
      </c>
      <c r="CL6" s="834">
        <f>Assumptions!$L7</f>
        <v>1.5336732814058984</v>
      </c>
      <c r="CM6" s="834">
        <f>Assumptions!$L7</f>
        <v>1.5336732814058984</v>
      </c>
      <c r="CN6" s="834">
        <f>Assumptions!$L7</f>
        <v>1.5336732814058984</v>
      </c>
      <c r="CO6" s="834">
        <f>Assumptions!$L7</f>
        <v>1.5336732814058984</v>
      </c>
      <c r="CP6" s="834">
        <f>Assumptions!$L7</f>
        <v>1.5336732814058984</v>
      </c>
      <c r="CQ6" s="834">
        <f>Assumptions!$L7</f>
        <v>1.5336732814058984</v>
      </c>
      <c r="CR6" s="834">
        <f>Assumptions!$L7</f>
        <v>1.5336732814058984</v>
      </c>
      <c r="CS6" s="834">
        <f>Assumptions!$L7</f>
        <v>1.5336732814058984</v>
      </c>
      <c r="CT6" s="834">
        <f>Assumptions!$L7</f>
        <v>1.5336732814058984</v>
      </c>
      <c r="CU6" s="847">
        <f>Assumptions!$L7</f>
        <v>1.5336732814058984</v>
      </c>
      <c r="CV6" s="690">
        <f>Assumptions!$M7</f>
        <v>1.6302946981344699</v>
      </c>
      <c r="CW6" s="834">
        <f>Assumptions!$M7</f>
        <v>1.6302946981344699</v>
      </c>
      <c r="CX6" s="834">
        <f>Assumptions!$M7</f>
        <v>1.6302946981344699</v>
      </c>
      <c r="CY6" s="834">
        <f>Assumptions!$M7</f>
        <v>1.6302946981344699</v>
      </c>
      <c r="CZ6" s="834">
        <f>Assumptions!$M7</f>
        <v>1.6302946981344699</v>
      </c>
      <c r="DA6" s="834">
        <f>Assumptions!$M7</f>
        <v>1.6302946981344699</v>
      </c>
      <c r="DB6" s="834">
        <f>Assumptions!$M7</f>
        <v>1.6302946981344699</v>
      </c>
      <c r="DC6" s="834">
        <f>Assumptions!$M7</f>
        <v>1.6302946981344699</v>
      </c>
      <c r="DD6" s="834">
        <f>Assumptions!$M7</f>
        <v>1.6302946981344699</v>
      </c>
      <c r="DE6" s="834">
        <f>Assumptions!$M7</f>
        <v>1.6302946981344699</v>
      </c>
      <c r="DF6" s="834">
        <f>Assumptions!$M7</f>
        <v>1.6302946981344699</v>
      </c>
      <c r="DG6" s="847">
        <f>Assumptions!$M7</f>
        <v>1.6302946981344699</v>
      </c>
      <c r="DH6" s="690">
        <f>Assumptions!$N7</f>
        <v>1.7330032641169415</v>
      </c>
      <c r="DI6" s="834">
        <f>Assumptions!$N7</f>
        <v>1.7330032641169415</v>
      </c>
      <c r="DJ6" s="834">
        <f>Assumptions!$N7</f>
        <v>1.7330032641169415</v>
      </c>
      <c r="DK6" s="834">
        <f>Assumptions!$N7</f>
        <v>1.7330032641169415</v>
      </c>
      <c r="DL6" s="834">
        <f>Assumptions!$N7</f>
        <v>1.7330032641169415</v>
      </c>
      <c r="DM6" s="834">
        <f>Assumptions!$N7</f>
        <v>1.7330032641169415</v>
      </c>
      <c r="DN6" s="834">
        <f>Assumptions!$N7</f>
        <v>1.7330032641169415</v>
      </c>
      <c r="DO6" s="834">
        <f>Assumptions!$N7</f>
        <v>1.7330032641169415</v>
      </c>
      <c r="DP6" s="834">
        <f>Assumptions!$N7</f>
        <v>1.7330032641169415</v>
      </c>
      <c r="DQ6" s="834">
        <f>Assumptions!$N7</f>
        <v>1.7330032641169415</v>
      </c>
      <c r="DR6" s="834">
        <f>Assumptions!$N7</f>
        <v>1.7330032641169415</v>
      </c>
      <c r="DS6" s="847">
        <f>Assumptions!$N7</f>
        <v>1.7330032641169415</v>
      </c>
    </row>
    <row r="7" spans="1:129" ht="24.75" customHeight="1" x14ac:dyDescent="0.3">
      <c r="A7" s="124"/>
      <c r="B7" s="159" t="s">
        <v>262</v>
      </c>
      <c r="C7" s="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50"/>
      <c r="P7" s="837"/>
      <c r="Q7" s="837"/>
      <c r="R7" s="837"/>
      <c r="S7" s="837"/>
      <c r="T7" s="837"/>
      <c r="U7" s="837"/>
      <c r="V7" s="837"/>
      <c r="W7" s="837"/>
      <c r="X7" s="837"/>
      <c r="Y7" s="837"/>
      <c r="Z7" s="837"/>
      <c r="AA7" s="850"/>
      <c r="AB7" s="837"/>
      <c r="AC7" s="837"/>
      <c r="AD7" s="837"/>
      <c r="AE7" s="837"/>
      <c r="AF7" s="837"/>
      <c r="AG7" s="837"/>
      <c r="AH7" s="837"/>
      <c r="AI7" s="837"/>
      <c r="AJ7" s="837"/>
      <c r="AK7" s="837"/>
      <c r="AL7" s="837"/>
      <c r="AM7" s="850"/>
      <c r="AN7" s="837"/>
      <c r="AO7" s="837"/>
      <c r="AP7" s="837"/>
      <c r="AQ7" s="837"/>
      <c r="AR7" s="837"/>
      <c r="AS7" s="837"/>
      <c r="AT7" s="837"/>
      <c r="AU7" s="837"/>
      <c r="AV7" s="837"/>
      <c r="AW7" s="837"/>
      <c r="AX7" s="837"/>
      <c r="AY7" s="850"/>
      <c r="AZ7" s="837"/>
      <c r="BA7" s="837"/>
      <c r="BB7" s="837"/>
      <c r="BC7" s="837"/>
      <c r="BD7" s="837"/>
      <c r="BE7" s="837"/>
      <c r="BF7" s="837"/>
      <c r="BG7" s="837"/>
      <c r="BH7" s="837"/>
      <c r="BI7" s="837"/>
      <c r="BJ7" s="837"/>
      <c r="BK7" s="850"/>
      <c r="BL7" s="837"/>
      <c r="BM7" s="837"/>
      <c r="BN7" s="837"/>
      <c r="BO7" s="837"/>
      <c r="BP7" s="837"/>
      <c r="BQ7" s="837"/>
      <c r="BR7" s="837"/>
      <c r="BS7" s="837"/>
      <c r="BT7" s="837"/>
      <c r="BU7" s="837"/>
      <c r="BV7" s="837"/>
      <c r="BW7" s="850"/>
      <c r="BX7" s="837"/>
      <c r="BY7" s="837"/>
      <c r="BZ7" s="837"/>
      <c r="CA7" s="837"/>
      <c r="CB7" s="837"/>
      <c r="CC7" s="837"/>
      <c r="CD7" s="837"/>
      <c r="CE7" s="837"/>
      <c r="CF7" s="837"/>
      <c r="CG7" s="837"/>
      <c r="CH7" s="837"/>
      <c r="CI7" s="850"/>
      <c r="CJ7" s="837"/>
      <c r="CK7" s="837"/>
      <c r="CL7" s="837"/>
      <c r="CM7" s="837"/>
      <c r="CN7" s="837"/>
      <c r="CO7" s="837"/>
      <c r="CP7" s="837"/>
      <c r="CQ7" s="837"/>
      <c r="CR7" s="837"/>
      <c r="CS7" s="837"/>
      <c r="CT7" s="837"/>
      <c r="CU7" s="850"/>
      <c r="CV7" s="837"/>
      <c r="CW7" s="837"/>
      <c r="CX7" s="837"/>
      <c r="CY7" s="837"/>
      <c r="CZ7" s="837"/>
      <c r="DA7" s="837"/>
      <c r="DB7" s="837"/>
      <c r="DC7" s="837"/>
      <c r="DD7" s="837"/>
      <c r="DE7" s="837"/>
      <c r="DF7" s="837"/>
      <c r="DG7" s="850"/>
      <c r="DH7" s="837"/>
      <c r="DI7" s="837"/>
      <c r="DJ7" s="837"/>
      <c r="DK7" s="837"/>
      <c r="DL7" s="837"/>
      <c r="DM7" s="837"/>
      <c r="DN7" s="837"/>
      <c r="DO7" s="837"/>
      <c r="DP7" s="837"/>
      <c r="DQ7" s="837"/>
      <c r="DR7" s="837"/>
      <c r="DS7" s="850"/>
    </row>
    <row r="8" spans="1:129" ht="15" x14ac:dyDescent="0.25">
      <c r="B8" s="160" t="s">
        <v>1</v>
      </c>
      <c r="C8" s="833">
        <v>-20000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>
        <f t="shared" ref="N8:O8" si="0">$C$8*N6</f>
        <v>-20000</v>
      </c>
      <c r="O8" s="535">
        <f t="shared" si="0"/>
        <v>-20000</v>
      </c>
      <c r="P8" s="107">
        <f t="shared" ref="P8:AU8" si="1">$C$8*P6</f>
        <v>-21260</v>
      </c>
      <c r="Q8" s="345">
        <f t="shared" si="1"/>
        <v>-21260</v>
      </c>
      <c r="R8" s="345">
        <f t="shared" si="1"/>
        <v>-21260</v>
      </c>
      <c r="S8" s="345">
        <f t="shared" si="1"/>
        <v>-21260</v>
      </c>
      <c r="T8" s="345">
        <f t="shared" si="1"/>
        <v>-21260</v>
      </c>
      <c r="U8" s="345">
        <f t="shared" si="1"/>
        <v>-21260</v>
      </c>
      <c r="V8" s="345">
        <f t="shared" si="1"/>
        <v>-21260</v>
      </c>
      <c r="W8" s="345">
        <f t="shared" si="1"/>
        <v>-21260</v>
      </c>
      <c r="X8" s="345">
        <f t="shared" si="1"/>
        <v>-21260</v>
      </c>
      <c r="Y8" s="345">
        <f t="shared" si="1"/>
        <v>-21260</v>
      </c>
      <c r="Z8" s="345">
        <f t="shared" si="1"/>
        <v>-21260</v>
      </c>
      <c r="AA8" s="697">
        <f t="shared" si="1"/>
        <v>-21260</v>
      </c>
      <c r="AB8" s="107">
        <f t="shared" si="1"/>
        <v>-22599.379999999997</v>
      </c>
      <c r="AC8" s="345">
        <f t="shared" si="1"/>
        <v>-22599.379999999997</v>
      </c>
      <c r="AD8" s="345">
        <f t="shared" si="1"/>
        <v>-22599.379999999997</v>
      </c>
      <c r="AE8" s="345">
        <f t="shared" si="1"/>
        <v>-22599.379999999997</v>
      </c>
      <c r="AF8" s="345">
        <f t="shared" si="1"/>
        <v>-22599.379999999997</v>
      </c>
      <c r="AG8" s="345">
        <f t="shared" si="1"/>
        <v>-22599.379999999997</v>
      </c>
      <c r="AH8" s="345">
        <f t="shared" si="1"/>
        <v>-22599.379999999997</v>
      </c>
      <c r="AI8" s="345">
        <f t="shared" si="1"/>
        <v>-22599.379999999997</v>
      </c>
      <c r="AJ8" s="345">
        <f t="shared" si="1"/>
        <v>-22599.379999999997</v>
      </c>
      <c r="AK8" s="345">
        <f t="shared" si="1"/>
        <v>-22599.379999999997</v>
      </c>
      <c r="AL8" s="345">
        <f t="shared" si="1"/>
        <v>-22599.379999999997</v>
      </c>
      <c r="AM8" s="697">
        <f t="shared" si="1"/>
        <v>-22599.379999999997</v>
      </c>
      <c r="AN8" s="107">
        <f t="shared" si="1"/>
        <v>-24023.140939999994</v>
      </c>
      <c r="AO8" s="345">
        <f t="shared" si="1"/>
        <v>-24023.140939999994</v>
      </c>
      <c r="AP8" s="345">
        <f t="shared" si="1"/>
        <v>-24023.140939999994</v>
      </c>
      <c r="AQ8" s="345">
        <f t="shared" si="1"/>
        <v>-24023.140939999994</v>
      </c>
      <c r="AR8" s="345">
        <f t="shared" si="1"/>
        <v>-24023.140939999994</v>
      </c>
      <c r="AS8" s="345">
        <f t="shared" si="1"/>
        <v>-24023.140939999994</v>
      </c>
      <c r="AT8" s="345">
        <f t="shared" si="1"/>
        <v>-24023.140939999994</v>
      </c>
      <c r="AU8" s="345">
        <f t="shared" si="1"/>
        <v>-24023.140939999994</v>
      </c>
      <c r="AV8" s="345">
        <f t="shared" ref="AV8:CA8" si="2">$C$8*AV6</f>
        <v>-24023.140939999994</v>
      </c>
      <c r="AW8" s="345">
        <f t="shared" si="2"/>
        <v>-24023.140939999994</v>
      </c>
      <c r="AX8" s="345">
        <f t="shared" si="2"/>
        <v>-24023.140939999994</v>
      </c>
      <c r="AY8" s="697">
        <f t="shared" si="2"/>
        <v>-24023.140939999994</v>
      </c>
      <c r="AZ8" s="107">
        <f t="shared" si="2"/>
        <v>-25536.598819219991</v>
      </c>
      <c r="BA8" s="345">
        <f t="shared" si="2"/>
        <v>-25536.598819219991</v>
      </c>
      <c r="BB8" s="345">
        <f t="shared" si="2"/>
        <v>-25536.598819219991</v>
      </c>
      <c r="BC8" s="345">
        <f t="shared" si="2"/>
        <v>-25536.598819219991</v>
      </c>
      <c r="BD8" s="345">
        <f t="shared" si="2"/>
        <v>-25536.598819219991</v>
      </c>
      <c r="BE8" s="345">
        <f t="shared" si="2"/>
        <v>-25536.598819219991</v>
      </c>
      <c r="BF8" s="345">
        <f t="shared" si="2"/>
        <v>-25536.598819219991</v>
      </c>
      <c r="BG8" s="345">
        <f t="shared" si="2"/>
        <v>-25536.598819219991</v>
      </c>
      <c r="BH8" s="345">
        <f t="shared" si="2"/>
        <v>-25536.598819219991</v>
      </c>
      <c r="BI8" s="345">
        <f t="shared" si="2"/>
        <v>-25536.598819219991</v>
      </c>
      <c r="BJ8" s="345">
        <f t="shared" si="2"/>
        <v>-25536.598819219991</v>
      </c>
      <c r="BK8" s="697">
        <f t="shared" si="2"/>
        <v>-25536.598819219991</v>
      </c>
      <c r="BL8" s="107">
        <f t="shared" si="2"/>
        <v>-27145.40454483085</v>
      </c>
      <c r="BM8" s="345">
        <f t="shared" si="2"/>
        <v>-27145.40454483085</v>
      </c>
      <c r="BN8" s="345">
        <f t="shared" si="2"/>
        <v>-27145.40454483085</v>
      </c>
      <c r="BO8" s="345">
        <f t="shared" si="2"/>
        <v>-27145.40454483085</v>
      </c>
      <c r="BP8" s="345">
        <f t="shared" si="2"/>
        <v>-27145.40454483085</v>
      </c>
      <c r="BQ8" s="345">
        <f t="shared" si="2"/>
        <v>-27145.40454483085</v>
      </c>
      <c r="BR8" s="345">
        <f t="shared" si="2"/>
        <v>-27145.40454483085</v>
      </c>
      <c r="BS8" s="345">
        <f t="shared" si="2"/>
        <v>-27145.40454483085</v>
      </c>
      <c r="BT8" s="345">
        <f t="shared" si="2"/>
        <v>-27145.40454483085</v>
      </c>
      <c r="BU8" s="345">
        <f t="shared" si="2"/>
        <v>-27145.40454483085</v>
      </c>
      <c r="BV8" s="345">
        <f t="shared" si="2"/>
        <v>-27145.40454483085</v>
      </c>
      <c r="BW8" s="697">
        <f t="shared" si="2"/>
        <v>-27145.40454483085</v>
      </c>
      <c r="BX8" s="107">
        <f t="shared" si="2"/>
        <v>-28855.565031155191</v>
      </c>
      <c r="BY8" s="345">
        <f t="shared" si="2"/>
        <v>-28855.565031155191</v>
      </c>
      <c r="BZ8" s="345">
        <f t="shared" si="2"/>
        <v>-28855.565031155191</v>
      </c>
      <c r="CA8" s="345">
        <f t="shared" si="2"/>
        <v>-28855.565031155191</v>
      </c>
      <c r="CB8" s="345">
        <f t="shared" ref="CB8:DG8" si="3">$C$8*CB6</f>
        <v>-28855.565031155191</v>
      </c>
      <c r="CC8" s="345">
        <f t="shared" si="3"/>
        <v>-28855.565031155191</v>
      </c>
      <c r="CD8" s="345">
        <f t="shared" si="3"/>
        <v>-28855.565031155191</v>
      </c>
      <c r="CE8" s="345">
        <f t="shared" si="3"/>
        <v>-28855.565031155191</v>
      </c>
      <c r="CF8" s="345">
        <f t="shared" si="3"/>
        <v>-28855.565031155191</v>
      </c>
      <c r="CG8" s="345">
        <f t="shared" si="3"/>
        <v>-28855.565031155191</v>
      </c>
      <c r="CH8" s="345">
        <f t="shared" si="3"/>
        <v>-28855.565031155191</v>
      </c>
      <c r="CI8" s="697">
        <f t="shared" si="3"/>
        <v>-28855.565031155191</v>
      </c>
      <c r="CJ8" s="107">
        <f t="shared" si="3"/>
        <v>-30673.465628117967</v>
      </c>
      <c r="CK8" s="345">
        <f t="shared" si="3"/>
        <v>-30673.465628117967</v>
      </c>
      <c r="CL8" s="345">
        <f t="shared" si="3"/>
        <v>-30673.465628117967</v>
      </c>
      <c r="CM8" s="345">
        <f t="shared" si="3"/>
        <v>-30673.465628117967</v>
      </c>
      <c r="CN8" s="345">
        <f t="shared" si="3"/>
        <v>-30673.465628117967</v>
      </c>
      <c r="CO8" s="345">
        <f t="shared" si="3"/>
        <v>-30673.465628117967</v>
      </c>
      <c r="CP8" s="345">
        <f t="shared" si="3"/>
        <v>-30673.465628117967</v>
      </c>
      <c r="CQ8" s="345">
        <f t="shared" si="3"/>
        <v>-30673.465628117967</v>
      </c>
      <c r="CR8" s="345">
        <f t="shared" si="3"/>
        <v>-30673.465628117967</v>
      </c>
      <c r="CS8" s="345">
        <f t="shared" si="3"/>
        <v>-30673.465628117967</v>
      </c>
      <c r="CT8" s="345">
        <f t="shared" si="3"/>
        <v>-30673.465628117967</v>
      </c>
      <c r="CU8" s="697">
        <f t="shared" si="3"/>
        <v>-30673.465628117967</v>
      </c>
      <c r="CV8" s="107">
        <f t="shared" si="3"/>
        <v>-32605.893962689399</v>
      </c>
      <c r="CW8" s="345">
        <f t="shared" si="3"/>
        <v>-32605.893962689399</v>
      </c>
      <c r="CX8" s="345">
        <f t="shared" si="3"/>
        <v>-32605.893962689399</v>
      </c>
      <c r="CY8" s="345">
        <f t="shared" si="3"/>
        <v>-32605.893962689399</v>
      </c>
      <c r="CZ8" s="345">
        <f t="shared" si="3"/>
        <v>-32605.893962689399</v>
      </c>
      <c r="DA8" s="345">
        <f t="shared" si="3"/>
        <v>-32605.893962689399</v>
      </c>
      <c r="DB8" s="345">
        <f t="shared" si="3"/>
        <v>-32605.893962689399</v>
      </c>
      <c r="DC8" s="345">
        <f t="shared" si="3"/>
        <v>-32605.893962689399</v>
      </c>
      <c r="DD8" s="345">
        <f t="shared" si="3"/>
        <v>-32605.893962689399</v>
      </c>
      <c r="DE8" s="345">
        <f t="shared" si="3"/>
        <v>-32605.893962689399</v>
      </c>
      <c r="DF8" s="345">
        <f t="shared" si="3"/>
        <v>-32605.893962689399</v>
      </c>
      <c r="DG8" s="697">
        <f t="shared" si="3"/>
        <v>-32605.893962689399</v>
      </c>
      <c r="DH8" s="107">
        <f t="shared" ref="DH8:DS8" si="4">$C$8*DH6</f>
        <v>-34660.06528233883</v>
      </c>
      <c r="DI8" s="345">
        <f t="shared" si="4"/>
        <v>-34660.06528233883</v>
      </c>
      <c r="DJ8" s="345">
        <f t="shared" si="4"/>
        <v>-34660.06528233883</v>
      </c>
      <c r="DK8" s="345">
        <f t="shared" si="4"/>
        <v>-34660.06528233883</v>
      </c>
      <c r="DL8" s="345">
        <f t="shared" si="4"/>
        <v>-34660.06528233883</v>
      </c>
      <c r="DM8" s="345">
        <f t="shared" si="4"/>
        <v>-34660.06528233883</v>
      </c>
      <c r="DN8" s="345">
        <f t="shared" si="4"/>
        <v>-34660.06528233883</v>
      </c>
      <c r="DO8" s="345">
        <f t="shared" si="4"/>
        <v>-34660.06528233883</v>
      </c>
      <c r="DP8" s="345">
        <f t="shared" si="4"/>
        <v>-34660.06528233883</v>
      </c>
      <c r="DQ8" s="345">
        <f t="shared" si="4"/>
        <v>-34660.06528233883</v>
      </c>
      <c r="DR8" s="345">
        <f t="shared" si="4"/>
        <v>-34660.06528233883</v>
      </c>
      <c r="DS8" s="697">
        <f t="shared" si="4"/>
        <v>-34660.06528233883</v>
      </c>
    </row>
    <row r="9" spans="1:129" ht="15" x14ac:dyDescent="0.25">
      <c r="B9" s="160" t="s">
        <v>2</v>
      </c>
      <c r="C9" s="833">
        <v>-30000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535"/>
      <c r="P9" s="107">
        <v>0</v>
      </c>
      <c r="Q9" s="106">
        <v>0</v>
      </c>
      <c r="R9" s="106">
        <f>$C9*R6</f>
        <v>-31890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8">
        <v>0</v>
      </c>
      <c r="AB9" s="107">
        <v>0</v>
      </c>
      <c r="AC9" s="106">
        <v>0</v>
      </c>
      <c r="AD9" s="106">
        <f>$C9*AD6</f>
        <v>-33899.069999999992</v>
      </c>
      <c r="AE9" s="106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  <c r="AK9" s="106">
        <v>0</v>
      </c>
      <c r="AL9" s="106">
        <v>0</v>
      </c>
      <c r="AM9" s="108">
        <v>0</v>
      </c>
      <c r="AN9" s="107">
        <v>0</v>
      </c>
      <c r="AO9" s="106">
        <v>0</v>
      </c>
      <c r="AP9" s="106">
        <f>$C9*AP6</f>
        <v>-36034.711409999989</v>
      </c>
      <c r="AQ9" s="106">
        <v>0</v>
      </c>
      <c r="AR9" s="106">
        <v>0</v>
      </c>
      <c r="AS9" s="106">
        <v>0</v>
      </c>
      <c r="AT9" s="106">
        <v>0</v>
      </c>
      <c r="AU9" s="106">
        <v>0</v>
      </c>
      <c r="AV9" s="106">
        <v>0</v>
      </c>
      <c r="AW9" s="106">
        <v>0</v>
      </c>
      <c r="AX9" s="106">
        <v>0</v>
      </c>
      <c r="AY9" s="108">
        <v>0</v>
      </c>
      <c r="AZ9" s="107">
        <v>0</v>
      </c>
      <c r="BA9" s="106">
        <v>0</v>
      </c>
      <c r="BB9" s="106">
        <f>$C9*BB6</f>
        <v>-38304.898228829989</v>
      </c>
      <c r="BC9" s="106">
        <v>0</v>
      </c>
      <c r="BD9" s="106">
        <v>0</v>
      </c>
      <c r="BE9" s="106">
        <v>0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8">
        <v>0</v>
      </c>
      <c r="BL9" s="107">
        <v>0</v>
      </c>
      <c r="BM9" s="106">
        <v>0</v>
      </c>
      <c r="BN9" s="106">
        <f>$C9*BN6</f>
        <v>-40718.106817246276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8">
        <v>0</v>
      </c>
      <c r="BX9" s="107">
        <v>0</v>
      </c>
      <c r="BY9" s="106">
        <v>0</v>
      </c>
      <c r="BZ9" s="106">
        <f>$C9*BZ6</f>
        <v>-43283.347546732788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8">
        <v>0</v>
      </c>
      <c r="CJ9" s="107">
        <v>0</v>
      </c>
      <c r="CK9" s="106">
        <v>0</v>
      </c>
      <c r="CL9" s="106">
        <f>$C9*CL6</f>
        <v>-46010.198442176952</v>
      </c>
      <c r="CM9" s="106">
        <v>0</v>
      </c>
      <c r="CN9" s="106">
        <v>0</v>
      </c>
      <c r="CO9" s="106">
        <v>0</v>
      </c>
      <c r="CP9" s="106">
        <v>0</v>
      </c>
      <c r="CQ9" s="106">
        <v>0</v>
      </c>
      <c r="CR9" s="106">
        <v>0</v>
      </c>
      <c r="CS9" s="106">
        <v>0</v>
      </c>
      <c r="CT9" s="106">
        <v>0</v>
      </c>
      <c r="CU9" s="108">
        <v>0</v>
      </c>
      <c r="CV9" s="107">
        <v>0</v>
      </c>
      <c r="CW9" s="106">
        <v>0</v>
      </c>
      <c r="CX9" s="106">
        <f>$C9*CX6</f>
        <v>-48908.840944034098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8">
        <v>0</v>
      </c>
      <c r="DH9" s="107">
        <v>0</v>
      </c>
      <c r="DI9" s="106">
        <v>0</v>
      </c>
      <c r="DJ9" s="106">
        <f>$C9*DJ6</f>
        <v>-51990.097923508241</v>
      </c>
      <c r="DK9" s="106">
        <v>0</v>
      </c>
      <c r="DL9" s="106">
        <v>0</v>
      </c>
      <c r="DM9" s="106">
        <v>0</v>
      </c>
      <c r="DN9" s="106">
        <v>0</v>
      </c>
      <c r="DO9" s="106">
        <v>0</v>
      </c>
      <c r="DP9" s="106">
        <v>0</v>
      </c>
      <c r="DQ9" s="106">
        <v>0</v>
      </c>
      <c r="DR9" s="106">
        <v>0</v>
      </c>
      <c r="DS9" s="108">
        <v>0</v>
      </c>
    </row>
    <row r="10" spans="1:129" ht="15" x14ac:dyDescent="0.25">
      <c r="B10" s="160" t="s">
        <v>3</v>
      </c>
      <c r="C10" s="833">
        <v>-5000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>
        <f t="shared" ref="N10:O15" si="5">$C10*N$6</f>
        <v>-5000</v>
      </c>
      <c r="O10" s="535">
        <f t="shared" si="5"/>
        <v>-5000</v>
      </c>
      <c r="P10" s="107">
        <f t="shared" ref="P10:Y15" si="6">$C10*P$6</f>
        <v>-5315</v>
      </c>
      <c r="Q10" s="106">
        <f t="shared" si="6"/>
        <v>-5315</v>
      </c>
      <c r="R10" s="106">
        <f t="shared" si="6"/>
        <v>-5315</v>
      </c>
      <c r="S10" s="106">
        <f t="shared" si="6"/>
        <v>-5315</v>
      </c>
      <c r="T10" s="106">
        <f t="shared" si="6"/>
        <v>-5315</v>
      </c>
      <c r="U10" s="106">
        <f t="shared" si="6"/>
        <v>-5315</v>
      </c>
      <c r="V10" s="106">
        <f t="shared" si="6"/>
        <v>-5315</v>
      </c>
      <c r="W10" s="106">
        <f t="shared" si="6"/>
        <v>-5315</v>
      </c>
      <c r="X10" s="106">
        <f t="shared" si="6"/>
        <v>-5315</v>
      </c>
      <c r="Y10" s="106">
        <f t="shared" si="6"/>
        <v>-5315</v>
      </c>
      <c r="Z10" s="106">
        <f t="shared" ref="Z10:AI15" si="7">$C10*Z$6</f>
        <v>-5315</v>
      </c>
      <c r="AA10" s="108">
        <f t="shared" si="7"/>
        <v>-5315</v>
      </c>
      <c r="AB10" s="107">
        <f t="shared" si="7"/>
        <v>-5649.8449999999993</v>
      </c>
      <c r="AC10" s="106">
        <f t="shared" si="7"/>
        <v>-5649.8449999999993</v>
      </c>
      <c r="AD10" s="106">
        <f t="shared" si="7"/>
        <v>-5649.8449999999993</v>
      </c>
      <c r="AE10" s="106">
        <f t="shared" si="7"/>
        <v>-5649.8449999999993</v>
      </c>
      <c r="AF10" s="106">
        <f t="shared" si="7"/>
        <v>-5649.8449999999993</v>
      </c>
      <c r="AG10" s="106">
        <f t="shared" si="7"/>
        <v>-5649.8449999999993</v>
      </c>
      <c r="AH10" s="106">
        <f t="shared" si="7"/>
        <v>-5649.8449999999993</v>
      </c>
      <c r="AI10" s="106">
        <f t="shared" si="7"/>
        <v>-5649.8449999999993</v>
      </c>
      <c r="AJ10" s="106">
        <f t="shared" ref="AJ10:AS15" si="8">$C10*AJ$6</f>
        <v>-5649.8449999999993</v>
      </c>
      <c r="AK10" s="106">
        <f t="shared" si="8"/>
        <v>-5649.8449999999993</v>
      </c>
      <c r="AL10" s="106">
        <f t="shared" si="8"/>
        <v>-5649.8449999999993</v>
      </c>
      <c r="AM10" s="108">
        <f t="shared" si="8"/>
        <v>-5649.8449999999993</v>
      </c>
      <c r="AN10" s="107">
        <f t="shared" si="8"/>
        <v>-6005.7852349999985</v>
      </c>
      <c r="AO10" s="106">
        <f t="shared" si="8"/>
        <v>-6005.7852349999985</v>
      </c>
      <c r="AP10" s="106">
        <f t="shared" si="8"/>
        <v>-6005.7852349999985</v>
      </c>
      <c r="AQ10" s="106">
        <f t="shared" si="8"/>
        <v>-6005.7852349999985</v>
      </c>
      <c r="AR10" s="106">
        <f t="shared" si="8"/>
        <v>-6005.7852349999985</v>
      </c>
      <c r="AS10" s="106">
        <f t="shared" si="8"/>
        <v>-6005.7852349999985</v>
      </c>
      <c r="AT10" s="106">
        <f t="shared" ref="AT10:BC15" si="9">$C10*AT$6</f>
        <v>-6005.7852349999985</v>
      </c>
      <c r="AU10" s="106">
        <f t="shared" si="9"/>
        <v>-6005.7852349999985</v>
      </c>
      <c r="AV10" s="106">
        <f t="shared" si="9"/>
        <v>-6005.7852349999985</v>
      </c>
      <c r="AW10" s="106">
        <f t="shared" si="9"/>
        <v>-6005.7852349999985</v>
      </c>
      <c r="AX10" s="106">
        <f t="shared" si="9"/>
        <v>-6005.7852349999985</v>
      </c>
      <c r="AY10" s="108">
        <f t="shared" si="9"/>
        <v>-6005.7852349999985</v>
      </c>
      <c r="AZ10" s="107">
        <f t="shared" si="9"/>
        <v>-6384.1497048049978</v>
      </c>
      <c r="BA10" s="106">
        <f t="shared" si="9"/>
        <v>-6384.1497048049978</v>
      </c>
      <c r="BB10" s="106">
        <f t="shared" si="9"/>
        <v>-6384.1497048049978</v>
      </c>
      <c r="BC10" s="106">
        <f t="shared" si="9"/>
        <v>-6384.1497048049978</v>
      </c>
      <c r="BD10" s="106">
        <f t="shared" ref="BD10:BM15" si="10">$C10*BD$6</f>
        <v>-6384.1497048049978</v>
      </c>
      <c r="BE10" s="106">
        <f t="shared" si="10"/>
        <v>-6384.1497048049978</v>
      </c>
      <c r="BF10" s="106">
        <f t="shared" si="10"/>
        <v>-6384.1497048049978</v>
      </c>
      <c r="BG10" s="106">
        <f t="shared" si="10"/>
        <v>-6384.1497048049978</v>
      </c>
      <c r="BH10" s="106">
        <f t="shared" si="10"/>
        <v>-6384.1497048049978</v>
      </c>
      <c r="BI10" s="106">
        <f t="shared" si="10"/>
        <v>-6384.1497048049978</v>
      </c>
      <c r="BJ10" s="106">
        <f t="shared" si="10"/>
        <v>-6384.1497048049978</v>
      </c>
      <c r="BK10" s="108">
        <f t="shared" si="10"/>
        <v>-6384.1497048049978</v>
      </c>
      <c r="BL10" s="107">
        <f t="shared" si="10"/>
        <v>-6786.3511362077124</v>
      </c>
      <c r="BM10" s="106">
        <f t="shared" si="10"/>
        <v>-6786.3511362077124</v>
      </c>
      <c r="BN10" s="106">
        <f t="shared" ref="BN10:BW15" si="11">$C10*BN$6</f>
        <v>-6786.3511362077124</v>
      </c>
      <c r="BO10" s="106">
        <f t="shared" si="11"/>
        <v>-6786.3511362077124</v>
      </c>
      <c r="BP10" s="106">
        <f t="shared" si="11"/>
        <v>-6786.3511362077124</v>
      </c>
      <c r="BQ10" s="106">
        <f t="shared" si="11"/>
        <v>-6786.3511362077124</v>
      </c>
      <c r="BR10" s="106">
        <f t="shared" si="11"/>
        <v>-6786.3511362077124</v>
      </c>
      <c r="BS10" s="106">
        <f t="shared" si="11"/>
        <v>-6786.3511362077124</v>
      </c>
      <c r="BT10" s="106">
        <f t="shared" si="11"/>
        <v>-6786.3511362077124</v>
      </c>
      <c r="BU10" s="106">
        <f t="shared" si="11"/>
        <v>-6786.3511362077124</v>
      </c>
      <c r="BV10" s="106">
        <f t="shared" si="11"/>
        <v>-6786.3511362077124</v>
      </c>
      <c r="BW10" s="108">
        <f t="shared" si="11"/>
        <v>-6786.3511362077124</v>
      </c>
      <c r="BX10" s="107">
        <f t="shared" ref="BX10:CG15" si="12">$C10*BX$6</f>
        <v>-7213.8912577887977</v>
      </c>
      <c r="BY10" s="106">
        <f t="shared" si="12"/>
        <v>-7213.8912577887977</v>
      </c>
      <c r="BZ10" s="106">
        <f t="shared" si="12"/>
        <v>-7213.8912577887977</v>
      </c>
      <c r="CA10" s="106">
        <f t="shared" si="12"/>
        <v>-7213.8912577887977</v>
      </c>
      <c r="CB10" s="106">
        <f t="shared" si="12"/>
        <v>-7213.8912577887977</v>
      </c>
      <c r="CC10" s="106">
        <f t="shared" si="12"/>
        <v>-7213.8912577887977</v>
      </c>
      <c r="CD10" s="106">
        <f t="shared" si="12"/>
        <v>-7213.8912577887977</v>
      </c>
      <c r="CE10" s="106">
        <f t="shared" si="12"/>
        <v>-7213.8912577887977</v>
      </c>
      <c r="CF10" s="106">
        <f t="shared" si="12"/>
        <v>-7213.8912577887977</v>
      </c>
      <c r="CG10" s="106">
        <f t="shared" si="12"/>
        <v>-7213.8912577887977</v>
      </c>
      <c r="CH10" s="106">
        <f t="shared" ref="CH10:CQ15" si="13">$C10*CH$6</f>
        <v>-7213.8912577887977</v>
      </c>
      <c r="CI10" s="108">
        <f t="shared" si="13"/>
        <v>-7213.8912577887977</v>
      </c>
      <c r="CJ10" s="107">
        <f t="shared" si="13"/>
        <v>-7668.3664070294917</v>
      </c>
      <c r="CK10" s="106">
        <f t="shared" si="13"/>
        <v>-7668.3664070294917</v>
      </c>
      <c r="CL10" s="106">
        <f t="shared" si="13"/>
        <v>-7668.3664070294917</v>
      </c>
      <c r="CM10" s="106">
        <f t="shared" si="13"/>
        <v>-7668.3664070294917</v>
      </c>
      <c r="CN10" s="106">
        <f t="shared" si="13"/>
        <v>-7668.3664070294917</v>
      </c>
      <c r="CO10" s="106">
        <f t="shared" si="13"/>
        <v>-7668.3664070294917</v>
      </c>
      <c r="CP10" s="106">
        <f t="shared" si="13"/>
        <v>-7668.3664070294917</v>
      </c>
      <c r="CQ10" s="106">
        <f t="shared" si="13"/>
        <v>-7668.3664070294917</v>
      </c>
      <c r="CR10" s="106">
        <f t="shared" ref="CR10:DA15" si="14">$C10*CR$6</f>
        <v>-7668.3664070294917</v>
      </c>
      <c r="CS10" s="106">
        <f t="shared" si="14"/>
        <v>-7668.3664070294917</v>
      </c>
      <c r="CT10" s="106">
        <f t="shared" si="14"/>
        <v>-7668.3664070294917</v>
      </c>
      <c r="CU10" s="108">
        <f t="shared" si="14"/>
        <v>-7668.3664070294917</v>
      </c>
      <c r="CV10" s="107">
        <f t="shared" si="14"/>
        <v>-8151.4734906723497</v>
      </c>
      <c r="CW10" s="106">
        <f t="shared" si="14"/>
        <v>-8151.4734906723497</v>
      </c>
      <c r="CX10" s="106">
        <f t="shared" si="14"/>
        <v>-8151.4734906723497</v>
      </c>
      <c r="CY10" s="106">
        <f t="shared" si="14"/>
        <v>-8151.4734906723497</v>
      </c>
      <c r="CZ10" s="106">
        <f t="shared" si="14"/>
        <v>-8151.4734906723497</v>
      </c>
      <c r="DA10" s="106">
        <f t="shared" si="14"/>
        <v>-8151.4734906723497</v>
      </c>
      <c r="DB10" s="106">
        <f t="shared" ref="DB10:DK15" si="15">$C10*DB$6</f>
        <v>-8151.4734906723497</v>
      </c>
      <c r="DC10" s="106">
        <f t="shared" si="15"/>
        <v>-8151.4734906723497</v>
      </c>
      <c r="DD10" s="106">
        <f t="shared" si="15"/>
        <v>-8151.4734906723497</v>
      </c>
      <c r="DE10" s="106">
        <f t="shared" si="15"/>
        <v>-8151.4734906723497</v>
      </c>
      <c r="DF10" s="106">
        <f t="shared" si="15"/>
        <v>-8151.4734906723497</v>
      </c>
      <c r="DG10" s="108">
        <f t="shared" si="15"/>
        <v>-8151.4734906723497</v>
      </c>
      <c r="DH10" s="107">
        <f t="shared" si="15"/>
        <v>-8665.0163205847075</v>
      </c>
      <c r="DI10" s="106">
        <f t="shared" si="15"/>
        <v>-8665.0163205847075</v>
      </c>
      <c r="DJ10" s="106">
        <f t="shared" si="15"/>
        <v>-8665.0163205847075</v>
      </c>
      <c r="DK10" s="106">
        <f t="shared" si="15"/>
        <v>-8665.0163205847075</v>
      </c>
      <c r="DL10" s="106">
        <f t="shared" ref="DL10:DS15" si="16">$C10*DL$6</f>
        <v>-8665.0163205847075</v>
      </c>
      <c r="DM10" s="106">
        <f t="shared" si="16"/>
        <v>-8665.0163205847075</v>
      </c>
      <c r="DN10" s="106">
        <f t="shared" si="16"/>
        <v>-8665.0163205847075</v>
      </c>
      <c r="DO10" s="106">
        <f t="shared" si="16"/>
        <v>-8665.0163205847075</v>
      </c>
      <c r="DP10" s="106">
        <f t="shared" si="16"/>
        <v>-8665.0163205847075</v>
      </c>
      <c r="DQ10" s="106">
        <f t="shared" si="16"/>
        <v>-8665.0163205847075</v>
      </c>
      <c r="DR10" s="106">
        <f t="shared" si="16"/>
        <v>-8665.0163205847075</v>
      </c>
      <c r="DS10" s="108">
        <f t="shared" si="16"/>
        <v>-8665.0163205847075</v>
      </c>
    </row>
    <row r="11" spans="1:129" ht="15" x14ac:dyDescent="0.25">
      <c r="B11" s="160" t="s">
        <v>258</v>
      </c>
      <c r="C11" s="833">
        <v>-10000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>
        <f t="shared" si="5"/>
        <v>-10000</v>
      </c>
      <c r="O11" s="535">
        <f t="shared" si="5"/>
        <v>-10000</v>
      </c>
      <c r="P11" s="107">
        <f t="shared" si="6"/>
        <v>-10630</v>
      </c>
      <c r="Q11" s="106">
        <f t="shared" si="6"/>
        <v>-10630</v>
      </c>
      <c r="R11" s="106">
        <f t="shared" si="6"/>
        <v>-10630</v>
      </c>
      <c r="S11" s="106">
        <f t="shared" si="6"/>
        <v>-10630</v>
      </c>
      <c r="T11" s="106">
        <f t="shared" si="6"/>
        <v>-10630</v>
      </c>
      <c r="U11" s="106">
        <f t="shared" si="6"/>
        <v>-10630</v>
      </c>
      <c r="V11" s="106">
        <f t="shared" si="6"/>
        <v>-10630</v>
      </c>
      <c r="W11" s="106">
        <f t="shared" si="6"/>
        <v>-10630</v>
      </c>
      <c r="X11" s="106">
        <f t="shared" si="6"/>
        <v>-10630</v>
      </c>
      <c r="Y11" s="106">
        <f t="shared" si="6"/>
        <v>-10630</v>
      </c>
      <c r="Z11" s="106">
        <f t="shared" si="7"/>
        <v>-10630</v>
      </c>
      <c r="AA11" s="108">
        <f t="shared" si="7"/>
        <v>-10630</v>
      </c>
      <c r="AB11" s="107">
        <f t="shared" si="7"/>
        <v>-11299.689999999999</v>
      </c>
      <c r="AC11" s="106">
        <f t="shared" si="7"/>
        <v>-11299.689999999999</v>
      </c>
      <c r="AD11" s="106">
        <f t="shared" si="7"/>
        <v>-11299.689999999999</v>
      </c>
      <c r="AE11" s="106">
        <f t="shared" si="7"/>
        <v>-11299.689999999999</v>
      </c>
      <c r="AF11" s="106">
        <f t="shared" si="7"/>
        <v>-11299.689999999999</v>
      </c>
      <c r="AG11" s="106">
        <f t="shared" si="7"/>
        <v>-11299.689999999999</v>
      </c>
      <c r="AH11" s="106">
        <f t="shared" si="7"/>
        <v>-11299.689999999999</v>
      </c>
      <c r="AI11" s="106">
        <f t="shared" si="7"/>
        <v>-11299.689999999999</v>
      </c>
      <c r="AJ11" s="106">
        <f t="shared" si="8"/>
        <v>-11299.689999999999</v>
      </c>
      <c r="AK11" s="106">
        <f t="shared" si="8"/>
        <v>-11299.689999999999</v>
      </c>
      <c r="AL11" s="106">
        <f t="shared" si="8"/>
        <v>-11299.689999999999</v>
      </c>
      <c r="AM11" s="108">
        <f t="shared" si="8"/>
        <v>-11299.689999999999</v>
      </c>
      <c r="AN11" s="107">
        <f t="shared" si="8"/>
        <v>-12011.570469999997</v>
      </c>
      <c r="AO11" s="106">
        <f t="shared" si="8"/>
        <v>-12011.570469999997</v>
      </c>
      <c r="AP11" s="106">
        <f t="shared" si="8"/>
        <v>-12011.570469999997</v>
      </c>
      <c r="AQ11" s="106">
        <f t="shared" si="8"/>
        <v>-12011.570469999997</v>
      </c>
      <c r="AR11" s="106">
        <f t="shared" si="8"/>
        <v>-12011.570469999997</v>
      </c>
      <c r="AS11" s="106">
        <f t="shared" si="8"/>
        <v>-12011.570469999997</v>
      </c>
      <c r="AT11" s="106">
        <f t="shared" si="9"/>
        <v>-12011.570469999997</v>
      </c>
      <c r="AU11" s="106">
        <f t="shared" si="9"/>
        <v>-12011.570469999997</v>
      </c>
      <c r="AV11" s="106">
        <f t="shared" si="9"/>
        <v>-12011.570469999997</v>
      </c>
      <c r="AW11" s="106">
        <f t="shared" si="9"/>
        <v>-12011.570469999997</v>
      </c>
      <c r="AX11" s="106">
        <f t="shared" si="9"/>
        <v>-12011.570469999997</v>
      </c>
      <c r="AY11" s="108">
        <f t="shared" si="9"/>
        <v>-12011.570469999997</v>
      </c>
      <c r="AZ11" s="107">
        <f t="shared" si="9"/>
        <v>-12768.299409609996</v>
      </c>
      <c r="BA11" s="106">
        <f t="shared" si="9"/>
        <v>-12768.299409609996</v>
      </c>
      <c r="BB11" s="106">
        <f t="shared" si="9"/>
        <v>-12768.299409609996</v>
      </c>
      <c r="BC11" s="106">
        <f t="shared" si="9"/>
        <v>-12768.299409609996</v>
      </c>
      <c r="BD11" s="106">
        <f t="shared" si="10"/>
        <v>-12768.299409609996</v>
      </c>
      <c r="BE11" s="106">
        <f t="shared" si="10"/>
        <v>-12768.299409609996</v>
      </c>
      <c r="BF11" s="106">
        <f t="shared" si="10"/>
        <v>-12768.299409609996</v>
      </c>
      <c r="BG11" s="106">
        <f t="shared" si="10"/>
        <v>-12768.299409609996</v>
      </c>
      <c r="BH11" s="106">
        <f t="shared" si="10"/>
        <v>-12768.299409609996</v>
      </c>
      <c r="BI11" s="106">
        <f t="shared" si="10"/>
        <v>-12768.299409609996</v>
      </c>
      <c r="BJ11" s="106">
        <f t="shared" si="10"/>
        <v>-12768.299409609996</v>
      </c>
      <c r="BK11" s="108">
        <f t="shared" si="10"/>
        <v>-12768.299409609996</v>
      </c>
      <c r="BL11" s="107">
        <f t="shared" si="10"/>
        <v>-13572.702272415425</v>
      </c>
      <c r="BM11" s="106">
        <f t="shared" si="10"/>
        <v>-13572.702272415425</v>
      </c>
      <c r="BN11" s="106">
        <f t="shared" si="11"/>
        <v>-13572.702272415425</v>
      </c>
      <c r="BO11" s="106">
        <f t="shared" si="11"/>
        <v>-13572.702272415425</v>
      </c>
      <c r="BP11" s="106">
        <f t="shared" si="11"/>
        <v>-13572.702272415425</v>
      </c>
      <c r="BQ11" s="106">
        <f t="shared" si="11"/>
        <v>-13572.702272415425</v>
      </c>
      <c r="BR11" s="106">
        <f t="shared" si="11"/>
        <v>-13572.702272415425</v>
      </c>
      <c r="BS11" s="106">
        <f t="shared" si="11"/>
        <v>-13572.702272415425</v>
      </c>
      <c r="BT11" s="106">
        <f t="shared" si="11"/>
        <v>-13572.702272415425</v>
      </c>
      <c r="BU11" s="106">
        <f t="shared" si="11"/>
        <v>-13572.702272415425</v>
      </c>
      <c r="BV11" s="106">
        <f t="shared" si="11"/>
        <v>-13572.702272415425</v>
      </c>
      <c r="BW11" s="108">
        <f t="shared" si="11"/>
        <v>-13572.702272415425</v>
      </c>
      <c r="BX11" s="107">
        <f t="shared" si="12"/>
        <v>-14427.782515577595</v>
      </c>
      <c r="BY11" s="106">
        <f t="shared" si="12"/>
        <v>-14427.782515577595</v>
      </c>
      <c r="BZ11" s="106">
        <f t="shared" si="12"/>
        <v>-14427.782515577595</v>
      </c>
      <c r="CA11" s="106">
        <f t="shared" si="12"/>
        <v>-14427.782515577595</v>
      </c>
      <c r="CB11" s="106">
        <f t="shared" si="12"/>
        <v>-14427.782515577595</v>
      </c>
      <c r="CC11" s="106">
        <f t="shared" si="12"/>
        <v>-14427.782515577595</v>
      </c>
      <c r="CD11" s="106">
        <f t="shared" si="12"/>
        <v>-14427.782515577595</v>
      </c>
      <c r="CE11" s="106">
        <f t="shared" si="12"/>
        <v>-14427.782515577595</v>
      </c>
      <c r="CF11" s="106">
        <f t="shared" si="12"/>
        <v>-14427.782515577595</v>
      </c>
      <c r="CG11" s="106">
        <f t="shared" si="12"/>
        <v>-14427.782515577595</v>
      </c>
      <c r="CH11" s="106">
        <f t="shared" si="13"/>
        <v>-14427.782515577595</v>
      </c>
      <c r="CI11" s="108">
        <f t="shared" si="13"/>
        <v>-14427.782515577595</v>
      </c>
      <c r="CJ11" s="107">
        <f t="shared" si="13"/>
        <v>-15336.732814058983</v>
      </c>
      <c r="CK11" s="106">
        <f t="shared" si="13"/>
        <v>-15336.732814058983</v>
      </c>
      <c r="CL11" s="106">
        <f t="shared" si="13"/>
        <v>-15336.732814058983</v>
      </c>
      <c r="CM11" s="106">
        <f t="shared" si="13"/>
        <v>-15336.732814058983</v>
      </c>
      <c r="CN11" s="106">
        <f t="shared" si="13"/>
        <v>-15336.732814058983</v>
      </c>
      <c r="CO11" s="106">
        <f t="shared" si="13"/>
        <v>-15336.732814058983</v>
      </c>
      <c r="CP11" s="106">
        <f t="shared" si="13"/>
        <v>-15336.732814058983</v>
      </c>
      <c r="CQ11" s="106">
        <f t="shared" si="13"/>
        <v>-15336.732814058983</v>
      </c>
      <c r="CR11" s="106">
        <f t="shared" si="14"/>
        <v>-15336.732814058983</v>
      </c>
      <c r="CS11" s="106">
        <f t="shared" si="14"/>
        <v>-15336.732814058983</v>
      </c>
      <c r="CT11" s="106">
        <f t="shared" si="14"/>
        <v>-15336.732814058983</v>
      </c>
      <c r="CU11" s="108">
        <f t="shared" si="14"/>
        <v>-15336.732814058983</v>
      </c>
      <c r="CV11" s="107">
        <f t="shared" si="14"/>
        <v>-16302.946981344699</v>
      </c>
      <c r="CW11" s="106">
        <f t="shared" si="14"/>
        <v>-16302.946981344699</v>
      </c>
      <c r="CX11" s="106">
        <f t="shared" si="14"/>
        <v>-16302.946981344699</v>
      </c>
      <c r="CY11" s="106">
        <f t="shared" si="14"/>
        <v>-16302.946981344699</v>
      </c>
      <c r="CZ11" s="106">
        <f t="shared" si="14"/>
        <v>-16302.946981344699</v>
      </c>
      <c r="DA11" s="106">
        <f t="shared" si="14"/>
        <v>-16302.946981344699</v>
      </c>
      <c r="DB11" s="106">
        <f t="shared" si="15"/>
        <v>-16302.946981344699</v>
      </c>
      <c r="DC11" s="106">
        <f t="shared" si="15"/>
        <v>-16302.946981344699</v>
      </c>
      <c r="DD11" s="106">
        <f t="shared" si="15"/>
        <v>-16302.946981344699</v>
      </c>
      <c r="DE11" s="106">
        <f t="shared" si="15"/>
        <v>-16302.946981344699</v>
      </c>
      <c r="DF11" s="106">
        <f t="shared" si="15"/>
        <v>-16302.946981344699</v>
      </c>
      <c r="DG11" s="108">
        <f t="shared" si="15"/>
        <v>-16302.946981344699</v>
      </c>
      <c r="DH11" s="107">
        <f t="shared" si="15"/>
        <v>-17330.032641169415</v>
      </c>
      <c r="DI11" s="106">
        <f t="shared" si="15"/>
        <v>-17330.032641169415</v>
      </c>
      <c r="DJ11" s="106">
        <f t="shared" si="15"/>
        <v>-17330.032641169415</v>
      </c>
      <c r="DK11" s="106">
        <f t="shared" si="15"/>
        <v>-17330.032641169415</v>
      </c>
      <c r="DL11" s="106">
        <f t="shared" si="16"/>
        <v>-17330.032641169415</v>
      </c>
      <c r="DM11" s="106">
        <f t="shared" si="16"/>
        <v>-17330.032641169415</v>
      </c>
      <c r="DN11" s="106">
        <f t="shared" si="16"/>
        <v>-17330.032641169415</v>
      </c>
      <c r="DO11" s="106">
        <f t="shared" si="16"/>
        <v>-17330.032641169415</v>
      </c>
      <c r="DP11" s="106">
        <f t="shared" si="16"/>
        <v>-17330.032641169415</v>
      </c>
      <c r="DQ11" s="106">
        <f t="shared" si="16"/>
        <v>-17330.032641169415</v>
      </c>
      <c r="DR11" s="106">
        <f t="shared" si="16"/>
        <v>-17330.032641169415</v>
      </c>
      <c r="DS11" s="108">
        <f t="shared" si="16"/>
        <v>-17330.032641169415</v>
      </c>
    </row>
    <row r="12" spans="1:129" ht="15" x14ac:dyDescent="0.25">
      <c r="B12" s="160" t="s">
        <v>99</v>
      </c>
      <c r="C12" s="833">
        <v>-5000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>
        <f t="shared" si="5"/>
        <v>-5000</v>
      </c>
      <c r="O12" s="535">
        <f t="shared" si="5"/>
        <v>-5000</v>
      </c>
      <c r="P12" s="107">
        <f t="shared" si="6"/>
        <v>-5315</v>
      </c>
      <c r="Q12" s="106">
        <f t="shared" si="6"/>
        <v>-5315</v>
      </c>
      <c r="R12" s="106">
        <f t="shared" si="6"/>
        <v>-5315</v>
      </c>
      <c r="S12" s="106">
        <f t="shared" si="6"/>
        <v>-5315</v>
      </c>
      <c r="T12" s="106">
        <f t="shared" si="6"/>
        <v>-5315</v>
      </c>
      <c r="U12" s="106">
        <f t="shared" si="6"/>
        <v>-5315</v>
      </c>
      <c r="V12" s="106">
        <f t="shared" si="6"/>
        <v>-5315</v>
      </c>
      <c r="W12" s="106">
        <f t="shared" si="6"/>
        <v>-5315</v>
      </c>
      <c r="X12" s="106">
        <f t="shared" si="6"/>
        <v>-5315</v>
      </c>
      <c r="Y12" s="106">
        <f t="shared" si="6"/>
        <v>-5315</v>
      </c>
      <c r="Z12" s="106">
        <f t="shared" si="7"/>
        <v>-5315</v>
      </c>
      <c r="AA12" s="108">
        <f t="shared" si="7"/>
        <v>-5315</v>
      </c>
      <c r="AB12" s="107">
        <f t="shared" si="7"/>
        <v>-5649.8449999999993</v>
      </c>
      <c r="AC12" s="106">
        <f t="shared" si="7"/>
        <v>-5649.8449999999993</v>
      </c>
      <c r="AD12" s="106">
        <f t="shared" si="7"/>
        <v>-5649.8449999999993</v>
      </c>
      <c r="AE12" s="106">
        <f t="shared" si="7"/>
        <v>-5649.8449999999993</v>
      </c>
      <c r="AF12" s="106">
        <f t="shared" si="7"/>
        <v>-5649.8449999999993</v>
      </c>
      <c r="AG12" s="106">
        <f t="shared" si="7"/>
        <v>-5649.8449999999993</v>
      </c>
      <c r="AH12" s="106">
        <f t="shared" si="7"/>
        <v>-5649.8449999999993</v>
      </c>
      <c r="AI12" s="106">
        <f t="shared" si="7"/>
        <v>-5649.8449999999993</v>
      </c>
      <c r="AJ12" s="106">
        <f t="shared" si="8"/>
        <v>-5649.8449999999993</v>
      </c>
      <c r="AK12" s="106">
        <f t="shared" si="8"/>
        <v>-5649.8449999999993</v>
      </c>
      <c r="AL12" s="106">
        <f t="shared" si="8"/>
        <v>-5649.8449999999993</v>
      </c>
      <c r="AM12" s="108">
        <f t="shared" si="8"/>
        <v>-5649.8449999999993</v>
      </c>
      <c r="AN12" s="107">
        <f t="shared" si="8"/>
        <v>-6005.7852349999985</v>
      </c>
      <c r="AO12" s="106">
        <f t="shared" si="8"/>
        <v>-6005.7852349999985</v>
      </c>
      <c r="AP12" s="106">
        <f t="shared" si="8"/>
        <v>-6005.7852349999985</v>
      </c>
      <c r="AQ12" s="106">
        <f t="shared" si="8"/>
        <v>-6005.7852349999985</v>
      </c>
      <c r="AR12" s="106">
        <f t="shared" si="8"/>
        <v>-6005.7852349999985</v>
      </c>
      <c r="AS12" s="106">
        <f t="shared" si="8"/>
        <v>-6005.7852349999985</v>
      </c>
      <c r="AT12" s="106">
        <f t="shared" si="9"/>
        <v>-6005.7852349999985</v>
      </c>
      <c r="AU12" s="106">
        <f t="shared" si="9"/>
        <v>-6005.7852349999985</v>
      </c>
      <c r="AV12" s="106">
        <f t="shared" si="9"/>
        <v>-6005.7852349999985</v>
      </c>
      <c r="AW12" s="106">
        <f t="shared" si="9"/>
        <v>-6005.7852349999985</v>
      </c>
      <c r="AX12" s="106">
        <f t="shared" si="9"/>
        <v>-6005.7852349999985</v>
      </c>
      <c r="AY12" s="108">
        <f t="shared" si="9"/>
        <v>-6005.7852349999985</v>
      </c>
      <c r="AZ12" s="107">
        <f t="shared" si="9"/>
        <v>-6384.1497048049978</v>
      </c>
      <c r="BA12" s="106">
        <f t="shared" si="9"/>
        <v>-6384.1497048049978</v>
      </c>
      <c r="BB12" s="106">
        <f t="shared" si="9"/>
        <v>-6384.1497048049978</v>
      </c>
      <c r="BC12" s="106">
        <f t="shared" si="9"/>
        <v>-6384.1497048049978</v>
      </c>
      <c r="BD12" s="106">
        <f t="shared" si="10"/>
        <v>-6384.1497048049978</v>
      </c>
      <c r="BE12" s="106">
        <f t="shared" si="10"/>
        <v>-6384.1497048049978</v>
      </c>
      <c r="BF12" s="106">
        <f t="shared" si="10"/>
        <v>-6384.1497048049978</v>
      </c>
      <c r="BG12" s="106">
        <f t="shared" si="10"/>
        <v>-6384.1497048049978</v>
      </c>
      <c r="BH12" s="106">
        <f t="shared" si="10"/>
        <v>-6384.1497048049978</v>
      </c>
      <c r="BI12" s="106">
        <f t="shared" si="10"/>
        <v>-6384.1497048049978</v>
      </c>
      <c r="BJ12" s="106">
        <f t="shared" si="10"/>
        <v>-6384.1497048049978</v>
      </c>
      <c r="BK12" s="108">
        <f t="shared" si="10"/>
        <v>-6384.1497048049978</v>
      </c>
      <c r="BL12" s="107">
        <f t="shared" si="10"/>
        <v>-6786.3511362077124</v>
      </c>
      <c r="BM12" s="106">
        <f t="shared" si="10"/>
        <v>-6786.3511362077124</v>
      </c>
      <c r="BN12" s="106">
        <f t="shared" si="11"/>
        <v>-6786.3511362077124</v>
      </c>
      <c r="BO12" s="106">
        <f t="shared" si="11"/>
        <v>-6786.3511362077124</v>
      </c>
      <c r="BP12" s="106">
        <f t="shared" si="11"/>
        <v>-6786.3511362077124</v>
      </c>
      <c r="BQ12" s="106">
        <f t="shared" si="11"/>
        <v>-6786.3511362077124</v>
      </c>
      <c r="BR12" s="106">
        <f t="shared" si="11"/>
        <v>-6786.3511362077124</v>
      </c>
      <c r="BS12" s="106">
        <f t="shared" si="11"/>
        <v>-6786.3511362077124</v>
      </c>
      <c r="BT12" s="106">
        <f t="shared" si="11"/>
        <v>-6786.3511362077124</v>
      </c>
      <c r="BU12" s="106">
        <f t="shared" si="11"/>
        <v>-6786.3511362077124</v>
      </c>
      <c r="BV12" s="106">
        <f t="shared" si="11"/>
        <v>-6786.3511362077124</v>
      </c>
      <c r="BW12" s="108">
        <f t="shared" si="11"/>
        <v>-6786.3511362077124</v>
      </c>
      <c r="BX12" s="107">
        <f t="shared" si="12"/>
        <v>-7213.8912577887977</v>
      </c>
      <c r="BY12" s="106">
        <f t="shared" si="12"/>
        <v>-7213.8912577887977</v>
      </c>
      <c r="BZ12" s="106">
        <f t="shared" si="12"/>
        <v>-7213.8912577887977</v>
      </c>
      <c r="CA12" s="106">
        <f t="shared" si="12"/>
        <v>-7213.8912577887977</v>
      </c>
      <c r="CB12" s="106">
        <f t="shared" si="12"/>
        <v>-7213.8912577887977</v>
      </c>
      <c r="CC12" s="106">
        <f t="shared" si="12"/>
        <v>-7213.8912577887977</v>
      </c>
      <c r="CD12" s="106">
        <f t="shared" si="12"/>
        <v>-7213.8912577887977</v>
      </c>
      <c r="CE12" s="106">
        <f t="shared" si="12"/>
        <v>-7213.8912577887977</v>
      </c>
      <c r="CF12" s="106">
        <f t="shared" si="12"/>
        <v>-7213.8912577887977</v>
      </c>
      <c r="CG12" s="106">
        <f t="shared" si="12"/>
        <v>-7213.8912577887977</v>
      </c>
      <c r="CH12" s="106">
        <f t="shared" si="13"/>
        <v>-7213.8912577887977</v>
      </c>
      <c r="CI12" s="108">
        <f t="shared" si="13"/>
        <v>-7213.8912577887977</v>
      </c>
      <c r="CJ12" s="107">
        <f t="shared" si="13"/>
        <v>-7668.3664070294917</v>
      </c>
      <c r="CK12" s="106">
        <f t="shared" si="13"/>
        <v>-7668.3664070294917</v>
      </c>
      <c r="CL12" s="106">
        <f t="shared" si="13"/>
        <v>-7668.3664070294917</v>
      </c>
      <c r="CM12" s="106">
        <f t="shared" si="13"/>
        <v>-7668.3664070294917</v>
      </c>
      <c r="CN12" s="106">
        <f t="shared" si="13"/>
        <v>-7668.3664070294917</v>
      </c>
      <c r="CO12" s="106">
        <f t="shared" si="13"/>
        <v>-7668.3664070294917</v>
      </c>
      <c r="CP12" s="106">
        <f t="shared" si="13"/>
        <v>-7668.3664070294917</v>
      </c>
      <c r="CQ12" s="106">
        <f t="shared" si="13"/>
        <v>-7668.3664070294917</v>
      </c>
      <c r="CR12" s="106">
        <f t="shared" si="14"/>
        <v>-7668.3664070294917</v>
      </c>
      <c r="CS12" s="106">
        <f t="shared" si="14"/>
        <v>-7668.3664070294917</v>
      </c>
      <c r="CT12" s="106">
        <f t="shared" si="14"/>
        <v>-7668.3664070294917</v>
      </c>
      <c r="CU12" s="108">
        <f t="shared" si="14"/>
        <v>-7668.3664070294917</v>
      </c>
      <c r="CV12" s="107">
        <f t="shared" si="14"/>
        <v>-8151.4734906723497</v>
      </c>
      <c r="CW12" s="106">
        <f t="shared" si="14"/>
        <v>-8151.4734906723497</v>
      </c>
      <c r="CX12" s="106">
        <f t="shared" si="14"/>
        <v>-8151.4734906723497</v>
      </c>
      <c r="CY12" s="106">
        <f t="shared" si="14"/>
        <v>-8151.4734906723497</v>
      </c>
      <c r="CZ12" s="106">
        <f t="shared" si="14"/>
        <v>-8151.4734906723497</v>
      </c>
      <c r="DA12" s="106">
        <f t="shared" si="14"/>
        <v>-8151.4734906723497</v>
      </c>
      <c r="DB12" s="106">
        <f t="shared" si="15"/>
        <v>-8151.4734906723497</v>
      </c>
      <c r="DC12" s="106">
        <f t="shared" si="15"/>
        <v>-8151.4734906723497</v>
      </c>
      <c r="DD12" s="106">
        <f t="shared" si="15"/>
        <v>-8151.4734906723497</v>
      </c>
      <c r="DE12" s="106">
        <f t="shared" si="15"/>
        <v>-8151.4734906723497</v>
      </c>
      <c r="DF12" s="106">
        <f t="shared" si="15"/>
        <v>-8151.4734906723497</v>
      </c>
      <c r="DG12" s="108">
        <f t="shared" si="15"/>
        <v>-8151.4734906723497</v>
      </c>
      <c r="DH12" s="107">
        <f t="shared" si="15"/>
        <v>-8665.0163205847075</v>
      </c>
      <c r="DI12" s="106">
        <f t="shared" si="15"/>
        <v>-8665.0163205847075</v>
      </c>
      <c r="DJ12" s="106">
        <f t="shared" si="15"/>
        <v>-8665.0163205847075</v>
      </c>
      <c r="DK12" s="106">
        <f t="shared" si="15"/>
        <v>-8665.0163205847075</v>
      </c>
      <c r="DL12" s="106">
        <f t="shared" si="16"/>
        <v>-8665.0163205847075</v>
      </c>
      <c r="DM12" s="106">
        <f t="shared" si="16"/>
        <v>-8665.0163205847075</v>
      </c>
      <c r="DN12" s="106">
        <f t="shared" si="16"/>
        <v>-8665.0163205847075</v>
      </c>
      <c r="DO12" s="106">
        <f t="shared" si="16"/>
        <v>-8665.0163205847075</v>
      </c>
      <c r="DP12" s="106">
        <f t="shared" si="16"/>
        <v>-8665.0163205847075</v>
      </c>
      <c r="DQ12" s="106">
        <f t="shared" si="16"/>
        <v>-8665.0163205847075</v>
      </c>
      <c r="DR12" s="106">
        <f t="shared" si="16"/>
        <v>-8665.0163205847075</v>
      </c>
      <c r="DS12" s="108">
        <f t="shared" si="16"/>
        <v>-8665.0163205847075</v>
      </c>
    </row>
    <row r="13" spans="1:129" ht="15" x14ac:dyDescent="0.25">
      <c r="B13" s="160" t="s">
        <v>4</v>
      </c>
      <c r="C13" s="833">
        <v>-1500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>
        <f t="shared" si="5"/>
        <v>-1500</v>
      </c>
      <c r="O13" s="535">
        <f t="shared" si="5"/>
        <v>-1500</v>
      </c>
      <c r="P13" s="107">
        <f t="shared" si="6"/>
        <v>-1594.5</v>
      </c>
      <c r="Q13" s="106">
        <f t="shared" si="6"/>
        <v>-1594.5</v>
      </c>
      <c r="R13" s="106">
        <f t="shared" si="6"/>
        <v>-1594.5</v>
      </c>
      <c r="S13" s="106">
        <f t="shared" si="6"/>
        <v>-1594.5</v>
      </c>
      <c r="T13" s="106">
        <f t="shared" si="6"/>
        <v>-1594.5</v>
      </c>
      <c r="U13" s="106">
        <f t="shared" si="6"/>
        <v>-1594.5</v>
      </c>
      <c r="V13" s="106">
        <f t="shared" si="6"/>
        <v>-1594.5</v>
      </c>
      <c r="W13" s="106">
        <f t="shared" si="6"/>
        <v>-1594.5</v>
      </c>
      <c r="X13" s="106">
        <f t="shared" si="6"/>
        <v>-1594.5</v>
      </c>
      <c r="Y13" s="106">
        <f t="shared" si="6"/>
        <v>-1594.5</v>
      </c>
      <c r="Z13" s="106">
        <f t="shared" si="7"/>
        <v>-1594.5</v>
      </c>
      <c r="AA13" s="108">
        <f t="shared" si="7"/>
        <v>-1594.5</v>
      </c>
      <c r="AB13" s="107">
        <f t="shared" si="7"/>
        <v>-1694.9534999999996</v>
      </c>
      <c r="AC13" s="106">
        <f t="shared" si="7"/>
        <v>-1694.9534999999996</v>
      </c>
      <c r="AD13" s="106">
        <f t="shared" si="7"/>
        <v>-1694.9534999999996</v>
      </c>
      <c r="AE13" s="106">
        <f t="shared" si="7"/>
        <v>-1694.9534999999996</v>
      </c>
      <c r="AF13" s="106">
        <f t="shared" si="7"/>
        <v>-1694.9534999999996</v>
      </c>
      <c r="AG13" s="106">
        <f t="shared" si="7"/>
        <v>-1694.9534999999996</v>
      </c>
      <c r="AH13" s="106">
        <f t="shared" si="7"/>
        <v>-1694.9534999999996</v>
      </c>
      <c r="AI13" s="106">
        <f t="shared" si="7"/>
        <v>-1694.9534999999996</v>
      </c>
      <c r="AJ13" s="106">
        <f t="shared" si="8"/>
        <v>-1694.9534999999996</v>
      </c>
      <c r="AK13" s="106">
        <f t="shared" si="8"/>
        <v>-1694.9534999999996</v>
      </c>
      <c r="AL13" s="106">
        <f t="shared" si="8"/>
        <v>-1694.9534999999996</v>
      </c>
      <c r="AM13" s="108">
        <f t="shared" si="8"/>
        <v>-1694.9534999999996</v>
      </c>
      <c r="AN13" s="107">
        <f t="shared" si="8"/>
        <v>-1801.7355704999995</v>
      </c>
      <c r="AO13" s="106">
        <f t="shared" si="8"/>
        <v>-1801.7355704999995</v>
      </c>
      <c r="AP13" s="106">
        <f t="shared" si="8"/>
        <v>-1801.7355704999995</v>
      </c>
      <c r="AQ13" s="106">
        <f t="shared" si="8"/>
        <v>-1801.7355704999995</v>
      </c>
      <c r="AR13" s="106">
        <f t="shared" si="8"/>
        <v>-1801.7355704999995</v>
      </c>
      <c r="AS13" s="106">
        <f t="shared" si="8"/>
        <v>-1801.7355704999995</v>
      </c>
      <c r="AT13" s="106">
        <f t="shared" si="9"/>
        <v>-1801.7355704999995</v>
      </c>
      <c r="AU13" s="106">
        <f t="shared" si="9"/>
        <v>-1801.7355704999995</v>
      </c>
      <c r="AV13" s="106">
        <f t="shared" si="9"/>
        <v>-1801.7355704999995</v>
      </c>
      <c r="AW13" s="106">
        <f t="shared" si="9"/>
        <v>-1801.7355704999995</v>
      </c>
      <c r="AX13" s="106">
        <f t="shared" si="9"/>
        <v>-1801.7355704999995</v>
      </c>
      <c r="AY13" s="108">
        <f t="shared" si="9"/>
        <v>-1801.7355704999995</v>
      </c>
      <c r="AZ13" s="107">
        <f t="shared" si="9"/>
        <v>-1915.2449114414994</v>
      </c>
      <c r="BA13" s="106">
        <f t="shared" si="9"/>
        <v>-1915.2449114414994</v>
      </c>
      <c r="BB13" s="106">
        <f t="shared" si="9"/>
        <v>-1915.2449114414994</v>
      </c>
      <c r="BC13" s="106">
        <f t="shared" si="9"/>
        <v>-1915.2449114414994</v>
      </c>
      <c r="BD13" s="106">
        <f t="shared" si="10"/>
        <v>-1915.2449114414994</v>
      </c>
      <c r="BE13" s="106">
        <f t="shared" si="10"/>
        <v>-1915.2449114414994</v>
      </c>
      <c r="BF13" s="106">
        <f t="shared" si="10"/>
        <v>-1915.2449114414994</v>
      </c>
      <c r="BG13" s="106">
        <f t="shared" si="10"/>
        <v>-1915.2449114414994</v>
      </c>
      <c r="BH13" s="106">
        <f t="shared" si="10"/>
        <v>-1915.2449114414994</v>
      </c>
      <c r="BI13" s="106">
        <f t="shared" si="10"/>
        <v>-1915.2449114414994</v>
      </c>
      <c r="BJ13" s="106">
        <f t="shared" si="10"/>
        <v>-1915.2449114414994</v>
      </c>
      <c r="BK13" s="108">
        <f t="shared" si="10"/>
        <v>-1915.2449114414994</v>
      </c>
      <c r="BL13" s="107">
        <f t="shared" si="10"/>
        <v>-2035.9053408623138</v>
      </c>
      <c r="BM13" s="106">
        <f t="shared" si="10"/>
        <v>-2035.9053408623138</v>
      </c>
      <c r="BN13" s="106">
        <f t="shared" si="11"/>
        <v>-2035.9053408623138</v>
      </c>
      <c r="BO13" s="106">
        <f t="shared" si="11"/>
        <v>-2035.9053408623138</v>
      </c>
      <c r="BP13" s="106">
        <f t="shared" si="11"/>
        <v>-2035.9053408623138</v>
      </c>
      <c r="BQ13" s="106">
        <f t="shared" si="11"/>
        <v>-2035.9053408623138</v>
      </c>
      <c r="BR13" s="106">
        <f t="shared" si="11"/>
        <v>-2035.9053408623138</v>
      </c>
      <c r="BS13" s="106">
        <f t="shared" si="11"/>
        <v>-2035.9053408623138</v>
      </c>
      <c r="BT13" s="106">
        <f t="shared" si="11"/>
        <v>-2035.9053408623138</v>
      </c>
      <c r="BU13" s="106">
        <f t="shared" si="11"/>
        <v>-2035.9053408623138</v>
      </c>
      <c r="BV13" s="106">
        <f t="shared" si="11"/>
        <v>-2035.9053408623138</v>
      </c>
      <c r="BW13" s="108">
        <f t="shared" si="11"/>
        <v>-2035.9053408623138</v>
      </c>
      <c r="BX13" s="107">
        <f t="shared" si="12"/>
        <v>-2164.1673773366392</v>
      </c>
      <c r="BY13" s="106">
        <f t="shared" si="12"/>
        <v>-2164.1673773366392</v>
      </c>
      <c r="BZ13" s="106">
        <f t="shared" si="12"/>
        <v>-2164.1673773366392</v>
      </c>
      <c r="CA13" s="106">
        <f t="shared" si="12"/>
        <v>-2164.1673773366392</v>
      </c>
      <c r="CB13" s="106">
        <f t="shared" si="12"/>
        <v>-2164.1673773366392</v>
      </c>
      <c r="CC13" s="106">
        <f t="shared" si="12"/>
        <v>-2164.1673773366392</v>
      </c>
      <c r="CD13" s="106">
        <f t="shared" si="12"/>
        <v>-2164.1673773366392</v>
      </c>
      <c r="CE13" s="106">
        <f t="shared" si="12"/>
        <v>-2164.1673773366392</v>
      </c>
      <c r="CF13" s="106">
        <f t="shared" si="12"/>
        <v>-2164.1673773366392</v>
      </c>
      <c r="CG13" s="106">
        <f t="shared" si="12"/>
        <v>-2164.1673773366392</v>
      </c>
      <c r="CH13" s="106">
        <f t="shared" si="13"/>
        <v>-2164.1673773366392</v>
      </c>
      <c r="CI13" s="108">
        <f t="shared" si="13"/>
        <v>-2164.1673773366392</v>
      </c>
      <c r="CJ13" s="107">
        <f t="shared" si="13"/>
        <v>-2300.5099221088476</v>
      </c>
      <c r="CK13" s="106">
        <f t="shared" si="13"/>
        <v>-2300.5099221088476</v>
      </c>
      <c r="CL13" s="106">
        <f t="shared" si="13"/>
        <v>-2300.5099221088476</v>
      </c>
      <c r="CM13" s="106">
        <f t="shared" si="13"/>
        <v>-2300.5099221088476</v>
      </c>
      <c r="CN13" s="106">
        <f t="shared" si="13"/>
        <v>-2300.5099221088476</v>
      </c>
      <c r="CO13" s="106">
        <f t="shared" si="13"/>
        <v>-2300.5099221088476</v>
      </c>
      <c r="CP13" s="106">
        <f t="shared" si="13"/>
        <v>-2300.5099221088476</v>
      </c>
      <c r="CQ13" s="106">
        <f t="shared" si="13"/>
        <v>-2300.5099221088476</v>
      </c>
      <c r="CR13" s="106">
        <f t="shared" si="14"/>
        <v>-2300.5099221088476</v>
      </c>
      <c r="CS13" s="106">
        <f t="shared" si="14"/>
        <v>-2300.5099221088476</v>
      </c>
      <c r="CT13" s="106">
        <f t="shared" si="14"/>
        <v>-2300.5099221088476</v>
      </c>
      <c r="CU13" s="108">
        <f t="shared" si="14"/>
        <v>-2300.5099221088476</v>
      </c>
      <c r="CV13" s="107">
        <f t="shared" si="14"/>
        <v>-2445.442047201705</v>
      </c>
      <c r="CW13" s="106">
        <f t="shared" si="14"/>
        <v>-2445.442047201705</v>
      </c>
      <c r="CX13" s="106">
        <f t="shared" si="14"/>
        <v>-2445.442047201705</v>
      </c>
      <c r="CY13" s="106">
        <f t="shared" si="14"/>
        <v>-2445.442047201705</v>
      </c>
      <c r="CZ13" s="106">
        <f t="shared" si="14"/>
        <v>-2445.442047201705</v>
      </c>
      <c r="DA13" s="106">
        <f t="shared" si="14"/>
        <v>-2445.442047201705</v>
      </c>
      <c r="DB13" s="106">
        <f t="shared" si="15"/>
        <v>-2445.442047201705</v>
      </c>
      <c r="DC13" s="106">
        <f t="shared" si="15"/>
        <v>-2445.442047201705</v>
      </c>
      <c r="DD13" s="106">
        <f t="shared" si="15"/>
        <v>-2445.442047201705</v>
      </c>
      <c r="DE13" s="106">
        <f t="shared" si="15"/>
        <v>-2445.442047201705</v>
      </c>
      <c r="DF13" s="106">
        <f t="shared" si="15"/>
        <v>-2445.442047201705</v>
      </c>
      <c r="DG13" s="108">
        <f t="shared" si="15"/>
        <v>-2445.442047201705</v>
      </c>
      <c r="DH13" s="107">
        <f t="shared" si="15"/>
        <v>-2599.5048961754123</v>
      </c>
      <c r="DI13" s="106">
        <f t="shared" si="15"/>
        <v>-2599.5048961754123</v>
      </c>
      <c r="DJ13" s="106">
        <f t="shared" si="15"/>
        <v>-2599.5048961754123</v>
      </c>
      <c r="DK13" s="106">
        <f t="shared" si="15"/>
        <v>-2599.5048961754123</v>
      </c>
      <c r="DL13" s="106">
        <f t="shared" si="16"/>
        <v>-2599.5048961754123</v>
      </c>
      <c r="DM13" s="106">
        <f t="shared" si="16"/>
        <v>-2599.5048961754123</v>
      </c>
      <c r="DN13" s="106">
        <f t="shared" si="16"/>
        <v>-2599.5048961754123</v>
      </c>
      <c r="DO13" s="106">
        <f t="shared" si="16"/>
        <v>-2599.5048961754123</v>
      </c>
      <c r="DP13" s="106">
        <f t="shared" si="16"/>
        <v>-2599.5048961754123</v>
      </c>
      <c r="DQ13" s="106">
        <f t="shared" si="16"/>
        <v>-2599.5048961754123</v>
      </c>
      <c r="DR13" s="106">
        <f t="shared" si="16"/>
        <v>-2599.5048961754123</v>
      </c>
      <c r="DS13" s="108">
        <f t="shared" si="16"/>
        <v>-2599.5048961754123</v>
      </c>
    </row>
    <row r="14" spans="1:129" ht="15" x14ac:dyDescent="0.25">
      <c r="B14" s="167" t="s">
        <v>268</v>
      </c>
      <c r="C14" s="833">
        <v>-5000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>
        <f t="shared" si="5"/>
        <v>-5000</v>
      </c>
      <c r="O14" s="535">
        <f t="shared" si="5"/>
        <v>-5000</v>
      </c>
      <c r="P14" s="107">
        <f t="shared" si="6"/>
        <v>-5315</v>
      </c>
      <c r="Q14" s="106">
        <f t="shared" si="6"/>
        <v>-5315</v>
      </c>
      <c r="R14" s="106">
        <f t="shared" si="6"/>
        <v>-5315</v>
      </c>
      <c r="S14" s="106">
        <f t="shared" si="6"/>
        <v>-5315</v>
      </c>
      <c r="T14" s="106">
        <f t="shared" si="6"/>
        <v>-5315</v>
      </c>
      <c r="U14" s="106">
        <f t="shared" si="6"/>
        <v>-5315</v>
      </c>
      <c r="V14" s="106">
        <f t="shared" si="6"/>
        <v>-5315</v>
      </c>
      <c r="W14" s="106">
        <f t="shared" si="6"/>
        <v>-5315</v>
      </c>
      <c r="X14" s="106">
        <f t="shared" si="6"/>
        <v>-5315</v>
      </c>
      <c r="Y14" s="106">
        <f t="shared" si="6"/>
        <v>-5315</v>
      </c>
      <c r="Z14" s="106">
        <f t="shared" si="7"/>
        <v>-5315</v>
      </c>
      <c r="AA14" s="108">
        <f t="shared" si="7"/>
        <v>-5315</v>
      </c>
      <c r="AB14" s="107">
        <f t="shared" si="7"/>
        <v>-5649.8449999999993</v>
      </c>
      <c r="AC14" s="106">
        <f t="shared" si="7"/>
        <v>-5649.8449999999993</v>
      </c>
      <c r="AD14" s="106">
        <f t="shared" si="7"/>
        <v>-5649.8449999999993</v>
      </c>
      <c r="AE14" s="106">
        <f t="shared" si="7"/>
        <v>-5649.8449999999993</v>
      </c>
      <c r="AF14" s="106">
        <f t="shared" si="7"/>
        <v>-5649.8449999999993</v>
      </c>
      <c r="AG14" s="106">
        <f t="shared" si="7"/>
        <v>-5649.8449999999993</v>
      </c>
      <c r="AH14" s="106">
        <f t="shared" si="7"/>
        <v>-5649.8449999999993</v>
      </c>
      <c r="AI14" s="106">
        <f t="shared" si="7"/>
        <v>-5649.8449999999993</v>
      </c>
      <c r="AJ14" s="106">
        <f t="shared" si="8"/>
        <v>-5649.8449999999993</v>
      </c>
      <c r="AK14" s="106">
        <f t="shared" si="8"/>
        <v>-5649.8449999999993</v>
      </c>
      <c r="AL14" s="106">
        <f t="shared" si="8"/>
        <v>-5649.8449999999993</v>
      </c>
      <c r="AM14" s="108">
        <f t="shared" si="8"/>
        <v>-5649.8449999999993</v>
      </c>
      <c r="AN14" s="107">
        <f t="shared" si="8"/>
        <v>-6005.7852349999985</v>
      </c>
      <c r="AO14" s="106">
        <f t="shared" si="8"/>
        <v>-6005.7852349999985</v>
      </c>
      <c r="AP14" s="106">
        <f t="shared" si="8"/>
        <v>-6005.7852349999985</v>
      </c>
      <c r="AQ14" s="106">
        <f t="shared" si="8"/>
        <v>-6005.7852349999985</v>
      </c>
      <c r="AR14" s="106">
        <f t="shared" si="8"/>
        <v>-6005.7852349999985</v>
      </c>
      <c r="AS14" s="106">
        <f t="shared" si="8"/>
        <v>-6005.7852349999985</v>
      </c>
      <c r="AT14" s="106">
        <f t="shared" si="9"/>
        <v>-6005.7852349999985</v>
      </c>
      <c r="AU14" s="106">
        <f t="shared" si="9"/>
        <v>-6005.7852349999985</v>
      </c>
      <c r="AV14" s="106">
        <f t="shared" si="9"/>
        <v>-6005.7852349999985</v>
      </c>
      <c r="AW14" s="106">
        <f t="shared" si="9"/>
        <v>-6005.7852349999985</v>
      </c>
      <c r="AX14" s="106">
        <f t="shared" si="9"/>
        <v>-6005.7852349999985</v>
      </c>
      <c r="AY14" s="108">
        <f t="shared" si="9"/>
        <v>-6005.7852349999985</v>
      </c>
      <c r="AZ14" s="107">
        <f t="shared" si="9"/>
        <v>-6384.1497048049978</v>
      </c>
      <c r="BA14" s="106">
        <f t="shared" si="9"/>
        <v>-6384.1497048049978</v>
      </c>
      <c r="BB14" s="106">
        <f t="shared" si="9"/>
        <v>-6384.1497048049978</v>
      </c>
      <c r="BC14" s="106">
        <f t="shared" si="9"/>
        <v>-6384.1497048049978</v>
      </c>
      <c r="BD14" s="106">
        <f t="shared" si="10"/>
        <v>-6384.1497048049978</v>
      </c>
      <c r="BE14" s="106">
        <f t="shared" si="10"/>
        <v>-6384.1497048049978</v>
      </c>
      <c r="BF14" s="106">
        <f t="shared" si="10"/>
        <v>-6384.1497048049978</v>
      </c>
      <c r="BG14" s="106">
        <f t="shared" si="10"/>
        <v>-6384.1497048049978</v>
      </c>
      <c r="BH14" s="106">
        <f t="shared" si="10"/>
        <v>-6384.1497048049978</v>
      </c>
      <c r="BI14" s="106">
        <f t="shared" si="10"/>
        <v>-6384.1497048049978</v>
      </c>
      <c r="BJ14" s="106">
        <f t="shared" si="10"/>
        <v>-6384.1497048049978</v>
      </c>
      <c r="BK14" s="108">
        <f t="shared" si="10"/>
        <v>-6384.1497048049978</v>
      </c>
      <c r="BL14" s="107">
        <f t="shared" si="10"/>
        <v>-6786.3511362077124</v>
      </c>
      <c r="BM14" s="106">
        <f t="shared" si="10"/>
        <v>-6786.3511362077124</v>
      </c>
      <c r="BN14" s="106">
        <f t="shared" si="11"/>
        <v>-6786.3511362077124</v>
      </c>
      <c r="BO14" s="106">
        <f t="shared" si="11"/>
        <v>-6786.3511362077124</v>
      </c>
      <c r="BP14" s="106">
        <f t="shared" si="11"/>
        <v>-6786.3511362077124</v>
      </c>
      <c r="BQ14" s="106">
        <f t="shared" si="11"/>
        <v>-6786.3511362077124</v>
      </c>
      <c r="BR14" s="106">
        <f t="shared" si="11"/>
        <v>-6786.3511362077124</v>
      </c>
      <c r="BS14" s="106">
        <f t="shared" si="11"/>
        <v>-6786.3511362077124</v>
      </c>
      <c r="BT14" s="106">
        <f t="shared" si="11"/>
        <v>-6786.3511362077124</v>
      </c>
      <c r="BU14" s="106">
        <f t="shared" si="11"/>
        <v>-6786.3511362077124</v>
      </c>
      <c r="BV14" s="106">
        <f t="shared" si="11"/>
        <v>-6786.3511362077124</v>
      </c>
      <c r="BW14" s="108">
        <f t="shared" si="11"/>
        <v>-6786.3511362077124</v>
      </c>
      <c r="BX14" s="107">
        <f t="shared" si="12"/>
        <v>-7213.8912577887977</v>
      </c>
      <c r="BY14" s="106">
        <f t="shared" si="12"/>
        <v>-7213.8912577887977</v>
      </c>
      <c r="BZ14" s="106">
        <f t="shared" si="12"/>
        <v>-7213.8912577887977</v>
      </c>
      <c r="CA14" s="106">
        <f t="shared" si="12"/>
        <v>-7213.8912577887977</v>
      </c>
      <c r="CB14" s="106">
        <f t="shared" si="12"/>
        <v>-7213.8912577887977</v>
      </c>
      <c r="CC14" s="106">
        <f t="shared" si="12"/>
        <v>-7213.8912577887977</v>
      </c>
      <c r="CD14" s="106">
        <f t="shared" si="12"/>
        <v>-7213.8912577887977</v>
      </c>
      <c r="CE14" s="106">
        <f t="shared" si="12"/>
        <v>-7213.8912577887977</v>
      </c>
      <c r="CF14" s="106">
        <f t="shared" si="12"/>
        <v>-7213.8912577887977</v>
      </c>
      <c r="CG14" s="106">
        <f t="shared" si="12"/>
        <v>-7213.8912577887977</v>
      </c>
      <c r="CH14" s="106">
        <f t="shared" si="13"/>
        <v>-7213.8912577887977</v>
      </c>
      <c r="CI14" s="108">
        <f t="shared" si="13"/>
        <v>-7213.8912577887977</v>
      </c>
      <c r="CJ14" s="107">
        <f t="shared" si="13"/>
        <v>-7668.3664070294917</v>
      </c>
      <c r="CK14" s="106">
        <f t="shared" si="13"/>
        <v>-7668.3664070294917</v>
      </c>
      <c r="CL14" s="106">
        <f t="shared" si="13"/>
        <v>-7668.3664070294917</v>
      </c>
      <c r="CM14" s="106">
        <f t="shared" si="13"/>
        <v>-7668.3664070294917</v>
      </c>
      <c r="CN14" s="106">
        <f t="shared" si="13"/>
        <v>-7668.3664070294917</v>
      </c>
      <c r="CO14" s="106">
        <f t="shared" si="13"/>
        <v>-7668.3664070294917</v>
      </c>
      <c r="CP14" s="106">
        <f t="shared" si="13"/>
        <v>-7668.3664070294917</v>
      </c>
      <c r="CQ14" s="106">
        <f t="shared" si="13"/>
        <v>-7668.3664070294917</v>
      </c>
      <c r="CR14" s="106">
        <f t="shared" si="14"/>
        <v>-7668.3664070294917</v>
      </c>
      <c r="CS14" s="106">
        <f t="shared" si="14"/>
        <v>-7668.3664070294917</v>
      </c>
      <c r="CT14" s="106">
        <f t="shared" si="14"/>
        <v>-7668.3664070294917</v>
      </c>
      <c r="CU14" s="108">
        <f t="shared" si="14"/>
        <v>-7668.3664070294917</v>
      </c>
      <c r="CV14" s="107">
        <f t="shared" si="14"/>
        <v>-8151.4734906723497</v>
      </c>
      <c r="CW14" s="106">
        <f t="shared" si="14"/>
        <v>-8151.4734906723497</v>
      </c>
      <c r="CX14" s="106">
        <f t="shared" si="14"/>
        <v>-8151.4734906723497</v>
      </c>
      <c r="CY14" s="106">
        <f t="shared" si="14"/>
        <v>-8151.4734906723497</v>
      </c>
      <c r="CZ14" s="106">
        <f t="shared" si="14"/>
        <v>-8151.4734906723497</v>
      </c>
      <c r="DA14" s="106">
        <f t="shared" si="14"/>
        <v>-8151.4734906723497</v>
      </c>
      <c r="DB14" s="106">
        <f t="shared" si="15"/>
        <v>-8151.4734906723497</v>
      </c>
      <c r="DC14" s="106">
        <f t="shared" si="15"/>
        <v>-8151.4734906723497</v>
      </c>
      <c r="DD14" s="106">
        <f t="shared" si="15"/>
        <v>-8151.4734906723497</v>
      </c>
      <c r="DE14" s="106">
        <f t="shared" si="15"/>
        <v>-8151.4734906723497</v>
      </c>
      <c r="DF14" s="106">
        <f t="shared" si="15"/>
        <v>-8151.4734906723497</v>
      </c>
      <c r="DG14" s="108">
        <f t="shared" si="15"/>
        <v>-8151.4734906723497</v>
      </c>
      <c r="DH14" s="107">
        <f t="shared" si="15"/>
        <v>-8665.0163205847075</v>
      </c>
      <c r="DI14" s="106">
        <f t="shared" si="15"/>
        <v>-8665.0163205847075</v>
      </c>
      <c r="DJ14" s="106">
        <f t="shared" si="15"/>
        <v>-8665.0163205847075</v>
      </c>
      <c r="DK14" s="106">
        <f t="shared" si="15"/>
        <v>-8665.0163205847075</v>
      </c>
      <c r="DL14" s="106">
        <f t="shared" si="16"/>
        <v>-8665.0163205847075</v>
      </c>
      <c r="DM14" s="106">
        <f t="shared" si="16"/>
        <v>-8665.0163205847075</v>
      </c>
      <c r="DN14" s="106">
        <f t="shared" si="16"/>
        <v>-8665.0163205847075</v>
      </c>
      <c r="DO14" s="106">
        <f t="shared" si="16"/>
        <v>-8665.0163205847075</v>
      </c>
      <c r="DP14" s="106">
        <f t="shared" si="16"/>
        <v>-8665.0163205847075</v>
      </c>
      <c r="DQ14" s="106">
        <f t="shared" si="16"/>
        <v>-8665.0163205847075</v>
      </c>
      <c r="DR14" s="106">
        <f t="shared" si="16"/>
        <v>-8665.0163205847075</v>
      </c>
      <c r="DS14" s="108">
        <f t="shared" si="16"/>
        <v>-8665.0163205847075</v>
      </c>
    </row>
    <row r="15" spans="1:129" ht="15" x14ac:dyDescent="0.25">
      <c r="B15" s="160" t="s">
        <v>5</v>
      </c>
      <c r="C15" s="833">
        <v>-2000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>
        <f t="shared" si="5"/>
        <v>-2000</v>
      </c>
      <c r="O15" s="535">
        <f t="shared" si="5"/>
        <v>-2000</v>
      </c>
      <c r="P15" s="107">
        <f t="shared" si="6"/>
        <v>-2126</v>
      </c>
      <c r="Q15" s="106">
        <f t="shared" si="6"/>
        <v>-2126</v>
      </c>
      <c r="R15" s="106">
        <f t="shared" si="6"/>
        <v>-2126</v>
      </c>
      <c r="S15" s="106">
        <f t="shared" si="6"/>
        <v>-2126</v>
      </c>
      <c r="T15" s="106">
        <f t="shared" si="6"/>
        <v>-2126</v>
      </c>
      <c r="U15" s="106">
        <f t="shared" si="6"/>
        <v>-2126</v>
      </c>
      <c r="V15" s="106">
        <f t="shared" si="6"/>
        <v>-2126</v>
      </c>
      <c r="W15" s="106">
        <f t="shared" si="6"/>
        <v>-2126</v>
      </c>
      <c r="X15" s="106">
        <f t="shared" si="6"/>
        <v>-2126</v>
      </c>
      <c r="Y15" s="106">
        <f t="shared" si="6"/>
        <v>-2126</v>
      </c>
      <c r="Z15" s="106">
        <f t="shared" si="7"/>
        <v>-2126</v>
      </c>
      <c r="AA15" s="108">
        <f t="shared" si="7"/>
        <v>-2126</v>
      </c>
      <c r="AB15" s="107">
        <f t="shared" si="7"/>
        <v>-2259.9379999999996</v>
      </c>
      <c r="AC15" s="106">
        <f t="shared" si="7"/>
        <v>-2259.9379999999996</v>
      </c>
      <c r="AD15" s="106">
        <f t="shared" si="7"/>
        <v>-2259.9379999999996</v>
      </c>
      <c r="AE15" s="106">
        <f t="shared" si="7"/>
        <v>-2259.9379999999996</v>
      </c>
      <c r="AF15" s="106">
        <f t="shared" si="7"/>
        <v>-2259.9379999999996</v>
      </c>
      <c r="AG15" s="106">
        <f t="shared" si="7"/>
        <v>-2259.9379999999996</v>
      </c>
      <c r="AH15" s="106">
        <f t="shared" si="7"/>
        <v>-2259.9379999999996</v>
      </c>
      <c r="AI15" s="106">
        <f t="shared" si="7"/>
        <v>-2259.9379999999996</v>
      </c>
      <c r="AJ15" s="106">
        <f t="shared" si="8"/>
        <v>-2259.9379999999996</v>
      </c>
      <c r="AK15" s="106">
        <f t="shared" si="8"/>
        <v>-2259.9379999999996</v>
      </c>
      <c r="AL15" s="106">
        <f t="shared" si="8"/>
        <v>-2259.9379999999996</v>
      </c>
      <c r="AM15" s="108">
        <f t="shared" si="8"/>
        <v>-2259.9379999999996</v>
      </c>
      <c r="AN15" s="107">
        <f t="shared" si="8"/>
        <v>-2402.3140939999994</v>
      </c>
      <c r="AO15" s="106">
        <f t="shared" si="8"/>
        <v>-2402.3140939999994</v>
      </c>
      <c r="AP15" s="106">
        <f t="shared" si="8"/>
        <v>-2402.3140939999994</v>
      </c>
      <c r="AQ15" s="106">
        <f t="shared" si="8"/>
        <v>-2402.3140939999994</v>
      </c>
      <c r="AR15" s="106">
        <f t="shared" si="8"/>
        <v>-2402.3140939999994</v>
      </c>
      <c r="AS15" s="106">
        <f t="shared" si="8"/>
        <v>-2402.3140939999994</v>
      </c>
      <c r="AT15" s="106">
        <f t="shared" si="9"/>
        <v>-2402.3140939999994</v>
      </c>
      <c r="AU15" s="106">
        <f t="shared" si="9"/>
        <v>-2402.3140939999994</v>
      </c>
      <c r="AV15" s="106">
        <f t="shared" si="9"/>
        <v>-2402.3140939999994</v>
      </c>
      <c r="AW15" s="106">
        <f t="shared" si="9"/>
        <v>-2402.3140939999994</v>
      </c>
      <c r="AX15" s="106">
        <f t="shared" si="9"/>
        <v>-2402.3140939999994</v>
      </c>
      <c r="AY15" s="108">
        <f t="shared" si="9"/>
        <v>-2402.3140939999994</v>
      </c>
      <c r="AZ15" s="107">
        <f t="shared" si="9"/>
        <v>-2553.6598819219989</v>
      </c>
      <c r="BA15" s="106">
        <f t="shared" si="9"/>
        <v>-2553.6598819219989</v>
      </c>
      <c r="BB15" s="106">
        <f t="shared" si="9"/>
        <v>-2553.6598819219989</v>
      </c>
      <c r="BC15" s="106">
        <f t="shared" si="9"/>
        <v>-2553.6598819219989</v>
      </c>
      <c r="BD15" s="106">
        <f t="shared" si="10"/>
        <v>-2553.6598819219989</v>
      </c>
      <c r="BE15" s="106">
        <f t="shared" si="10"/>
        <v>-2553.6598819219989</v>
      </c>
      <c r="BF15" s="106">
        <f t="shared" si="10"/>
        <v>-2553.6598819219989</v>
      </c>
      <c r="BG15" s="106">
        <f t="shared" si="10"/>
        <v>-2553.6598819219989</v>
      </c>
      <c r="BH15" s="106">
        <f t="shared" si="10"/>
        <v>-2553.6598819219989</v>
      </c>
      <c r="BI15" s="106">
        <f t="shared" si="10"/>
        <v>-2553.6598819219989</v>
      </c>
      <c r="BJ15" s="106">
        <f t="shared" si="10"/>
        <v>-2553.6598819219989</v>
      </c>
      <c r="BK15" s="108">
        <f t="shared" si="10"/>
        <v>-2553.6598819219989</v>
      </c>
      <c r="BL15" s="107">
        <f t="shared" si="10"/>
        <v>-2714.5404544830849</v>
      </c>
      <c r="BM15" s="106">
        <f t="shared" si="10"/>
        <v>-2714.5404544830849</v>
      </c>
      <c r="BN15" s="106">
        <f t="shared" si="11"/>
        <v>-2714.5404544830849</v>
      </c>
      <c r="BO15" s="106">
        <f t="shared" si="11"/>
        <v>-2714.5404544830849</v>
      </c>
      <c r="BP15" s="106">
        <f t="shared" si="11"/>
        <v>-2714.5404544830849</v>
      </c>
      <c r="BQ15" s="106">
        <f t="shared" si="11"/>
        <v>-2714.5404544830849</v>
      </c>
      <c r="BR15" s="106">
        <f t="shared" si="11"/>
        <v>-2714.5404544830849</v>
      </c>
      <c r="BS15" s="106">
        <f t="shared" si="11"/>
        <v>-2714.5404544830849</v>
      </c>
      <c r="BT15" s="106">
        <f t="shared" si="11"/>
        <v>-2714.5404544830849</v>
      </c>
      <c r="BU15" s="106">
        <f t="shared" si="11"/>
        <v>-2714.5404544830849</v>
      </c>
      <c r="BV15" s="106">
        <f t="shared" si="11"/>
        <v>-2714.5404544830849</v>
      </c>
      <c r="BW15" s="108">
        <f t="shared" si="11"/>
        <v>-2714.5404544830849</v>
      </c>
      <c r="BX15" s="107">
        <f t="shared" si="12"/>
        <v>-2885.5565031155193</v>
      </c>
      <c r="BY15" s="106">
        <f t="shared" si="12"/>
        <v>-2885.5565031155193</v>
      </c>
      <c r="BZ15" s="106">
        <f t="shared" si="12"/>
        <v>-2885.5565031155193</v>
      </c>
      <c r="CA15" s="106">
        <f t="shared" si="12"/>
        <v>-2885.5565031155193</v>
      </c>
      <c r="CB15" s="106">
        <f t="shared" si="12"/>
        <v>-2885.5565031155193</v>
      </c>
      <c r="CC15" s="106">
        <f t="shared" si="12"/>
        <v>-2885.5565031155193</v>
      </c>
      <c r="CD15" s="106">
        <f t="shared" si="12"/>
        <v>-2885.5565031155193</v>
      </c>
      <c r="CE15" s="106">
        <f t="shared" si="12"/>
        <v>-2885.5565031155193</v>
      </c>
      <c r="CF15" s="106">
        <f t="shared" si="12"/>
        <v>-2885.5565031155193</v>
      </c>
      <c r="CG15" s="106">
        <f t="shared" si="12"/>
        <v>-2885.5565031155193</v>
      </c>
      <c r="CH15" s="106">
        <f t="shared" si="13"/>
        <v>-2885.5565031155193</v>
      </c>
      <c r="CI15" s="108">
        <f t="shared" si="13"/>
        <v>-2885.5565031155193</v>
      </c>
      <c r="CJ15" s="107">
        <f t="shared" si="13"/>
        <v>-3067.346562811797</v>
      </c>
      <c r="CK15" s="106">
        <f t="shared" si="13"/>
        <v>-3067.346562811797</v>
      </c>
      <c r="CL15" s="106">
        <f t="shared" si="13"/>
        <v>-3067.346562811797</v>
      </c>
      <c r="CM15" s="106">
        <f t="shared" si="13"/>
        <v>-3067.346562811797</v>
      </c>
      <c r="CN15" s="106">
        <f t="shared" si="13"/>
        <v>-3067.346562811797</v>
      </c>
      <c r="CO15" s="106">
        <f t="shared" si="13"/>
        <v>-3067.346562811797</v>
      </c>
      <c r="CP15" s="106">
        <f t="shared" si="13"/>
        <v>-3067.346562811797</v>
      </c>
      <c r="CQ15" s="106">
        <f t="shared" si="13"/>
        <v>-3067.346562811797</v>
      </c>
      <c r="CR15" s="106">
        <f t="shared" si="14"/>
        <v>-3067.346562811797</v>
      </c>
      <c r="CS15" s="106">
        <f t="shared" si="14"/>
        <v>-3067.346562811797</v>
      </c>
      <c r="CT15" s="106">
        <f t="shared" si="14"/>
        <v>-3067.346562811797</v>
      </c>
      <c r="CU15" s="108">
        <f t="shared" si="14"/>
        <v>-3067.346562811797</v>
      </c>
      <c r="CV15" s="107">
        <f t="shared" si="14"/>
        <v>-3260.5893962689397</v>
      </c>
      <c r="CW15" s="106">
        <f t="shared" si="14"/>
        <v>-3260.5893962689397</v>
      </c>
      <c r="CX15" s="106">
        <f t="shared" si="14"/>
        <v>-3260.5893962689397</v>
      </c>
      <c r="CY15" s="106">
        <f t="shared" si="14"/>
        <v>-3260.5893962689397</v>
      </c>
      <c r="CZ15" s="106">
        <f t="shared" si="14"/>
        <v>-3260.5893962689397</v>
      </c>
      <c r="DA15" s="106">
        <f t="shared" si="14"/>
        <v>-3260.5893962689397</v>
      </c>
      <c r="DB15" s="106">
        <f t="shared" si="15"/>
        <v>-3260.5893962689397</v>
      </c>
      <c r="DC15" s="106">
        <f t="shared" si="15"/>
        <v>-3260.5893962689397</v>
      </c>
      <c r="DD15" s="106">
        <f t="shared" si="15"/>
        <v>-3260.5893962689397</v>
      </c>
      <c r="DE15" s="106">
        <f t="shared" si="15"/>
        <v>-3260.5893962689397</v>
      </c>
      <c r="DF15" s="106">
        <f t="shared" si="15"/>
        <v>-3260.5893962689397</v>
      </c>
      <c r="DG15" s="108">
        <f t="shared" si="15"/>
        <v>-3260.5893962689397</v>
      </c>
      <c r="DH15" s="107">
        <f t="shared" si="15"/>
        <v>-3466.0065282338828</v>
      </c>
      <c r="DI15" s="106">
        <f t="shared" si="15"/>
        <v>-3466.0065282338828</v>
      </c>
      <c r="DJ15" s="106">
        <f t="shared" si="15"/>
        <v>-3466.0065282338828</v>
      </c>
      <c r="DK15" s="106">
        <f t="shared" si="15"/>
        <v>-3466.0065282338828</v>
      </c>
      <c r="DL15" s="106">
        <f t="shared" si="16"/>
        <v>-3466.0065282338828</v>
      </c>
      <c r="DM15" s="106">
        <f t="shared" si="16"/>
        <v>-3466.0065282338828</v>
      </c>
      <c r="DN15" s="106">
        <f t="shared" si="16"/>
        <v>-3466.0065282338828</v>
      </c>
      <c r="DO15" s="106">
        <f t="shared" si="16"/>
        <v>-3466.0065282338828</v>
      </c>
      <c r="DP15" s="106">
        <f t="shared" si="16"/>
        <v>-3466.0065282338828</v>
      </c>
      <c r="DQ15" s="106">
        <f t="shared" si="16"/>
        <v>-3466.0065282338828</v>
      </c>
      <c r="DR15" s="106">
        <f t="shared" si="16"/>
        <v>-3466.0065282338828</v>
      </c>
      <c r="DS15" s="108">
        <f t="shared" si="16"/>
        <v>-3466.0065282338828</v>
      </c>
    </row>
    <row r="16" spans="1:129" ht="15" x14ac:dyDescent="0.25">
      <c r="B16" s="160" t="s">
        <v>687</v>
      </c>
      <c r="C16" s="833">
        <v>-1000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>
        <f t="shared" ref="N16:O16" si="17">$C16*N6</f>
        <v>-1000</v>
      </c>
      <c r="O16" s="535">
        <f t="shared" si="17"/>
        <v>-1000</v>
      </c>
      <c r="P16" s="107">
        <f t="shared" ref="P16:AU16" si="18">$C16*P6</f>
        <v>-1063</v>
      </c>
      <c r="Q16" s="106">
        <f t="shared" si="18"/>
        <v>-1063</v>
      </c>
      <c r="R16" s="106">
        <f t="shared" si="18"/>
        <v>-1063</v>
      </c>
      <c r="S16" s="106">
        <f t="shared" si="18"/>
        <v>-1063</v>
      </c>
      <c r="T16" s="106">
        <f t="shared" si="18"/>
        <v>-1063</v>
      </c>
      <c r="U16" s="106">
        <f t="shared" si="18"/>
        <v>-1063</v>
      </c>
      <c r="V16" s="106">
        <f t="shared" si="18"/>
        <v>-1063</v>
      </c>
      <c r="W16" s="106">
        <f t="shared" si="18"/>
        <v>-1063</v>
      </c>
      <c r="X16" s="106">
        <f t="shared" si="18"/>
        <v>-1063</v>
      </c>
      <c r="Y16" s="106">
        <f t="shared" si="18"/>
        <v>-1063</v>
      </c>
      <c r="Z16" s="106">
        <f t="shared" si="18"/>
        <v>-1063</v>
      </c>
      <c r="AA16" s="108">
        <f t="shared" si="18"/>
        <v>-1063</v>
      </c>
      <c r="AB16" s="107">
        <f t="shared" si="18"/>
        <v>-1129.9689999999998</v>
      </c>
      <c r="AC16" s="106">
        <f t="shared" si="18"/>
        <v>-1129.9689999999998</v>
      </c>
      <c r="AD16" s="106">
        <f t="shared" si="18"/>
        <v>-1129.9689999999998</v>
      </c>
      <c r="AE16" s="106">
        <f t="shared" si="18"/>
        <v>-1129.9689999999998</v>
      </c>
      <c r="AF16" s="106">
        <f t="shared" si="18"/>
        <v>-1129.9689999999998</v>
      </c>
      <c r="AG16" s="106">
        <f t="shared" si="18"/>
        <v>-1129.9689999999998</v>
      </c>
      <c r="AH16" s="106">
        <f t="shared" si="18"/>
        <v>-1129.9689999999998</v>
      </c>
      <c r="AI16" s="106">
        <f t="shared" si="18"/>
        <v>-1129.9689999999998</v>
      </c>
      <c r="AJ16" s="106">
        <f t="shared" si="18"/>
        <v>-1129.9689999999998</v>
      </c>
      <c r="AK16" s="106">
        <f t="shared" si="18"/>
        <v>-1129.9689999999998</v>
      </c>
      <c r="AL16" s="106">
        <f t="shared" si="18"/>
        <v>-1129.9689999999998</v>
      </c>
      <c r="AM16" s="108">
        <f t="shared" si="18"/>
        <v>-1129.9689999999998</v>
      </c>
      <c r="AN16" s="107">
        <f t="shared" si="18"/>
        <v>-1201.1570469999997</v>
      </c>
      <c r="AO16" s="106">
        <f t="shared" si="18"/>
        <v>-1201.1570469999997</v>
      </c>
      <c r="AP16" s="106">
        <f t="shared" si="18"/>
        <v>-1201.1570469999997</v>
      </c>
      <c r="AQ16" s="106">
        <f t="shared" si="18"/>
        <v>-1201.1570469999997</v>
      </c>
      <c r="AR16" s="106">
        <f t="shared" si="18"/>
        <v>-1201.1570469999997</v>
      </c>
      <c r="AS16" s="106">
        <f t="shared" si="18"/>
        <v>-1201.1570469999997</v>
      </c>
      <c r="AT16" s="106">
        <f t="shared" si="18"/>
        <v>-1201.1570469999997</v>
      </c>
      <c r="AU16" s="106">
        <f t="shared" si="18"/>
        <v>-1201.1570469999997</v>
      </c>
      <c r="AV16" s="106">
        <f t="shared" ref="AV16:CA16" si="19">$C16*AV6</f>
        <v>-1201.1570469999997</v>
      </c>
      <c r="AW16" s="106">
        <f t="shared" si="19"/>
        <v>-1201.1570469999997</v>
      </c>
      <c r="AX16" s="106">
        <f t="shared" si="19"/>
        <v>-1201.1570469999997</v>
      </c>
      <c r="AY16" s="108">
        <f t="shared" si="19"/>
        <v>-1201.1570469999997</v>
      </c>
      <c r="AZ16" s="107">
        <f t="shared" si="19"/>
        <v>-1276.8299409609995</v>
      </c>
      <c r="BA16" s="106">
        <f t="shared" si="19"/>
        <v>-1276.8299409609995</v>
      </c>
      <c r="BB16" s="106">
        <f t="shared" si="19"/>
        <v>-1276.8299409609995</v>
      </c>
      <c r="BC16" s="106">
        <f t="shared" si="19"/>
        <v>-1276.8299409609995</v>
      </c>
      <c r="BD16" s="106">
        <f t="shared" si="19"/>
        <v>-1276.8299409609995</v>
      </c>
      <c r="BE16" s="106">
        <f t="shared" si="19"/>
        <v>-1276.8299409609995</v>
      </c>
      <c r="BF16" s="106">
        <f t="shared" si="19"/>
        <v>-1276.8299409609995</v>
      </c>
      <c r="BG16" s="106">
        <f t="shared" si="19"/>
        <v>-1276.8299409609995</v>
      </c>
      <c r="BH16" s="106">
        <f t="shared" si="19"/>
        <v>-1276.8299409609995</v>
      </c>
      <c r="BI16" s="106">
        <f t="shared" si="19"/>
        <v>-1276.8299409609995</v>
      </c>
      <c r="BJ16" s="106">
        <f t="shared" si="19"/>
        <v>-1276.8299409609995</v>
      </c>
      <c r="BK16" s="108">
        <f t="shared" si="19"/>
        <v>-1276.8299409609995</v>
      </c>
      <c r="BL16" s="107">
        <f t="shared" si="19"/>
        <v>-1357.2702272415424</v>
      </c>
      <c r="BM16" s="106">
        <f t="shared" si="19"/>
        <v>-1357.2702272415424</v>
      </c>
      <c r="BN16" s="106">
        <f t="shared" si="19"/>
        <v>-1357.2702272415424</v>
      </c>
      <c r="BO16" s="106">
        <f t="shared" si="19"/>
        <v>-1357.2702272415424</v>
      </c>
      <c r="BP16" s="106">
        <f t="shared" si="19"/>
        <v>-1357.2702272415424</v>
      </c>
      <c r="BQ16" s="106">
        <f t="shared" si="19"/>
        <v>-1357.2702272415424</v>
      </c>
      <c r="BR16" s="106">
        <f t="shared" si="19"/>
        <v>-1357.2702272415424</v>
      </c>
      <c r="BS16" s="106">
        <f t="shared" si="19"/>
        <v>-1357.2702272415424</v>
      </c>
      <c r="BT16" s="106">
        <f t="shared" si="19"/>
        <v>-1357.2702272415424</v>
      </c>
      <c r="BU16" s="106">
        <f t="shared" si="19"/>
        <v>-1357.2702272415424</v>
      </c>
      <c r="BV16" s="106">
        <f t="shared" si="19"/>
        <v>-1357.2702272415424</v>
      </c>
      <c r="BW16" s="108">
        <f t="shared" si="19"/>
        <v>-1357.2702272415424</v>
      </c>
      <c r="BX16" s="107">
        <f t="shared" si="19"/>
        <v>-1442.7782515577596</v>
      </c>
      <c r="BY16" s="106">
        <f t="shared" si="19"/>
        <v>-1442.7782515577596</v>
      </c>
      <c r="BZ16" s="106">
        <f t="shared" si="19"/>
        <v>-1442.7782515577596</v>
      </c>
      <c r="CA16" s="106">
        <f t="shared" si="19"/>
        <v>-1442.7782515577596</v>
      </c>
      <c r="CB16" s="106">
        <f t="shared" ref="CB16:DG16" si="20">$C16*CB6</f>
        <v>-1442.7782515577596</v>
      </c>
      <c r="CC16" s="106">
        <f t="shared" si="20"/>
        <v>-1442.7782515577596</v>
      </c>
      <c r="CD16" s="106">
        <f t="shared" si="20"/>
        <v>-1442.7782515577596</v>
      </c>
      <c r="CE16" s="106">
        <f t="shared" si="20"/>
        <v>-1442.7782515577596</v>
      </c>
      <c r="CF16" s="106">
        <f t="shared" si="20"/>
        <v>-1442.7782515577596</v>
      </c>
      <c r="CG16" s="106">
        <f t="shared" si="20"/>
        <v>-1442.7782515577596</v>
      </c>
      <c r="CH16" s="106">
        <f t="shared" si="20"/>
        <v>-1442.7782515577596</v>
      </c>
      <c r="CI16" s="108">
        <f t="shared" si="20"/>
        <v>-1442.7782515577596</v>
      </c>
      <c r="CJ16" s="107">
        <f t="shared" si="20"/>
        <v>-1533.6732814058985</v>
      </c>
      <c r="CK16" s="106">
        <f t="shared" si="20"/>
        <v>-1533.6732814058985</v>
      </c>
      <c r="CL16" s="106">
        <f t="shared" si="20"/>
        <v>-1533.6732814058985</v>
      </c>
      <c r="CM16" s="106">
        <f t="shared" si="20"/>
        <v>-1533.6732814058985</v>
      </c>
      <c r="CN16" s="106">
        <f t="shared" si="20"/>
        <v>-1533.6732814058985</v>
      </c>
      <c r="CO16" s="106">
        <f t="shared" si="20"/>
        <v>-1533.6732814058985</v>
      </c>
      <c r="CP16" s="106">
        <f t="shared" si="20"/>
        <v>-1533.6732814058985</v>
      </c>
      <c r="CQ16" s="106">
        <f t="shared" si="20"/>
        <v>-1533.6732814058985</v>
      </c>
      <c r="CR16" s="106">
        <f t="shared" si="20"/>
        <v>-1533.6732814058985</v>
      </c>
      <c r="CS16" s="106">
        <f t="shared" si="20"/>
        <v>-1533.6732814058985</v>
      </c>
      <c r="CT16" s="106">
        <f t="shared" si="20"/>
        <v>-1533.6732814058985</v>
      </c>
      <c r="CU16" s="108">
        <f t="shared" si="20"/>
        <v>-1533.6732814058985</v>
      </c>
      <c r="CV16" s="107">
        <f t="shared" si="20"/>
        <v>-1630.2946981344699</v>
      </c>
      <c r="CW16" s="106">
        <f t="shared" si="20"/>
        <v>-1630.2946981344699</v>
      </c>
      <c r="CX16" s="106">
        <f t="shared" si="20"/>
        <v>-1630.2946981344699</v>
      </c>
      <c r="CY16" s="106">
        <f t="shared" si="20"/>
        <v>-1630.2946981344699</v>
      </c>
      <c r="CZ16" s="106">
        <f t="shared" si="20"/>
        <v>-1630.2946981344699</v>
      </c>
      <c r="DA16" s="106">
        <f t="shared" si="20"/>
        <v>-1630.2946981344699</v>
      </c>
      <c r="DB16" s="106">
        <f t="shared" si="20"/>
        <v>-1630.2946981344699</v>
      </c>
      <c r="DC16" s="106">
        <f t="shared" si="20"/>
        <v>-1630.2946981344699</v>
      </c>
      <c r="DD16" s="106">
        <f t="shared" si="20"/>
        <v>-1630.2946981344699</v>
      </c>
      <c r="DE16" s="106">
        <f t="shared" si="20"/>
        <v>-1630.2946981344699</v>
      </c>
      <c r="DF16" s="106">
        <f t="shared" si="20"/>
        <v>-1630.2946981344699</v>
      </c>
      <c r="DG16" s="108">
        <f t="shared" si="20"/>
        <v>-1630.2946981344699</v>
      </c>
      <c r="DH16" s="107">
        <f t="shared" ref="DH16:DS16" si="21">$C16*DH6</f>
        <v>-1733.0032641169414</v>
      </c>
      <c r="DI16" s="106">
        <f t="shared" si="21"/>
        <v>-1733.0032641169414</v>
      </c>
      <c r="DJ16" s="106">
        <f t="shared" si="21"/>
        <v>-1733.0032641169414</v>
      </c>
      <c r="DK16" s="106">
        <f t="shared" si="21"/>
        <v>-1733.0032641169414</v>
      </c>
      <c r="DL16" s="106">
        <f t="shared" si="21"/>
        <v>-1733.0032641169414</v>
      </c>
      <c r="DM16" s="106">
        <f t="shared" si="21"/>
        <v>-1733.0032641169414</v>
      </c>
      <c r="DN16" s="106">
        <f t="shared" si="21"/>
        <v>-1733.0032641169414</v>
      </c>
      <c r="DO16" s="106">
        <f t="shared" si="21"/>
        <v>-1733.0032641169414</v>
      </c>
      <c r="DP16" s="106">
        <f t="shared" si="21"/>
        <v>-1733.0032641169414</v>
      </c>
      <c r="DQ16" s="106">
        <f t="shared" si="21"/>
        <v>-1733.0032641169414</v>
      </c>
      <c r="DR16" s="106">
        <f t="shared" si="21"/>
        <v>-1733.0032641169414</v>
      </c>
      <c r="DS16" s="108">
        <f t="shared" si="21"/>
        <v>-1733.0032641169414</v>
      </c>
    </row>
    <row r="17" spans="2:123" ht="15" x14ac:dyDescent="0.25">
      <c r="B17" s="160" t="s">
        <v>264</v>
      </c>
      <c r="C17" s="833">
        <v>-5000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535"/>
      <c r="P17" s="107">
        <f>$C17*P6</f>
        <v>-5315</v>
      </c>
      <c r="Q17" s="106">
        <v>0</v>
      </c>
      <c r="R17" s="106">
        <v>0</v>
      </c>
      <c r="S17" s="106">
        <f>$C17*S6</f>
        <v>-5315</v>
      </c>
      <c r="T17" s="106">
        <v>0</v>
      </c>
      <c r="U17" s="106">
        <v>0</v>
      </c>
      <c r="V17" s="106">
        <f>$C17*V6</f>
        <v>-5315</v>
      </c>
      <c r="W17" s="106">
        <v>0</v>
      </c>
      <c r="X17" s="106">
        <v>0</v>
      </c>
      <c r="Y17" s="106">
        <f>$C17*Y6</f>
        <v>-5315</v>
      </c>
      <c r="Z17" s="106">
        <v>0</v>
      </c>
      <c r="AA17" s="108">
        <v>0</v>
      </c>
      <c r="AB17" s="107">
        <f>$C17*AB6</f>
        <v>-5649.8449999999993</v>
      </c>
      <c r="AC17" s="106">
        <v>0</v>
      </c>
      <c r="AD17" s="106">
        <v>0</v>
      </c>
      <c r="AE17" s="106">
        <f>$C17*AE6</f>
        <v>-5649.8449999999993</v>
      </c>
      <c r="AF17" s="106">
        <v>0</v>
      </c>
      <c r="AG17" s="106">
        <v>0</v>
      </c>
      <c r="AH17" s="106">
        <f>$C17*AH6</f>
        <v>-5649.8449999999993</v>
      </c>
      <c r="AI17" s="106">
        <v>0</v>
      </c>
      <c r="AJ17" s="106">
        <v>0</v>
      </c>
      <c r="AK17" s="106">
        <f>$C17*AK6</f>
        <v>-5649.8449999999993</v>
      </c>
      <c r="AL17" s="106">
        <v>0</v>
      </c>
      <c r="AM17" s="108">
        <v>0</v>
      </c>
      <c r="AN17" s="107">
        <f>$C17*AN6</f>
        <v>-6005.7852349999985</v>
      </c>
      <c r="AO17" s="106">
        <v>0</v>
      </c>
      <c r="AP17" s="106">
        <v>0</v>
      </c>
      <c r="AQ17" s="106">
        <f>$C17*AQ6</f>
        <v>-6005.7852349999985</v>
      </c>
      <c r="AR17" s="106">
        <v>0</v>
      </c>
      <c r="AS17" s="106">
        <v>0</v>
      </c>
      <c r="AT17" s="106">
        <f>$C17*AT6</f>
        <v>-6005.7852349999985</v>
      </c>
      <c r="AU17" s="106">
        <v>0</v>
      </c>
      <c r="AV17" s="106">
        <v>0</v>
      </c>
      <c r="AW17" s="106">
        <f>$C17*AW6</f>
        <v>-6005.7852349999985</v>
      </c>
      <c r="AX17" s="106">
        <v>0</v>
      </c>
      <c r="AY17" s="108">
        <v>0</v>
      </c>
      <c r="AZ17" s="107">
        <f>$C17*AZ6</f>
        <v>-6384.1497048049978</v>
      </c>
      <c r="BA17" s="106">
        <v>0</v>
      </c>
      <c r="BB17" s="106">
        <v>0</v>
      </c>
      <c r="BC17" s="106">
        <f>$C17*BC6</f>
        <v>-6384.1497048049978</v>
      </c>
      <c r="BD17" s="106">
        <v>0</v>
      </c>
      <c r="BE17" s="106">
        <v>0</v>
      </c>
      <c r="BF17" s="106">
        <f>$C17*BF6</f>
        <v>-6384.1497048049978</v>
      </c>
      <c r="BG17" s="106">
        <v>0</v>
      </c>
      <c r="BH17" s="106">
        <v>0</v>
      </c>
      <c r="BI17" s="106">
        <f>$C17*BI6</f>
        <v>-6384.1497048049978</v>
      </c>
      <c r="BJ17" s="106">
        <v>0</v>
      </c>
      <c r="BK17" s="108">
        <v>0</v>
      </c>
      <c r="BL17" s="107">
        <f>$C17*BL6</f>
        <v>-6786.3511362077124</v>
      </c>
      <c r="BM17" s="106">
        <v>0</v>
      </c>
      <c r="BN17" s="106">
        <v>0</v>
      </c>
      <c r="BO17" s="106">
        <f>$C17*BO6</f>
        <v>-6786.3511362077124</v>
      </c>
      <c r="BP17" s="106">
        <v>0</v>
      </c>
      <c r="BQ17" s="106">
        <v>0</v>
      </c>
      <c r="BR17" s="106">
        <f>$C17*BR6</f>
        <v>-6786.3511362077124</v>
      </c>
      <c r="BS17" s="106">
        <v>0</v>
      </c>
      <c r="BT17" s="106">
        <v>0</v>
      </c>
      <c r="BU17" s="106">
        <f>$C17*BU6</f>
        <v>-6786.3511362077124</v>
      </c>
      <c r="BV17" s="106">
        <v>0</v>
      </c>
      <c r="BW17" s="108">
        <v>0</v>
      </c>
      <c r="BX17" s="107">
        <f>$C17*BX6</f>
        <v>-7213.8912577887977</v>
      </c>
      <c r="BY17" s="106">
        <v>0</v>
      </c>
      <c r="BZ17" s="106">
        <v>0</v>
      </c>
      <c r="CA17" s="106">
        <f>$C17*CA6</f>
        <v>-7213.8912577887977</v>
      </c>
      <c r="CB17" s="106">
        <v>0</v>
      </c>
      <c r="CC17" s="106">
        <v>0</v>
      </c>
      <c r="CD17" s="106">
        <f>$C17*CD6</f>
        <v>-7213.8912577887977</v>
      </c>
      <c r="CE17" s="106">
        <v>0</v>
      </c>
      <c r="CF17" s="106">
        <v>0</v>
      </c>
      <c r="CG17" s="106">
        <f>$C17*CG6</f>
        <v>-7213.8912577887977</v>
      </c>
      <c r="CH17" s="106">
        <v>0</v>
      </c>
      <c r="CI17" s="108">
        <v>0</v>
      </c>
      <c r="CJ17" s="107">
        <f>$C17*CJ6</f>
        <v>-7668.3664070294917</v>
      </c>
      <c r="CK17" s="106">
        <v>0</v>
      </c>
      <c r="CL17" s="106">
        <v>0</v>
      </c>
      <c r="CM17" s="106">
        <f>$C17*CM6</f>
        <v>-7668.3664070294917</v>
      </c>
      <c r="CN17" s="106">
        <v>0</v>
      </c>
      <c r="CO17" s="106">
        <v>0</v>
      </c>
      <c r="CP17" s="106">
        <f>$C17*CP6</f>
        <v>-7668.3664070294917</v>
      </c>
      <c r="CQ17" s="106">
        <v>0</v>
      </c>
      <c r="CR17" s="106">
        <v>0</v>
      </c>
      <c r="CS17" s="106">
        <f>$C17*CS6</f>
        <v>-7668.3664070294917</v>
      </c>
      <c r="CT17" s="106">
        <v>0</v>
      </c>
      <c r="CU17" s="108">
        <v>0</v>
      </c>
      <c r="CV17" s="107">
        <f>$C17*CV6</f>
        <v>-8151.4734906723497</v>
      </c>
      <c r="CW17" s="106">
        <v>0</v>
      </c>
      <c r="CX17" s="106">
        <v>0</v>
      </c>
      <c r="CY17" s="106">
        <f>$C17*CY6</f>
        <v>-8151.4734906723497</v>
      </c>
      <c r="CZ17" s="106">
        <v>0</v>
      </c>
      <c r="DA17" s="106">
        <v>0</v>
      </c>
      <c r="DB17" s="106">
        <f>$C17*DB6</f>
        <v>-8151.4734906723497</v>
      </c>
      <c r="DC17" s="106">
        <v>0</v>
      </c>
      <c r="DD17" s="106">
        <v>0</v>
      </c>
      <c r="DE17" s="106">
        <f>$C17*DE6</f>
        <v>-8151.4734906723497</v>
      </c>
      <c r="DF17" s="106">
        <v>0</v>
      </c>
      <c r="DG17" s="108">
        <v>0</v>
      </c>
      <c r="DH17" s="107">
        <f>$C17*DH6</f>
        <v>-8665.0163205847075</v>
      </c>
      <c r="DI17" s="106">
        <v>0</v>
      </c>
      <c r="DJ17" s="106">
        <v>0</v>
      </c>
      <c r="DK17" s="106">
        <f>$C17*DK6</f>
        <v>-8665.0163205847075</v>
      </c>
      <c r="DL17" s="106">
        <v>0</v>
      </c>
      <c r="DM17" s="106">
        <v>0</v>
      </c>
      <c r="DN17" s="106">
        <f>$C17*DN6</f>
        <v>-8665.0163205847075</v>
      </c>
      <c r="DO17" s="106">
        <v>0</v>
      </c>
      <c r="DP17" s="106">
        <v>0</v>
      </c>
      <c r="DQ17" s="106">
        <f>$C17*DQ6</f>
        <v>-8665.0163205847075</v>
      </c>
      <c r="DR17" s="106">
        <v>0</v>
      </c>
      <c r="DS17" s="108">
        <v>0</v>
      </c>
    </row>
    <row r="18" spans="2:123" ht="15" x14ac:dyDescent="0.25">
      <c r="B18" s="160" t="s">
        <v>348</v>
      </c>
      <c r="C18" s="833">
        <v>-31000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>
        <f t="shared" ref="N18:O18" si="22">$C18*N$6</f>
        <v>-31000</v>
      </c>
      <c r="O18" s="535">
        <f t="shared" si="22"/>
        <v>-31000</v>
      </c>
      <c r="P18" s="107">
        <f t="shared" ref="P18:AU18" si="23">$C18*P$6</f>
        <v>-32953</v>
      </c>
      <c r="Q18" s="106">
        <f t="shared" si="23"/>
        <v>-32953</v>
      </c>
      <c r="R18" s="106">
        <f t="shared" si="23"/>
        <v>-32953</v>
      </c>
      <c r="S18" s="106">
        <f t="shared" si="23"/>
        <v>-32953</v>
      </c>
      <c r="T18" s="106">
        <f t="shared" si="23"/>
        <v>-32953</v>
      </c>
      <c r="U18" s="106">
        <f t="shared" si="23"/>
        <v>-32953</v>
      </c>
      <c r="V18" s="106">
        <f t="shared" si="23"/>
        <v>-32953</v>
      </c>
      <c r="W18" s="106">
        <f t="shared" si="23"/>
        <v>-32953</v>
      </c>
      <c r="X18" s="106">
        <f t="shared" si="23"/>
        <v>-32953</v>
      </c>
      <c r="Y18" s="106">
        <f t="shared" si="23"/>
        <v>-32953</v>
      </c>
      <c r="Z18" s="106">
        <f t="shared" si="23"/>
        <v>-32953</v>
      </c>
      <c r="AA18" s="108">
        <f t="shared" si="23"/>
        <v>-32953</v>
      </c>
      <c r="AB18" s="107">
        <f t="shared" si="23"/>
        <v>-35029.03899999999</v>
      </c>
      <c r="AC18" s="106">
        <f t="shared" si="23"/>
        <v>-35029.03899999999</v>
      </c>
      <c r="AD18" s="106">
        <f t="shared" si="23"/>
        <v>-35029.03899999999</v>
      </c>
      <c r="AE18" s="106">
        <f t="shared" si="23"/>
        <v>-35029.03899999999</v>
      </c>
      <c r="AF18" s="106">
        <f t="shared" si="23"/>
        <v>-35029.03899999999</v>
      </c>
      <c r="AG18" s="106">
        <f t="shared" si="23"/>
        <v>-35029.03899999999</v>
      </c>
      <c r="AH18" s="106">
        <f t="shared" si="23"/>
        <v>-35029.03899999999</v>
      </c>
      <c r="AI18" s="106">
        <f t="shared" si="23"/>
        <v>-35029.03899999999</v>
      </c>
      <c r="AJ18" s="106">
        <f t="shared" si="23"/>
        <v>-35029.03899999999</v>
      </c>
      <c r="AK18" s="106">
        <f t="shared" si="23"/>
        <v>-35029.03899999999</v>
      </c>
      <c r="AL18" s="106">
        <f t="shared" si="23"/>
        <v>-35029.03899999999</v>
      </c>
      <c r="AM18" s="108">
        <f t="shared" si="23"/>
        <v>-35029.03899999999</v>
      </c>
      <c r="AN18" s="107">
        <f t="shared" si="23"/>
        <v>-37235.86845699999</v>
      </c>
      <c r="AO18" s="106">
        <f t="shared" si="23"/>
        <v>-37235.86845699999</v>
      </c>
      <c r="AP18" s="106">
        <f t="shared" si="23"/>
        <v>-37235.86845699999</v>
      </c>
      <c r="AQ18" s="106">
        <f t="shared" si="23"/>
        <v>-37235.86845699999</v>
      </c>
      <c r="AR18" s="106">
        <f t="shared" si="23"/>
        <v>-37235.86845699999</v>
      </c>
      <c r="AS18" s="106">
        <f t="shared" si="23"/>
        <v>-37235.86845699999</v>
      </c>
      <c r="AT18" s="106">
        <f t="shared" si="23"/>
        <v>-37235.86845699999</v>
      </c>
      <c r="AU18" s="106">
        <f t="shared" si="23"/>
        <v>-37235.86845699999</v>
      </c>
      <c r="AV18" s="106">
        <f t="shared" ref="AV18:CA18" si="24">$C18*AV$6</f>
        <v>-37235.86845699999</v>
      </c>
      <c r="AW18" s="106">
        <f t="shared" si="24"/>
        <v>-37235.86845699999</v>
      </c>
      <c r="AX18" s="106">
        <f t="shared" si="24"/>
        <v>-37235.86845699999</v>
      </c>
      <c r="AY18" s="108">
        <f t="shared" si="24"/>
        <v>-37235.86845699999</v>
      </c>
      <c r="AZ18" s="107">
        <f t="shared" si="24"/>
        <v>-39581.728169790986</v>
      </c>
      <c r="BA18" s="106">
        <f t="shared" si="24"/>
        <v>-39581.728169790986</v>
      </c>
      <c r="BB18" s="106">
        <f t="shared" si="24"/>
        <v>-39581.728169790986</v>
      </c>
      <c r="BC18" s="106">
        <f t="shared" si="24"/>
        <v>-39581.728169790986</v>
      </c>
      <c r="BD18" s="106">
        <f t="shared" si="24"/>
        <v>-39581.728169790986</v>
      </c>
      <c r="BE18" s="106">
        <f t="shared" si="24"/>
        <v>-39581.728169790986</v>
      </c>
      <c r="BF18" s="106">
        <f t="shared" si="24"/>
        <v>-39581.728169790986</v>
      </c>
      <c r="BG18" s="106">
        <f t="shared" si="24"/>
        <v>-39581.728169790986</v>
      </c>
      <c r="BH18" s="106">
        <f t="shared" si="24"/>
        <v>-39581.728169790986</v>
      </c>
      <c r="BI18" s="106">
        <f t="shared" si="24"/>
        <v>-39581.728169790986</v>
      </c>
      <c r="BJ18" s="106">
        <f t="shared" si="24"/>
        <v>-39581.728169790986</v>
      </c>
      <c r="BK18" s="108">
        <f t="shared" si="24"/>
        <v>-39581.728169790986</v>
      </c>
      <c r="BL18" s="107">
        <f t="shared" si="24"/>
        <v>-42075.377044487817</v>
      </c>
      <c r="BM18" s="106">
        <f t="shared" si="24"/>
        <v>-42075.377044487817</v>
      </c>
      <c r="BN18" s="106">
        <f t="shared" si="24"/>
        <v>-42075.377044487817</v>
      </c>
      <c r="BO18" s="106">
        <f t="shared" si="24"/>
        <v>-42075.377044487817</v>
      </c>
      <c r="BP18" s="106">
        <f t="shared" si="24"/>
        <v>-42075.377044487817</v>
      </c>
      <c r="BQ18" s="106">
        <f t="shared" si="24"/>
        <v>-42075.377044487817</v>
      </c>
      <c r="BR18" s="106">
        <f t="shared" si="24"/>
        <v>-42075.377044487817</v>
      </c>
      <c r="BS18" s="106">
        <f t="shared" si="24"/>
        <v>-42075.377044487817</v>
      </c>
      <c r="BT18" s="106">
        <f t="shared" si="24"/>
        <v>-42075.377044487817</v>
      </c>
      <c r="BU18" s="106">
        <f t="shared" si="24"/>
        <v>-42075.377044487817</v>
      </c>
      <c r="BV18" s="106">
        <f t="shared" si="24"/>
        <v>-42075.377044487817</v>
      </c>
      <c r="BW18" s="108">
        <f t="shared" si="24"/>
        <v>-42075.377044487817</v>
      </c>
      <c r="BX18" s="107">
        <f t="shared" si="24"/>
        <v>-44726.125798290552</v>
      </c>
      <c r="BY18" s="106">
        <f t="shared" si="24"/>
        <v>-44726.125798290552</v>
      </c>
      <c r="BZ18" s="106">
        <f t="shared" si="24"/>
        <v>-44726.125798290552</v>
      </c>
      <c r="CA18" s="106">
        <f t="shared" si="24"/>
        <v>-44726.125798290552</v>
      </c>
      <c r="CB18" s="106">
        <f t="shared" ref="CB18:DG18" si="25">$C18*CB$6</f>
        <v>-44726.125798290552</v>
      </c>
      <c r="CC18" s="106">
        <f t="shared" si="25"/>
        <v>-44726.125798290552</v>
      </c>
      <c r="CD18" s="106">
        <f t="shared" si="25"/>
        <v>-44726.125798290552</v>
      </c>
      <c r="CE18" s="106">
        <f t="shared" si="25"/>
        <v>-44726.125798290552</v>
      </c>
      <c r="CF18" s="106">
        <f t="shared" si="25"/>
        <v>-44726.125798290552</v>
      </c>
      <c r="CG18" s="106">
        <f t="shared" si="25"/>
        <v>-44726.125798290552</v>
      </c>
      <c r="CH18" s="106">
        <f t="shared" si="25"/>
        <v>-44726.125798290552</v>
      </c>
      <c r="CI18" s="108">
        <f t="shared" si="25"/>
        <v>-44726.125798290552</v>
      </c>
      <c r="CJ18" s="107">
        <f t="shared" si="25"/>
        <v>-47543.871723582852</v>
      </c>
      <c r="CK18" s="106">
        <f t="shared" si="25"/>
        <v>-47543.871723582852</v>
      </c>
      <c r="CL18" s="106">
        <f t="shared" si="25"/>
        <v>-47543.871723582852</v>
      </c>
      <c r="CM18" s="106">
        <f t="shared" si="25"/>
        <v>-47543.871723582852</v>
      </c>
      <c r="CN18" s="106">
        <f t="shared" si="25"/>
        <v>-47543.871723582852</v>
      </c>
      <c r="CO18" s="106">
        <f t="shared" si="25"/>
        <v>-47543.871723582852</v>
      </c>
      <c r="CP18" s="106">
        <f t="shared" si="25"/>
        <v>-47543.871723582852</v>
      </c>
      <c r="CQ18" s="106">
        <f t="shared" si="25"/>
        <v>-47543.871723582852</v>
      </c>
      <c r="CR18" s="106">
        <f t="shared" si="25"/>
        <v>-47543.871723582852</v>
      </c>
      <c r="CS18" s="106">
        <f t="shared" si="25"/>
        <v>-47543.871723582852</v>
      </c>
      <c r="CT18" s="106">
        <f t="shared" si="25"/>
        <v>-47543.871723582852</v>
      </c>
      <c r="CU18" s="108">
        <f t="shared" si="25"/>
        <v>-47543.871723582852</v>
      </c>
      <c r="CV18" s="107">
        <f t="shared" si="25"/>
        <v>-50539.13564216857</v>
      </c>
      <c r="CW18" s="106">
        <f t="shared" si="25"/>
        <v>-50539.13564216857</v>
      </c>
      <c r="CX18" s="106">
        <f t="shared" si="25"/>
        <v>-50539.13564216857</v>
      </c>
      <c r="CY18" s="106">
        <f t="shared" si="25"/>
        <v>-50539.13564216857</v>
      </c>
      <c r="CZ18" s="106">
        <f t="shared" si="25"/>
        <v>-50539.13564216857</v>
      </c>
      <c r="DA18" s="106">
        <f t="shared" si="25"/>
        <v>-50539.13564216857</v>
      </c>
      <c r="DB18" s="106">
        <f t="shared" si="25"/>
        <v>-50539.13564216857</v>
      </c>
      <c r="DC18" s="106">
        <f t="shared" si="25"/>
        <v>-50539.13564216857</v>
      </c>
      <c r="DD18" s="106">
        <f t="shared" si="25"/>
        <v>-50539.13564216857</v>
      </c>
      <c r="DE18" s="106">
        <f t="shared" si="25"/>
        <v>-50539.13564216857</v>
      </c>
      <c r="DF18" s="106">
        <f t="shared" si="25"/>
        <v>-50539.13564216857</v>
      </c>
      <c r="DG18" s="108">
        <f t="shared" si="25"/>
        <v>-50539.13564216857</v>
      </c>
      <c r="DH18" s="107">
        <f t="shared" ref="DH18:DS18" si="26">$C18*DH$6</f>
        <v>-53723.101187625187</v>
      </c>
      <c r="DI18" s="106">
        <f t="shared" si="26"/>
        <v>-53723.101187625187</v>
      </c>
      <c r="DJ18" s="106">
        <f t="shared" si="26"/>
        <v>-53723.101187625187</v>
      </c>
      <c r="DK18" s="106">
        <f t="shared" si="26"/>
        <v>-53723.101187625187</v>
      </c>
      <c r="DL18" s="106">
        <f t="shared" si="26"/>
        <v>-53723.101187625187</v>
      </c>
      <c r="DM18" s="106">
        <f t="shared" si="26"/>
        <v>-53723.101187625187</v>
      </c>
      <c r="DN18" s="106">
        <f t="shared" si="26"/>
        <v>-53723.101187625187</v>
      </c>
      <c r="DO18" s="106">
        <f t="shared" si="26"/>
        <v>-53723.101187625187</v>
      </c>
      <c r="DP18" s="106">
        <f t="shared" si="26"/>
        <v>-53723.101187625187</v>
      </c>
      <c r="DQ18" s="106">
        <f t="shared" si="26"/>
        <v>-53723.101187625187</v>
      </c>
      <c r="DR18" s="106">
        <f t="shared" si="26"/>
        <v>-53723.101187625187</v>
      </c>
      <c r="DS18" s="108">
        <f t="shared" si="26"/>
        <v>-53723.101187625187</v>
      </c>
    </row>
    <row r="19" spans="2:123" ht="15" x14ac:dyDescent="0.25">
      <c r="B19" s="160" t="s">
        <v>265</v>
      </c>
      <c r="C19" s="833">
        <v>-5000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>
        <f t="shared" ref="N19:O19" si="27">$C19*N6</f>
        <v>-5000</v>
      </c>
      <c r="O19" s="535">
        <f t="shared" si="27"/>
        <v>-5000</v>
      </c>
      <c r="P19" s="107">
        <f t="shared" ref="P19:AU19" si="28">$C19*P6</f>
        <v>-5315</v>
      </c>
      <c r="Q19" s="106">
        <f t="shared" si="28"/>
        <v>-5315</v>
      </c>
      <c r="R19" s="106">
        <f t="shared" si="28"/>
        <v>-5315</v>
      </c>
      <c r="S19" s="106">
        <f t="shared" si="28"/>
        <v>-5315</v>
      </c>
      <c r="T19" s="106">
        <f t="shared" si="28"/>
        <v>-5315</v>
      </c>
      <c r="U19" s="106">
        <f t="shared" si="28"/>
        <v>-5315</v>
      </c>
      <c r="V19" s="106">
        <f t="shared" si="28"/>
        <v>-5315</v>
      </c>
      <c r="W19" s="106">
        <f t="shared" si="28"/>
        <v>-5315</v>
      </c>
      <c r="X19" s="106">
        <f t="shared" si="28"/>
        <v>-5315</v>
      </c>
      <c r="Y19" s="106">
        <f t="shared" si="28"/>
        <v>-5315</v>
      </c>
      <c r="Z19" s="106">
        <f t="shared" si="28"/>
        <v>-5315</v>
      </c>
      <c r="AA19" s="108">
        <f t="shared" si="28"/>
        <v>-5315</v>
      </c>
      <c r="AB19" s="107">
        <f t="shared" si="28"/>
        <v>-5649.8449999999993</v>
      </c>
      <c r="AC19" s="106">
        <f t="shared" si="28"/>
        <v>-5649.8449999999993</v>
      </c>
      <c r="AD19" s="106">
        <f t="shared" si="28"/>
        <v>-5649.8449999999993</v>
      </c>
      <c r="AE19" s="106">
        <f t="shared" si="28"/>
        <v>-5649.8449999999993</v>
      </c>
      <c r="AF19" s="106">
        <f t="shared" si="28"/>
        <v>-5649.8449999999993</v>
      </c>
      <c r="AG19" s="106">
        <f t="shared" si="28"/>
        <v>-5649.8449999999993</v>
      </c>
      <c r="AH19" s="106">
        <f t="shared" si="28"/>
        <v>-5649.8449999999993</v>
      </c>
      <c r="AI19" s="106">
        <f t="shared" si="28"/>
        <v>-5649.8449999999993</v>
      </c>
      <c r="AJ19" s="106">
        <f t="shared" si="28"/>
        <v>-5649.8449999999993</v>
      </c>
      <c r="AK19" s="106">
        <f t="shared" si="28"/>
        <v>-5649.8449999999993</v>
      </c>
      <c r="AL19" s="106">
        <f t="shared" si="28"/>
        <v>-5649.8449999999993</v>
      </c>
      <c r="AM19" s="108">
        <f t="shared" si="28"/>
        <v>-5649.8449999999993</v>
      </c>
      <c r="AN19" s="107">
        <f t="shared" si="28"/>
        <v>-6005.7852349999985</v>
      </c>
      <c r="AO19" s="106">
        <f t="shared" si="28"/>
        <v>-6005.7852349999985</v>
      </c>
      <c r="AP19" s="106">
        <f t="shared" si="28"/>
        <v>-6005.7852349999985</v>
      </c>
      <c r="AQ19" s="106">
        <f t="shared" si="28"/>
        <v>-6005.7852349999985</v>
      </c>
      <c r="AR19" s="106">
        <f t="shared" si="28"/>
        <v>-6005.7852349999985</v>
      </c>
      <c r="AS19" s="106">
        <f t="shared" si="28"/>
        <v>-6005.7852349999985</v>
      </c>
      <c r="AT19" s="106">
        <f t="shared" si="28"/>
        <v>-6005.7852349999985</v>
      </c>
      <c r="AU19" s="106">
        <f t="shared" si="28"/>
        <v>-6005.7852349999985</v>
      </c>
      <c r="AV19" s="106">
        <f t="shared" ref="AV19:CA19" si="29">$C19*AV6</f>
        <v>-6005.7852349999985</v>
      </c>
      <c r="AW19" s="106">
        <f t="shared" si="29"/>
        <v>-6005.7852349999985</v>
      </c>
      <c r="AX19" s="106">
        <f t="shared" si="29"/>
        <v>-6005.7852349999985</v>
      </c>
      <c r="AY19" s="108">
        <f t="shared" si="29"/>
        <v>-6005.7852349999985</v>
      </c>
      <c r="AZ19" s="107">
        <f t="shared" si="29"/>
        <v>-6384.1497048049978</v>
      </c>
      <c r="BA19" s="106">
        <f t="shared" si="29"/>
        <v>-6384.1497048049978</v>
      </c>
      <c r="BB19" s="106">
        <f t="shared" si="29"/>
        <v>-6384.1497048049978</v>
      </c>
      <c r="BC19" s="106">
        <f t="shared" si="29"/>
        <v>-6384.1497048049978</v>
      </c>
      <c r="BD19" s="106">
        <f t="shared" si="29"/>
        <v>-6384.1497048049978</v>
      </c>
      <c r="BE19" s="106">
        <f t="shared" si="29"/>
        <v>-6384.1497048049978</v>
      </c>
      <c r="BF19" s="106">
        <f t="shared" si="29"/>
        <v>-6384.1497048049978</v>
      </c>
      <c r="BG19" s="106">
        <f t="shared" si="29"/>
        <v>-6384.1497048049978</v>
      </c>
      <c r="BH19" s="106">
        <f t="shared" si="29"/>
        <v>-6384.1497048049978</v>
      </c>
      <c r="BI19" s="106">
        <f t="shared" si="29"/>
        <v>-6384.1497048049978</v>
      </c>
      <c r="BJ19" s="106">
        <f t="shared" si="29"/>
        <v>-6384.1497048049978</v>
      </c>
      <c r="BK19" s="108">
        <f t="shared" si="29"/>
        <v>-6384.1497048049978</v>
      </c>
      <c r="BL19" s="107">
        <f t="shared" si="29"/>
        <v>-6786.3511362077124</v>
      </c>
      <c r="BM19" s="106">
        <f t="shared" si="29"/>
        <v>-6786.3511362077124</v>
      </c>
      <c r="BN19" s="106">
        <f t="shared" si="29"/>
        <v>-6786.3511362077124</v>
      </c>
      <c r="BO19" s="106">
        <f t="shared" si="29"/>
        <v>-6786.3511362077124</v>
      </c>
      <c r="BP19" s="106">
        <f t="shared" si="29"/>
        <v>-6786.3511362077124</v>
      </c>
      <c r="BQ19" s="106">
        <f t="shared" si="29"/>
        <v>-6786.3511362077124</v>
      </c>
      <c r="BR19" s="106">
        <f t="shared" si="29"/>
        <v>-6786.3511362077124</v>
      </c>
      <c r="BS19" s="106">
        <f t="shared" si="29"/>
        <v>-6786.3511362077124</v>
      </c>
      <c r="BT19" s="106">
        <f t="shared" si="29"/>
        <v>-6786.3511362077124</v>
      </c>
      <c r="BU19" s="106">
        <f t="shared" si="29"/>
        <v>-6786.3511362077124</v>
      </c>
      <c r="BV19" s="106">
        <f t="shared" si="29"/>
        <v>-6786.3511362077124</v>
      </c>
      <c r="BW19" s="108">
        <f t="shared" si="29"/>
        <v>-6786.3511362077124</v>
      </c>
      <c r="BX19" s="107">
        <f t="shared" si="29"/>
        <v>-7213.8912577887977</v>
      </c>
      <c r="BY19" s="106">
        <f t="shared" si="29"/>
        <v>-7213.8912577887977</v>
      </c>
      <c r="BZ19" s="106">
        <f t="shared" si="29"/>
        <v>-7213.8912577887977</v>
      </c>
      <c r="CA19" s="106">
        <f t="shared" si="29"/>
        <v>-7213.8912577887977</v>
      </c>
      <c r="CB19" s="106">
        <f t="shared" ref="CB19:DG19" si="30">$C19*CB6</f>
        <v>-7213.8912577887977</v>
      </c>
      <c r="CC19" s="106">
        <f t="shared" si="30"/>
        <v>-7213.8912577887977</v>
      </c>
      <c r="CD19" s="106">
        <f t="shared" si="30"/>
        <v>-7213.8912577887977</v>
      </c>
      <c r="CE19" s="106">
        <f t="shared" si="30"/>
        <v>-7213.8912577887977</v>
      </c>
      <c r="CF19" s="106">
        <f t="shared" si="30"/>
        <v>-7213.8912577887977</v>
      </c>
      <c r="CG19" s="106">
        <f t="shared" si="30"/>
        <v>-7213.8912577887977</v>
      </c>
      <c r="CH19" s="106">
        <f t="shared" si="30"/>
        <v>-7213.8912577887977</v>
      </c>
      <c r="CI19" s="108">
        <f t="shared" si="30"/>
        <v>-7213.8912577887977</v>
      </c>
      <c r="CJ19" s="107">
        <f t="shared" si="30"/>
        <v>-7668.3664070294917</v>
      </c>
      <c r="CK19" s="106">
        <f t="shared" si="30"/>
        <v>-7668.3664070294917</v>
      </c>
      <c r="CL19" s="106">
        <f t="shared" si="30"/>
        <v>-7668.3664070294917</v>
      </c>
      <c r="CM19" s="106">
        <f t="shared" si="30"/>
        <v>-7668.3664070294917</v>
      </c>
      <c r="CN19" s="106">
        <f t="shared" si="30"/>
        <v>-7668.3664070294917</v>
      </c>
      <c r="CO19" s="106">
        <f t="shared" si="30"/>
        <v>-7668.3664070294917</v>
      </c>
      <c r="CP19" s="106">
        <f t="shared" si="30"/>
        <v>-7668.3664070294917</v>
      </c>
      <c r="CQ19" s="106">
        <f t="shared" si="30"/>
        <v>-7668.3664070294917</v>
      </c>
      <c r="CR19" s="106">
        <f t="shared" si="30"/>
        <v>-7668.3664070294917</v>
      </c>
      <c r="CS19" s="106">
        <f t="shared" si="30"/>
        <v>-7668.3664070294917</v>
      </c>
      <c r="CT19" s="106">
        <f t="shared" si="30"/>
        <v>-7668.3664070294917</v>
      </c>
      <c r="CU19" s="108">
        <f t="shared" si="30"/>
        <v>-7668.3664070294917</v>
      </c>
      <c r="CV19" s="107">
        <f t="shared" si="30"/>
        <v>-8151.4734906723497</v>
      </c>
      <c r="CW19" s="106">
        <f t="shared" si="30"/>
        <v>-8151.4734906723497</v>
      </c>
      <c r="CX19" s="106">
        <f t="shared" si="30"/>
        <v>-8151.4734906723497</v>
      </c>
      <c r="CY19" s="106">
        <f t="shared" si="30"/>
        <v>-8151.4734906723497</v>
      </c>
      <c r="CZ19" s="106">
        <f t="shared" si="30"/>
        <v>-8151.4734906723497</v>
      </c>
      <c r="DA19" s="106">
        <f t="shared" si="30"/>
        <v>-8151.4734906723497</v>
      </c>
      <c r="DB19" s="106">
        <f t="shared" si="30"/>
        <v>-8151.4734906723497</v>
      </c>
      <c r="DC19" s="106">
        <f t="shared" si="30"/>
        <v>-8151.4734906723497</v>
      </c>
      <c r="DD19" s="106">
        <f t="shared" si="30"/>
        <v>-8151.4734906723497</v>
      </c>
      <c r="DE19" s="106">
        <f t="shared" si="30"/>
        <v>-8151.4734906723497</v>
      </c>
      <c r="DF19" s="106">
        <f t="shared" si="30"/>
        <v>-8151.4734906723497</v>
      </c>
      <c r="DG19" s="108">
        <f t="shared" si="30"/>
        <v>-8151.4734906723497</v>
      </c>
      <c r="DH19" s="107">
        <f t="shared" ref="DH19:DS19" si="31">$C19*DH6</f>
        <v>-8665.0163205847075</v>
      </c>
      <c r="DI19" s="106">
        <f t="shared" si="31"/>
        <v>-8665.0163205847075</v>
      </c>
      <c r="DJ19" s="106">
        <f t="shared" si="31"/>
        <v>-8665.0163205847075</v>
      </c>
      <c r="DK19" s="106">
        <f t="shared" si="31"/>
        <v>-8665.0163205847075</v>
      </c>
      <c r="DL19" s="106">
        <f t="shared" si="31"/>
        <v>-8665.0163205847075</v>
      </c>
      <c r="DM19" s="106">
        <f t="shared" si="31"/>
        <v>-8665.0163205847075</v>
      </c>
      <c r="DN19" s="106">
        <f t="shared" si="31"/>
        <v>-8665.0163205847075</v>
      </c>
      <c r="DO19" s="106">
        <f t="shared" si="31"/>
        <v>-8665.0163205847075</v>
      </c>
      <c r="DP19" s="106">
        <f t="shared" si="31"/>
        <v>-8665.0163205847075</v>
      </c>
      <c r="DQ19" s="106">
        <f t="shared" si="31"/>
        <v>-8665.0163205847075</v>
      </c>
      <c r="DR19" s="106">
        <f t="shared" si="31"/>
        <v>-8665.0163205847075</v>
      </c>
      <c r="DS19" s="108">
        <f t="shared" si="31"/>
        <v>-8665.0163205847075</v>
      </c>
    </row>
    <row r="20" spans="2:123" ht="15" x14ac:dyDescent="0.25">
      <c r="B20" s="160" t="s">
        <v>266</v>
      </c>
      <c r="C20" s="833">
        <v>-10000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>
        <f t="shared" ref="N20:O20" si="32">$C20*N6</f>
        <v>-10000</v>
      </c>
      <c r="O20" s="535">
        <f t="shared" si="32"/>
        <v>-10000</v>
      </c>
      <c r="P20" s="107">
        <f t="shared" ref="P20:AU20" si="33">$C20*P6</f>
        <v>-10630</v>
      </c>
      <c r="Q20" s="106">
        <f t="shared" si="33"/>
        <v>-10630</v>
      </c>
      <c r="R20" s="106">
        <f t="shared" si="33"/>
        <v>-10630</v>
      </c>
      <c r="S20" s="106">
        <f t="shared" si="33"/>
        <v>-10630</v>
      </c>
      <c r="T20" s="106">
        <f t="shared" si="33"/>
        <v>-10630</v>
      </c>
      <c r="U20" s="106">
        <f t="shared" si="33"/>
        <v>-10630</v>
      </c>
      <c r="V20" s="106">
        <f t="shared" si="33"/>
        <v>-10630</v>
      </c>
      <c r="W20" s="106">
        <f t="shared" si="33"/>
        <v>-10630</v>
      </c>
      <c r="X20" s="106">
        <f t="shared" si="33"/>
        <v>-10630</v>
      </c>
      <c r="Y20" s="106">
        <f t="shared" si="33"/>
        <v>-10630</v>
      </c>
      <c r="Z20" s="106">
        <f t="shared" si="33"/>
        <v>-10630</v>
      </c>
      <c r="AA20" s="108">
        <f t="shared" si="33"/>
        <v>-10630</v>
      </c>
      <c r="AB20" s="107">
        <f t="shared" si="33"/>
        <v>-11299.689999999999</v>
      </c>
      <c r="AC20" s="106">
        <f t="shared" si="33"/>
        <v>-11299.689999999999</v>
      </c>
      <c r="AD20" s="106">
        <f t="shared" si="33"/>
        <v>-11299.689999999999</v>
      </c>
      <c r="AE20" s="106">
        <f t="shared" si="33"/>
        <v>-11299.689999999999</v>
      </c>
      <c r="AF20" s="106">
        <f t="shared" si="33"/>
        <v>-11299.689999999999</v>
      </c>
      <c r="AG20" s="106">
        <f t="shared" si="33"/>
        <v>-11299.689999999999</v>
      </c>
      <c r="AH20" s="106">
        <f t="shared" si="33"/>
        <v>-11299.689999999999</v>
      </c>
      <c r="AI20" s="106">
        <f t="shared" si="33"/>
        <v>-11299.689999999999</v>
      </c>
      <c r="AJ20" s="106">
        <f t="shared" si="33"/>
        <v>-11299.689999999999</v>
      </c>
      <c r="AK20" s="106">
        <f t="shared" si="33"/>
        <v>-11299.689999999999</v>
      </c>
      <c r="AL20" s="106">
        <f t="shared" si="33"/>
        <v>-11299.689999999999</v>
      </c>
      <c r="AM20" s="108">
        <f t="shared" si="33"/>
        <v>-11299.689999999999</v>
      </c>
      <c r="AN20" s="107">
        <f t="shared" si="33"/>
        <v>-12011.570469999997</v>
      </c>
      <c r="AO20" s="106">
        <f t="shared" si="33"/>
        <v>-12011.570469999997</v>
      </c>
      <c r="AP20" s="106">
        <f t="shared" si="33"/>
        <v>-12011.570469999997</v>
      </c>
      <c r="AQ20" s="106">
        <f t="shared" si="33"/>
        <v>-12011.570469999997</v>
      </c>
      <c r="AR20" s="106">
        <f t="shared" si="33"/>
        <v>-12011.570469999997</v>
      </c>
      <c r="AS20" s="106">
        <f t="shared" si="33"/>
        <v>-12011.570469999997</v>
      </c>
      <c r="AT20" s="106">
        <f t="shared" si="33"/>
        <v>-12011.570469999997</v>
      </c>
      <c r="AU20" s="106">
        <f t="shared" si="33"/>
        <v>-12011.570469999997</v>
      </c>
      <c r="AV20" s="106">
        <f t="shared" ref="AV20:CA20" si="34">$C20*AV6</f>
        <v>-12011.570469999997</v>
      </c>
      <c r="AW20" s="106">
        <f t="shared" si="34"/>
        <v>-12011.570469999997</v>
      </c>
      <c r="AX20" s="106">
        <f t="shared" si="34"/>
        <v>-12011.570469999997</v>
      </c>
      <c r="AY20" s="108">
        <f t="shared" si="34"/>
        <v>-12011.570469999997</v>
      </c>
      <c r="AZ20" s="107">
        <f t="shared" si="34"/>
        <v>-12768.299409609996</v>
      </c>
      <c r="BA20" s="106">
        <f t="shared" si="34"/>
        <v>-12768.299409609996</v>
      </c>
      <c r="BB20" s="106">
        <f t="shared" si="34"/>
        <v>-12768.299409609996</v>
      </c>
      <c r="BC20" s="106">
        <f t="shared" si="34"/>
        <v>-12768.299409609996</v>
      </c>
      <c r="BD20" s="106">
        <f t="shared" si="34"/>
        <v>-12768.299409609996</v>
      </c>
      <c r="BE20" s="106">
        <f t="shared" si="34"/>
        <v>-12768.299409609996</v>
      </c>
      <c r="BF20" s="106">
        <f t="shared" si="34"/>
        <v>-12768.299409609996</v>
      </c>
      <c r="BG20" s="106">
        <f t="shared" si="34"/>
        <v>-12768.299409609996</v>
      </c>
      <c r="BH20" s="106">
        <f t="shared" si="34"/>
        <v>-12768.299409609996</v>
      </c>
      <c r="BI20" s="106">
        <f t="shared" si="34"/>
        <v>-12768.299409609996</v>
      </c>
      <c r="BJ20" s="106">
        <f t="shared" si="34"/>
        <v>-12768.299409609996</v>
      </c>
      <c r="BK20" s="108">
        <f t="shared" si="34"/>
        <v>-12768.299409609996</v>
      </c>
      <c r="BL20" s="107">
        <f t="shared" si="34"/>
        <v>-13572.702272415425</v>
      </c>
      <c r="BM20" s="106">
        <f t="shared" si="34"/>
        <v>-13572.702272415425</v>
      </c>
      <c r="BN20" s="106">
        <f t="shared" si="34"/>
        <v>-13572.702272415425</v>
      </c>
      <c r="BO20" s="106">
        <f t="shared" si="34"/>
        <v>-13572.702272415425</v>
      </c>
      <c r="BP20" s="106">
        <f t="shared" si="34"/>
        <v>-13572.702272415425</v>
      </c>
      <c r="BQ20" s="106">
        <f t="shared" si="34"/>
        <v>-13572.702272415425</v>
      </c>
      <c r="BR20" s="106">
        <f t="shared" si="34"/>
        <v>-13572.702272415425</v>
      </c>
      <c r="BS20" s="106">
        <f t="shared" si="34"/>
        <v>-13572.702272415425</v>
      </c>
      <c r="BT20" s="106">
        <f t="shared" si="34"/>
        <v>-13572.702272415425</v>
      </c>
      <c r="BU20" s="106">
        <f t="shared" si="34"/>
        <v>-13572.702272415425</v>
      </c>
      <c r="BV20" s="106">
        <f t="shared" si="34"/>
        <v>-13572.702272415425</v>
      </c>
      <c r="BW20" s="108">
        <f t="shared" si="34"/>
        <v>-13572.702272415425</v>
      </c>
      <c r="BX20" s="107">
        <f t="shared" si="34"/>
        <v>-14427.782515577595</v>
      </c>
      <c r="BY20" s="106">
        <f t="shared" si="34"/>
        <v>-14427.782515577595</v>
      </c>
      <c r="BZ20" s="106">
        <f t="shared" si="34"/>
        <v>-14427.782515577595</v>
      </c>
      <c r="CA20" s="106">
        <f t="shared" si="34"/>
        <v>-14427.782515577595</v>
      </c>
      <c r="CB20" s="106">
        <f t="shared" ref="CB20:DG20" si="35">$C20*CB6</f>
        <v>-14427.782515577595</v>
      </c>
      <c r="CC20" s="106">
        <f t="shared" si="35"/>
        <v>-14427.782515577595</v>
      </c>
      <c r="CD20" s="106">
        <f t="shared" si="35"/>
        <v>-14427.782515577595</v>
      </c>
      <c r="CE20" s="106">
        <f t="shared" si="35"/>
        <v>-14427.782515577595</v>
      </c>
      <c r="CF20" s="106">
        <f t="shared" si="35"/>
        <v>-14427.782515577595</v>
      </c>
      <c r="CG20" s="106">
        <f t="shared" si="35"/>
        <v>-14427.782515577595</v>
      </c>
      <c r="CH20" s="106">
        <f t="shared" si="35"/>
        <v>-14427.782515577595</v>
      </c>
      <c r="CI20" s="108">
        <f t="shared" si="35"/>
        <v>-14427.782515577595</v>
      </c>
      <c r="CJ20" s="107">
        <f t="shared" si="35"/>
        <v>-15336.732814058983</v>
      </c>
      <c r="CK20" s="106">
        <f t="shared" si="35"/>
        <v>-15336.732814058983</v>
      </c>
      <c r="CL20" s="106">
        <f t="shared" si="35"/>
        <v>-15336.732814058983</v>
      </c>
      <c r="CM20" s="106">
        <f t="shared" si="35"/>
        <v>-15336.732814058983</v>
      </c>
      <c r="CN20" s="106">
        <f t="shared" si="35"/>
        <v>-15336.732814058983</v>
      </c>
      <c r="CO20" s="106">
        <f t="shared" si="35"/>
        <v>-15336.732814058983</v>
      </c>
      <c r="CP20" s="106">
        <f t="shared" si="35"/>
        <v>-15336.732814058983</v>
      </c>
      <c r="CQ20" s="106">
        <f t="shared" si="35"/>
        <v>-15336.732814058983</v>
      </c>
      <c r="CR20" s="106">
        <f t="shared" si="35"/>
        <v>-15336.732814058983</v>
      </c>
      <c r="CS20" s="106">
        <f t="shared" si="35"/>
        <v>-15336.732814058983</v>
      </c>
      <c r="CT20" s="106">
        <f t="shared" si="35"/>
        <v>-15336.732814058983</v>
      </c>
      <c r="CU20" s="108">
        <f t="shared" si="35"/>
        <v>-15336.732814058983</v>
      </c>
      <c r="CV20" s="107">
        <f t="shared" si="35"/>
        <v>-16302.946981344699</v>
      </c>
      <c r="CW20" s="106">
        <f t="shared" si="35"/>
        <v>-16302.946981344699</v>
      </c>
      <c r="CX20" s="106">
        <f t="shared" si="35"/>
        <v>-16302.946981344699</v>
      </c>
      <c r="CY20" s="106">
        <f t="shared" si="35"/>
        <v>-16302.946981344699</v>
      </c>
      <c r="CZ20" s="106">
        <f t="shared" si="35"/>
        <v>-16302.946981344699</v>
      </c>
      <c r="DA20" s="106">
        <f t="shared" si="35"/>
        <v>-16302.946981344699</v>
      </c>
      <c r="DB20" s="106">
        <f t="shared" si="35"/>
        <v>-16302.946981344699</v>
      </c>
      <c r="DC20" s="106">
        <f t="shared" si="35"/>
        <v>-16302.946981344699</v>
      </c>
      <c r="DD20" s="106">
        <f t="shared" si="35"/>
        <v>-16302.946981344699</v>
      </c>
      <c r="DE20" s="106">
        <f t="shared" si="35"/>
        <v>-16302.946981344699</v>
      </c>
      <c r="DF20" s="106">
        <f t="shared" si="35"/>
        <v>-16302.946981344699</v>
      </c>
      <c r="DG20" s="108">
        <f t="shared" si="35"/>
        <v>-16302.946981344699</v>
      </c>
      <c r="DH20" s="107">
        <f t="shared" ref="DH20:DS20" si="36">$C20*DH6</f>
        <v>-17330.032641169415</v>
      </c>
      <c r="DI20" s="106">
        <f t="shared" si="36"/>
        <v>-17330.032641169415</v>
      </c>
      <c r="DJ20" s="106">
        <f t="shared" si="36"/>
        <v>-17330.032641169415</v>
      </c>
      <c r="DK20" s="106">
        <f t="shared" si="36"/>
        <v>-17330.032641169415</v>
      </c>
      <c r="DL20" s="106">
        <f t="shared" si="36"/>
        <v>-17330.032641169415</v>
      </c>
      <c r="DM20" s="106">
        <f t="shared" si="36"/>
        <v>-17330.032641169415</v>
      </c>
      <c r="DN20" s="106">
        <f t="shared" si="36"/>
        <v>-17330.032641169415</v>
      </c>
      <c r="DO20" s="106">
        <f t="shared" si="36"/>
        <v>-17330.032641169415</v>
      </c>
      <c r="DP20" s="106">
        <f t="shared" si="36"/>
        <v>-17330.032641169415</v>
      </c>
      <c r="DQ20" s="106">
        <f t="shared" si="36"/>
        <v>-17330.032641169415</v>
      </c>
      <c r="DR20" s="106">
        <f t="shared" si="36"/>
        <v>-17330.032641169415</v>
      </c>
      <c r="DS20" s="108">
        <f t="shared" si="36"/>
        <v>-17330.032641169415</v>
      </c>
    </row>
    <row r="21" spans="2:123" ht="15" x14ac:dyDescent="0.25">
      <c r="B21" s="160" t="s">
        <v>6</v>
      </c>
      <c r="C21" s="833">
        <v>-5000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>
        <f t="shared" ref="N21:O21" si="37">$C21*N$6</f>
        <v>-5000</v>
      </c>
      <c r="O21" s="535">
        <f t="shared" si="37"/>
        <v>-5000</v>
      </c>
      <c r="P21" s="107">
        <f t="shared" ref="P21:AU21" si="38">$C21*P$6</f>
        <v>-5315</v>
      </c>
      <c r="Q21" s="106">
        <f t="shared" si="38"/>
        <v>-5315</v>
      </c>
      <c r="R21" s="106">
        <f t="shared" si="38"/>
        <v>-5315</v>
      </c>
      <c r="S21" s="106">
        <f t="shared" si="38"/>
        <v>-5315</v>
      </c>
      <c r="T21" s="106">
        <f t="shared" si="38"/>
        <v>-5315</v>
      </c>
      <c r="U21" s="106">
        <f t="shared" si="38"/>
        <v>-5315</v>
      </c>
      <c r="V21" s="106">
        <f t="shared" si="38"/>
        <v>-5315</v>
      </c>
      <c r="W21" s="106">
        <f t="shared" si="38"/>
        <v>-5315</v>
      </c>
      <c r="X21" s="106">
        <f t="shared" si="38"/>
        <v>-5315</v>
      </c>
      <c r="Y21" s="106">
        <f t="shared" si="38"/>
        <v>-5315</v>
      </c>
      <c r="Z21" s="106">
        <f t="shared" si="38"/>
        <v>-5315</v>
      </c>
      <c r="AA21" s="108">
        <f t="shared" si="38"/>
        <v>-5315</v>
      </c>
      <c r="AB21" s="107">
        <f t="shared" si="38"/>
        <v>-5649.8449999999993</v>
      </c>
      <c r="AC21" s="106">
        <f t="shared" si="38"/>
        <v>-5649.8449999999993</v>
      </c>
      <c r="AD21" s="106">
        <f t="shared" si="38"/>
        <v>-5649.8449999999993</v>
      </c>
      <c r="AE21" s="106">
        <f t="shared" si="38"/>
        <v>-5649.8449999999993</v>
      </c>
      <c r="AF21" s="106">
        <f t="shared" si="38"/>
        <v>-5649.8449999999993</v>
      </c>
      <c r="AG21" s="106">
        <f t="shared" si="38"/>
        <v>-5649.8449999999993</v>
      </c>
      <c r="AH21" s="106">
        <f t="shared" si="38"/>
        <v>-5649.8449999999993</v>
      </c>
      <c r="AI21" s="106">
        <f t="shared" si="38"/>
        <v>-5649.8449999999993</v>
      </c>
      <c r="AJ21" s="106">
        <f t="shared" si="38"/>
        <v>-5649.8449999999993</v>
      </c>
      <c r="AK21" s="106">
        <f t="shared" si="38"/>
        <v>-5649.8449999999993</v>
      </c>
      <c r="AL21" s="106">
        <f t="shared" si="38"/>
        <v>-5649.8449999999993</v>
      </c>
      <c r="AM21" s="108">
        <f t="shared" si="38"/>
        <v>-5649.8449999999993</v>
      </c>
      <c r="AN21" s="107">
        <f t="shared" si="38"/>
        <v>-6005.7852349999985</v>
      </c>
      <c r="AO21" s="106">
        <f t="shared" si="38"/>
        <v>-6005.7852349999985</v>
      </c>
      <c r="AP21" s="106">
        <f t="shared" si="38"/>
        <v>-6005.7852349999985</v>
      </c>
      <c r="AQ21" s="106">
        <f t="shared" si="38"/>
        <v>-6005.7852349999985</v>
      </c>
      <c r="AR21" s="106">
        <f t="shared" si="38"/>
        <v>-6005.7852349999985</v>
      </c>
      <c r="AS21" s="106">
        <f t="shared" si="38"/>
        <v>-6005.7852349999985</v>
      </c>
      <c r="AT21" s="106">
        <f t="shared" si="38"/>
        <v>-6005.7852349999985</v>
      </c>
      <c r="AU21" s="106">
        <f t="shared" si="38"/>
        <v>-6005.7852349999985</v>
      </c>
      <c r="AV21" s="106">
        <f t="shared" ref="AV21:CA21" si="39">$C21*AV$6</f>
        <v>-6005.7852349999985</v>
      </c>
      <c r="AW21" s="106">
        <f t="shared" si="39"/>
        <v>-6005.7852349999985</v>
      </c>
      <c r="AX21" s="106">
        <f t="shared" si="39"/>
        <v>-6005.7852349999985</v>
      </c>
      <c r="AY21" s="108">
        <f t="shared" si="39"/>
        <v>-6005.7852349999985</v>
      </c>
      <c r="AZ21" s="107">
        <f t="shared" si="39"/>
        <v>-6384.1497048049978</v>
      </c>
      <c r="BA21" s="106">
        <f t="shared" si="39"/>
        <v>-6384.1497048049978</v>
      </c>
      <c r="BB21" s="106">
        <f t="shared" si="39"/>
        <v>-6384.1497048049978</v>
      </c>
      <c r="BC21" s="106">
        <f t="shared" si="39"/>
        <v>-6384.1497048049978</v>
      </c>
      <c r="BD21" s="106">
        <f t="shared" si="39"/>
        <v>-6384.1497048049978</v>
      </c>
      <c r="BE21" s="106">
        <f t="shared" si="39"/>
        <v>-6384.1497048049978</v>
      </c>
      <c r="BF21" s="106">
        <f t="shared" si="39"/>
        <v>-6384.1497048049978</v>
      </c>
      <c r="BG21" s="106">
        <f t="shared" si="39"/>
        <v>-6384.1497048049978</v>
      </c>
      <c r="BH21" s="106">
        <f t="shared" si="39"/>
        <v>-6384.1497048049978</v>
      </c>
      <c r="BI21" s="106">
        <f t="shared" si="39"/>
        <v>-6384.1497048049978</v>
      </c>
      <c r="BJ21" s="106">
        <f t="shared" si="39"/>
        <v>-6384.1497048049978</v>
      </c>
      <c r="BK21" s="108">
        <f t="shared" si="39"/>
        <v>-6384.1497048049978</v>
      </c>
      <c r="BL21" s="107">
        <f t="shared" si="39"/>
        <v>-6786.3511362077124</v>
      </c>
      <c r="BM21" s="106">
        <f t="shared" si="39"/>
        <v>-6786.3511362077124</v>
      </c>
      <c r="BN21" s="106">
        <f t="shared" si="39"/>
        <v>-6786.3511362077124</v>
      </c>
      <c r="BO21" s="106">
        <f t="shared" si="39"/>
        <v>-6786.3511362077124</v>
      </c>
      <c r="BP21" s="106">
        <f t="shared" si="39"/>
        <v>-6786.3511362077124</v>
      </c>
      <c r="BQ21" s="106">
        <f t="shared" si="39"/>
        <v>-6786.3511362077124</v>
      </c>
      <c r="BR21" s="106">
        <f t="shared" si="39"/>
        <v>-6786.3511362077124</v>
      </c>
      <c r="BS21" s="106">
        <f t="shared" si="39"/>
        <v>-6786.3511362077124</v>
      </c>
      <c r="BT21" s="106">
        <f t="shared" si="39"/>
        <v>-6786.3511362077124</v>
      </c>
      <c r="BU21" s="106">
        <f t="shared" si="39"/>
        <v>-6786.3511362077124</v>
      </c>
      <c r="BV21" s="106">
        <f t="shared" si="39"/>
        <v>-6786.3511362077124</v>
      </c>
      <c r="BW21" s="108">
        <f t="shared" si="39"/>
        <v>-6786.3511362077124</v>
      </c>
      <c r="BX21" s="107">
        <f t="shared" si="39"/>
        <v>-7213.8912577887977</v>
      </c>
      <c r="BY21" s="106">
        <f t="shared" si="39"/>
        <v>-7213.8912577887977</v>
      </c>
      <c r="BZ21" s="106">
        <f t="shared" si="39"/>
        <v>-7213.8912577887977</v>
      </c>
      <c r="CA21" s="106">
        <f t="shared" si="39"/>
        <v>-7213.8912577887977</v>
      </c>
      <c r="CB21" s="106">
        <f t="shared" ref="CB21:DG21" si="40">$C21*CB$6</f>
        <v>-7213.8912577887977</v>
      </c>
      <c r="CC21" s="106">
        <f t="shared" si="40"/>
        <v>-7213.8912577887977</v>
      </c>
      <c r="CD21" s="106">
        <f t="shared" si="40"/>
        <v>-7213.8912577887977</v>
      </c>
      <c r="CE21" s="106">
        <f t="shared" si="40"/>
        <v>-7213.8912577887977</v>
      </c>
      <c r="CF21" s="106">
        <f t="shared" si="40"/>
        <v>-7213.8912577887977</v>
      </c>
      <c r="CG21" s="106">
        <f t="shared" si="40"/>
        <v>-7213.8912577887977</v>
      </c>
      <c r="CH21" s="106">
        <f t="shared" si="40"/>
        <v>-7213.8912577887977</v>
      </c>
      <c r="CI21" s="108">
        <f t="shared" si="40"/>
        <v>-7213.8912577887977</v>
      </c>
      <c r="CJ21" s="107">
        <f t="shared" si="40"/>
        <v>-7668.3664070294917</v>
      </c>
      <c r="CK21" s="106">
        <f t="shared" si="40"/>
        <v>-7668.3664070294917</v>
      </c>
      <c r="CL21" s="106">
        <f t="shared" si="40"/>
        <v>-7668.3664070294917</v>
      </c>
      <c r="CM21" s="106">
        <f t="shared" si="40"/>
        <v>-7668.3664070294917</v>
      </c>
      <c r="CN21" s="106">
        <f t="shared" si="40"/>
        <v>-7668.3664070294917</v>
      </c>
      <c r="CO21" s="106">
        <f t="shared" si="40"/>
        <v>-7668.3664070294917</v>
      </c>
      <c r="CP21" s="106">
        <f t="shared" si="40"/>
        <v>-7668.3664070294917</v>
      </c>
      <c r="CQ21" s="106">
        <f t="shared" si="40"/>
        <v>-7668.3664070294917</v>
      </c>
      <c r="CR21" s="106">
        <f t="shared" si="40"/>
        <v>-7668.3664070294917</v>
      </c>
      <c r="CS21" s="106">
        <f t="shared" si="40"/>
        <v>-7668.3664070294917</v>
      </c>
      <c r="CT21" s="106">
        <f t="shared" si="40"/>
        <v>-7668.3664070294917</v>
      </c>
      <c r="CU21" s="108">
        <f t="shared" si="40"/>
        <v>-7668.3664070294917</v>
      </c>
      <c r="CV21" s="107">
        <f t="shared" si="40"/>
        <v>-8151.4734906723497</v>
      </c>
      <c r="CW21" s="106">
        <f t="shared" si="40"/>
        <v>-8151.4734906723497</v>
      </c>
      <c r="CX21" s="106">
        <f t="shared" si="40"/>
        <v>-8151.4734906723497</v>
      </c>
      <c r="CY21" s="106">
        <f t="shared" si="40"/>
        <v>-8151.4734906723497</v>
      </c>
      <c r="CZ21" s="106">
        <f t="shared" si="40"/>
        <v>-8151.4734906723497</v>
      </c>
      <c r="DA21" s="106">
        <f t="shared" si="40"/>
        <v>-8151.4734906723497</v>
      </c>
      <c r="DB21" s="106">
        <f t="shared" si="40"/>
        <v>-8151.4734906723497</v>
      </c>
      <c r="DC21" s="106">
        <f t="shared" si="40"/>
        <v>-8151.4734906723497</v>
      </c>
      <c r="DD21" s="106">
        <f t="shared" si="40"/>
        <v>-8151.4734906723497</v>
      </c>
      <c r="DE21" s="106">
        <f t="shared" si="40"/>
        <v>-8151.4734906723497</v>
      </c>
      <c r="DF21" s="106">
        <f t="shared" si="40"/>
        <v>-8151.4734906723497</v>
      </c>
      <c r="DG21" s="108">
        <f t="shared" si="40"/>
        <v>-8151.4734906723497</v>
      </c>
      <c r="DH21" s="107">
        <f t="shared" ref="DH21:DS21" si="41">$C21*DH$6</f>
        <v>-8665.0163205847075</v>
      </c>
      <c r="DI21" s="106">
        <f t="shared" si="41"/>
        <v>-8665.0163205847075</v>
      </c>
      <c r="DJ21" s="106">
        <f t="shared" si="41"/>
        <v>-8665.0163205847075</v>
      </c>
      <c r="DK21" s="106">
        <f t="shared" si="41"/>
        <v>-8665.0163205847075</v>
      </c>
      <c r="DL21" s="106">
        <f t="shared" si="41"/>
        <v>-8665.0163205847075</v>
      </c>
      <c r="DM21" s="106">
        <f t="shared" si="41"/>
        <v>-8665.0163205847075</v>
      </c>
      <c r="DN21" s="106">
        <f t="shared" si="41"/>
        <v>-8665.0163205847075</v>
      </c>
      <c r="DO21" s="106">
        <f t="shared" si="41"/>
        <v>-8665.0163205847075</v>
      </c>
      <c r="DP21" s="106">
        <f t="shared" si="41"/>
        <v>-8665.0163205847075</v>
      </c>
      <c r="DQ21" s="106">
        <f t="shared" si="41"/>
        <v>-8665.0163205847075</v>
      </c>
      <c r="DR21" s="106">
        <f t="shared" si="41"/>
        <v>-8665.0163205847075</v>
      </c>
      <c r="DS21" s="108">
        <f t="shared" si="41"/>
        <v>-8665.0163205847075</v>
      </c>
    </row>
    <row r="22" spans="2:123" ht="15" x14ac:dyDescent="0.25">
      <c r="B22" s="160" t="s">
        <v>353</v>
      </c>
      <c r="C22" s="833">
        <v>-10000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>
        <f t="shared" ref="N22:O22" si="42">$C22*N6</f>
        <v>-10000</v>
      </c>
      <c r="O22" s="535">
        <f t="shared" si="42"/>
        <v>-10000</v>
      </c>
      <c r="P22" s="107">
        <f t="shared" ref="P22:AU22" si="43">$C22*P6</f>
        <v>-10630</v>
      </c>
      <c r="Q22" s="106">
        <f t="shared" si="43"/>
        <v>-10630</v>
      </c>
      <c r="R22" s="106">
        <f t="shared" si="43"/>
        <v>-10630</v>
      </c>
      <c r="S22" s="106">
        <f t="shared" si="43"/>
        <v>-10630</v>
      </c>
      <c r="T22" s="106">
        <f t="shared" si="43"/>
        <v>-10630</v>
      </c>
      <c r="U22" s="106">
        <f t="shared" si="43"/>
        <v>-10630</v>
      </c>
      <c r="V22" s="106">
        <f t="shared" si="43"/>
        <v>-10630</v>
      </c>
      <c r="W22" s="106">
        <f t="shared" si="43"/>
        <v>-10630</v>
      </c>
      <c r="X22" s="106">
        <f t="shared" si="43"/>
        <v>-10630</v>
      </c>
      <c r="Y22" s="106">
        <f t="shared" si="43"/>
        <v>-10630</v>
      </c>
      <c r="Z22" s="106">
        <f t="shared" si="43"/>
        <v>-10630</v>
      </c>
      <c r="AA22" s="108">
        <f t="shared" si="43"/>
        <v>-10630</v>
      </c>
      <c r="AB22" s="107">
        <f t="shared" si="43"/>
        <v>-11299.689999999999</v>
      </c>
      <c r="AC22" s="106">
        <f t="shared" si="43"/>
        <v>-11299.689999999999</v>
      </c>
      <c r="AD22" s="106">
        <f t="shared" si="43"/>
        <v>-11299.689999999999</v>
      </c>
      <c r="AE22" s="106">
        <f t="shared" si="43"/>
        <v>-11299.689999999999</v>
      </c>
      <c r="AF22" s="106">
        <f t="shared" si="43"/>
        <v>-11299.689999999999</v>
      </c>
      <c r="AG22" s="106">
        <f t="shared" si="43"/>
        <v>-11299.689999999999</v>
      </c>
      <c r="AH22" s="106">
        <f t="shared" si="43"/>
        <v>-11299.689999999999</v>
      </c>
      <c r="AI22" s="106">
        <f t="shared" si="43"/>
        <v>-11299.689999999999</v>
      </c>
      <c r="AJ22" s="106">
        <f t="shared" si="43"/>
        <v>-11299.689999999999</v>
      </c>
      <c r="AK22" s="106">
        <f t="shared" si="43"/>
        <v>-11299.689999999999</v>
      </c>
      <c r="AL22" s="106">
        <f t="shared" si="43"/>
        <v>-11299.689999999999</v>
      </c>
      <c r="AM22" s="108">
        <f t="shared" si="43"/>
        <v>-11299.689999999999</v>
      </c>
      <c r="AN22" s="107">
        <f t="shared" si="43"/>
        <v>-12011.570469999997</v>
      </c>
      <c r="AO22" s="106">
        <f t="shared" si="43"/>
        <v>-12011.570469999997</v>
      </c>
      <c r="AP22" s="106">
        <f t="shared" si="43"/>
        <v>-12011.570469999997</v>
      </c>
      <c r="AQ22" s="106">
        <f t="shared" si="43"/>
        <v>-12011.570469999997</v>
      </c>
      <c r="AR22" s="106">
        <f t="shared" si="43"/>
        <v>-12011.570469999997</v>
      </c>
      <c r="AS22" s="106">
        <f t="shared" si="43"/>
        <v>-12011.570469999997</v>
      </c>
      <c r="AT22" s="106">
        <f t="shared" si="43"/>
        <v>-12011.570469999997</v>
      </c>
      <c r="AU22" s="106">
        <f t="shared" si="43"/>
        <v>-12011.570469999997</v>
      </c>
      <c r="AV22" s="106">
        <f t="shared" ref="AV22:CA22" si="44">$C22*AV6</f>
        <v>-12011.570469999997</v>
      </c>
      <c r="AW22" s="106">
        <f t="shared" si="44"/>
        <v>-12011.570469999997</v>
      </c>
      <c r="AX22" s="106">
        <f t="shared" si="44"/>
        <v>-12011.570469999997</v>
      </c>
      <c r="AY22" s="108">
        <f t="shared" si="44"/>
        <v>-12011.570469999997</v>
      </c>
      <c r="AZ22" s="107">
        <f t="shared" si="44"/>
        <v>-12768.299409609996</v>
      </c>
      <c r="BA22" s="106">
        <f t="shared" si="44"/>
        <v>-12768.299409609996</v>
      </c>
      <c r="BB22" s="106">
        <f t="shared" si="44"/>
        <v>-12768.299409609996</v>
      </c>
      <c r="BC22" s="106">
        <f t="shared" si="44"/>
        <v>-12768.299409609996</v>
      </c>
      <c r="BD22" s="106">
        <f t="shared" si="44"/>
        <v>-12768.299409609996</v>
      </c>
      <c r="BE22" s="106">
        <f t="shared" si="44"/>
        <v>-12768.299409609996</v>
      </c>
      <c r="BF22" s="106">
        <f t="shared" si="44"/>
        <v>-12768.299409609996</v>
      </c>
      <c r="BG22" s="106">
        <f t="shared" si="44"/>
        <v>-12768.299409609996</v>
      </c>
      <c r="BH22" s="106">
        <f t="shared" si="44"/>
        <v>-12768.299409609996</v>
      </c>
      <c r="BI22" s="106">
        <f t="shared" si="44"/>
        <v>-12768.299409609996</v>
      </c>
      <c r="BJ22" s="106">
        <f t="shared" si="44"/>
        <v>-12768.299409609996</v>
      </c>
      <c r="BK22" s="108">
        <f t="shared" si="44"/>
        <v>-12768.299409609996</v>
      </c>
      <c r="BL22" s="107">
        <f t="shared" si="44"/>
        <v>-13572.702272415425</v>
      </c>
      <c r="BM22" s="106">
        <f t="shared" si="44"/>
        <v>-13572.702272415425</v>
      </c>
      <c r="BN22" s="106">
        <f t="shared" si="44"/>
        <v>-13572.702272415425</v>
      </c>
      <c r="BO22" s="106">
        <f t="shared" si="44"/>
        <v>-13572.702272415425</v>
      </c>
      <c r="BP22" s="106">
        <f t="shared" si="44"/>
        <v>-13572.702272415425</v>
      </c>
      <c r="BQ22" s="106">
        <f t="shared" si="44"/>
        <v>-13572.702272415425</v>
      </c>
      <c r="BR22" s="106">
        <f t="shared" si="44"/>
        <v>-13572.702272415425</v>
      </c>
      <c r="BS22" s="106">
        <f t="shared" si="44"/>
        <v>-13572.702272415425</v>
      </c>
      <c r="BT22" s="106">
        <f t="shared" si="44"/>
        <v>-13572.702272415425</v>
      </c>
      <c r="BU22" s="106">
        <f t="shared" si="44"/>
        <v>-13572.702272415425</v>
      </c>
      <c r="BV22" s="106">
        <f t="shared" si="44"/>
        <v>-13572.702272415425</v>
      </c>
      <c r="BW22" s="108">
        <f t="shared" si="44"/>
        <v>-13572.702272415425</v>
      </c>
      <c r="BX22" s="107">
        <f t="shared" si="44"/>
        <v>-14427.782515577595</v>
      </c>
      <c r="BY22" s="106">
        <f t="shared" si="44"/>
        <v>-14427.782515577595</v>
      </c>
      <c r="BZ22" s="106">
        <f t="shared" si="44"/>
        <v>-14427.782515577595</v>
      </c>
      <c r="CA22" s="106">
        <f t="shared" si="44"/>
        <v>-14427.782515577595</v>
      </c>
      <c r="CB22" s="106">
        <f t="shared" ref="CB22:DG22" si="45">$C22*CB6</f>
        <v>-14427.782515577595</v>
      </c>
      <c r="CC22" s="106">
        <f t="shared" si="45"/>
        <v>-14427.782515577595</v>
      </c>
      <c r="CD22" s="106">
        <f t="shared" si="45"/>
        <v>-14427.782515577595</v>
      </c>
      <c r="CE22" s="106">
        <f t="shared" si="45"/>
        <v>-14427.782515577595</v>
      </c>
      <c r="CF22" s="106">
        <f t="shared" si="45"/>
        <v>-14427.782515577595</v>
      </c>
      <c r="CG22" s="106">
        <f t="shared" si="45"/>
        <v>-14427.782515577595</v>
      </c>
      <c r="CH22" s="106">
        <f t="shared" si="45"/>
        <v>-14427.782515577595</v>
      </c>
      <c r="CI22" s="108">
        <f t="shared" si="45"/>
        <v>-14427.782515577595</v>
      </c>
      <c r="CJ22" s="107">
        <f t="shared" si="45"/>
        <v>-15336.732814058983</v>
      </c>
      <c r="CK22" s="106">
        <f t="shared" si="45"/>
        <v>-15336.732814058983</v>
      </c>
      <c r="CL22" s="106">
        <f t="shared" si="45"/>
        <v>-15336.732814058983</v>
      </c>
      <c r="CM22" s="106">
        <f t="shared" si="45"/>
        <v>-15336.732814058983</v>
      </c>
      <c r="CN22" s="106">
        <f t="shared" si="45"/>
        <v>-15336.732814058983</v>
      </c>
      <c r="CO22" s="106">
        <f t="shared" si="45"/>
        <v>-15336.732814058983</v>
      </c>
      <c r="CP22" s="106">
        <f t="shared" si="45"/>
        <v>-15336.732814058983</v>
      </c>
      <c r="CQ22" s="106">
        <f t="shared" si="45"/>
        <v>-15336.732814058983</v>
      </c>
      <c r="CR22" s="106">
        <f t="shared" si="45"/>
        <v>-15336.732814058983</v>
      </c>
      <c r="CS22" s="106">
        <f t="shared" si="45"/>
        <v>-15336.732814058983</v>
      </c>
      <c r="CT22" s="106">
        <f t="shared" si="45"/>
        <v>-15336.732814058983</v>
      </c>
      <c r="CU22" s="108">
        <f t="shared" si="45"/>
        <v>-15336.732814058983</v>
      </c>
      <c r="CV22" s="107">
        <f t="shared" si="45"/>
        <v>-16302.946981344699</v>
      </c>
      <c r="CW22" s="106">
        <f t="shared" si="45"/>
        <v>-16302.946981344699</v>
      </c>
      <c r="CX22" s="106">
        <f t="shared" si="45"/>
        <v>-16302.946981344699</v>
      </c>
      <c r="CY22" s="106">
        <f t="shared" si="45"/>
        <v>-16302.946981344699</v>
      </c>
      <c r="CZ22" s="106">
        <f t="shared" si="45"/>
        <v>-16302.946981344699</v>
      </c>
      <c r="DA22" s="106">
        <f t="shared" si="45"/>
        <v>-16302.946981344699</v>
      </c>
      <c r="DB22" s="106">
        <f t="shared" si="45"/>
        <v>-16302.946981344699</v>
      </c>
      <c r="DC22" s="106">
        <f t="shared" si="45"/>
        <v>-16302.946981344699</v>
      </c>
      <c r="DD22" s="106">
        <f t="shared" si="45"/>
        <v>-16302.946981344699</v>
      </c>
      <c r="DE22" s="106">
        <f t="shared" si="45"/>
        <v>-16302.946981344699</v>
      </c>
      <c r="DF22" s="106">
        <f t="shared" si="45"/>
        <v>-16302.946981344699</v>
      </c>
      <c r="DG22" s="108">
        <f t="shared" si="45"/>
        <v>-16302.946981344699</v>
      </c>
      <c r="DH22" s="107">
        <f t="shared" ref="DH22:DS22" si="46">$C22*DH6</f>
        <v>-17330.032641169415</v>
      </c>
      <c r="DI22" s="106">
        <f t="shared" si="46"/>
        <v>-17330.032641169415</v>
      </c>
      <c r="DJ22" s="106">
        <f t="shared" si="46"/>
        <v>-17330.032641169415</v>
      </c>
      <c r="DK22" s="106">
        <f t="shared" si="46"/>
        <v>-17330.032641169415</v>
      </c>
      <c r="DL22" s="106">
        <f t="shared" si="46"/>
        <v>-17330.032641169415</v>
      </c>
      <c r="DM22" s="106">
        <f t="shared" si="46"/>
        <v>-17330.032641169415</v>
      </c>
      <c r="DN22" s="106">
        <f t="shared" si="46"/>
        <v>-17330.032641169415</v>
      </c>
      <c r="DO22" s="106">
        <f t="shared" si="46"/>
        <v>-17330.032641169415</v>
      </c>
      <c r="DP22" s="106">
        <f t="shared" si="46"/>
        <v>-17330.032641169415</v>
      </c>
      <c r="DQ22" s="106">
        <f t="shared" si="46"/>
        <v>-17330.032641169415</v>
      </c>
      <c r="DR22" s="106">
        <f t="shared" si="46"/>
        <v>-17330.032641169415</v>
      </c>
      <c r="DS22" s="108">
        <f t="shared" si="46"/>
        <v>-17330.032641169415</v>
      </c>
    </row>
    <row r="23" spans="2:123" ht="15" x14ac:dyDescent="0.25">
      <c r="B23" s="160" t="s">
        <v>259</v>
      </c>
      <c r="C23" s="833">
        <v>-500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>
        <f t="shared" ref="N23:O23" si="47">$C23*N6</f>
        <v>-500</v>
      </c>
      <c r="O23" s="535">
        <f t="shared" si="47"/>
        <v>-500</v>
      </c>
      <c r="P23" s="107">
        <f t="shared" ref="P23:AU23" si="48">$C23*P6</f>
        <v>-531.5</v>
      </c>
      <c r="Q23" s="106">
        <f t="shared" si="48"/>
        <v>-531.5</v>
      </c>
      <c r="R23" s="106">
        <f t="shared" si="48"/>
        <v>-531.5</v>
      </c>
      <c r="S23" s="106">
        <f t="shared" si="48"/>
        <v>-531.5</v>
      </c>
      <c r="T23" s="106">
        <f t="shared" si="48"/>
        <v>-531.5</v>
      </c>
      <c r="U23" s="106">
        <f t="shared" si="48"/>
        <v>-531.5</v>
      </c>
      <c r="V23" s="106">
        <f t="shared" si="48"/>
        <v>-531.5</v>
      </c>
      <c r="W23" s="106">
        <f t="shared" si="48"/>
        <v>-531.5</v>
      </c>
      <c r="X23" s="106">
        <f t="shared" si="48"/>
        <v>-531.5</v>
      </c>
      <c r="Y23" s="106">
        <f t="shared" si="48"/>
        <v>-531.5</v>
      </c>
      <c r="Z23" s="106">
        <f t="shared" si="48"/>
        <v>-531.5</v>
      </c>
      <c r="AA23" s="108">
        <f t="shared" si="48"/>
        <v>-531.5</v>
      </c>
      <c r="AB23" s="107">
        <f t="shared" si="48"/>
        <v>-564.98449999999991</v>
      </c>
      <c r="AC23" s="106">
        <f t="shared" si="48"/>
        <v>-564.98449999999991</v>
      </c>
      <c r="AD23" s="106">
        <f t="shared" si="48"/>
        <v>-564.98449999999991</v>
      </c>
      <c r="AE23" s="106">
        <f t="shared" si="48"/>
        <v>-564.98449999999991</v>
      </c>
      <c r="AF23" s="106">
        <f t="shared" si="48"/>
        <v>-564.98449999999991</v>
      </c>
      <c r="AG23" s="106">
        <f t="shared" si="48"/>
        <v>-564.98449999999991</v>
      </c>
      <c r="AH23" s="106">
        <f t="shared" si="48"/>
        <v>-564.98449999999991</v>
      </c>
      <c r="AI23" s="106">
        <f t="shared" si="48"/>
        <v>-564.98449999999991</v>
      </c>
      <c r="AJ23" s="106">
        <f t="shared" si="48"/>
        <v>-564.98449999999991</v>
      </c>
      <c r="AK23" s="106">
        <f t="shared" si="48"/>
        <v>-564.98449999999991</v>
      </c>
      <c r="AL23" s="106">
        <f t="shared" si="48"/>
        <v>-564.98449999999991</v>
      </c>
      <c r="AM23" s="108">
        <f t="shared" si="48"/>
        <v>-564.98449999999991</v>
      </c>
      <c r="AN23" s="107">
        <f t="shared" si="48"/>
        <v>-600.57852349999985</v>
      </c>
      <c r="AO23" s="106">
        <f t="shared" si="48"/>
        <v>-600.57852349999985</v>
      </c>
      <c r="AP23" s="106">
        <f t="shared" si="48"/>
        <v>-600.57852349999985</v>
      </c>
      <c r="AQ23" s="106">
        <f t="shared" si="48"/>
        <v>-600.57852349999985</v>
      </c>
      <c r="AR23" s="106">
        <f t="shared" si="48"/>
        <v>-600.57852349999985</v>
      </c>
      <c r="AS23" s="106">
        <f t="shared" si="48"/>
        <v>-600.57852349999985</v>
      </c>
      <c r="AT23" s="106">
        <f t="shared" si="48"/>
        <v>-600.57852349999985</v>
      </c>
      <c r="AU23" s="106">
        <f t="shared" si="48"/>
        <v>-600.57852349999985</v>
      </c>
      <c r="AV23" s="106">
        <f t="shared" ref="AV23:CA23" si="49">$C23*AV6</f>
        <v>-600.57852349999985</v>
      </c>
      <c r="AW23" s="106">
        <f t="shared" si="49"/>
        <v>-600.57852349999985</v>
      </c>
      <c r="AX23" s="106">
        <f t="shared" si="49"/>
        <v>-600.57852349999985</v>
      </c>
      <c r="AY23" s="108">
        <f t="shared" si="49"/>
        <v>-600.57852349999985</v>
      </c>
      <c r="AZ23" s="107">
        <f t="shared" si="49"/>
        <v>-638.41497048049973</v>
      </c>
      <c r="BA23" s="106">
        <f t="shared" si="49"/>
        <v>-638.41497048049973</v>
      </c>
      <c r="BB23" s="106">
        <f t="shared" si="49"/>
        <v>-638.41497048049973</v>
      </c>
      <c r="BC23" s="106">
        <f t="shared" si="49"/>
        <v>-638.41497048049973</v>
      </c>
      <c r="BD23" s="106">
        <f t="shared" si="49"/>
        <v>-638.41497048049973</v>
      </c>
      <c r="BE23" s="106">
        <f t="shared" si="49"/>
        <v>-638.41497048049973</v>
      </c>
      <c r="BF23" s="106">
        <f t="shared" si="49"/>
        <v>-638.41497048049973</v>
      </c>
      <c r="BG23" s="106">
        <f t="shared" si="49"/>
        <v>-638.41497048049973</v>
      </c>
      <c r="BH23" s="106">
        <f t="shared" si="49"/>
        <v>-638.41497048049973</v>
      </c>
      <c r="BI23" s="106">
        <f t="shared" si="49"/>
        <v>-638.41497048049973</v>
      </c>
      <c r="BJ23" s="106">
        <f t="shared" si="49"/>
        <v>-638.41497048049973</v>
      </c>
      <c r="BK23" s="108">
        <f t="shared" si="49"/>
        <v>-638.41497048049973</v>
      </c>
      <c r="BL23" s="107">
        <f t="shared" si="49"/>
        <v>-678.63511362077122</v>
      </c>
      <c r="BM23" s="106">
        <f t="shared" si="49"/>
        <v>-678.63511362077122</v>
      </c>
      <c r="BN23" s="106">
        <f t="shared" si="49"/>
        <v>-678.63511362077122</v>
      </c>
      <c r="BO23" s="106">
        <f t="shared" si="49"/>
        <v>-678.63511362077122</v>
      </c>
      <c r="BP23" s="106">
        <f t="shared" si="49"/>
        <v>-678.63511362077122</v>
      </c>
      <c r="BQ23" s="106">
        <f t="shared" si="49"/>
        <v>-678.63511362077122</v>
      </c>
      <c r="BR23" s="106">
        <f t="shared" si="49"/>
        <v>-678.63511362077122</v>
      </c>
      <c r="BS23" s="106">
        <f t="shared" si="49"/>
        <v>-678.63511362077122</v>
      </c>
      <c r="BT23" s="106">
        <f t="shared" si="49"/>
        <v>-678.63511362077122</v>
      </c>
      <c r="BU23" s="106">
        <f t="shared" si="49"/>
        <v>-678.63511362077122</v>
      </c>
      <c r="BV23" s="106">
        <f t="shared" si="49"/>
        <v>-678.63511362077122</v>
      </c>
      <c r="BW23" s="108">
        <f t="shared" si="49"/>
        <v>-678.63511362077122</v>
      </c>
      <c r="BX23" s="107">
        <f t="shared" si="49"/>
        <v>-721.38912577887982</v>
      </c>
      <c r="BY23" s="106">
        <f t="shared" si="49"/>
        <v>-721.38912577887982</v>
      </c>
      <c r="BZ23" s="106">
        <f t="shared" si="49"/>
        <v>-721.38912577887982</v>
      </c>
      <c r="CA23" s="106">
        <f t="shared" si="49"/>
        <v>-721.38912577887982</v>
      </c>
      <c r="CB23" s="106">
        <f t="shared" ref="CB23:DG23" si="50">$C23*CB6</f>
        <v>-721.38912577887982</v>
      </c>
      <c r="CC23" s="106">
        <f t="shared" si="50"/>
        <v>-721.38912577887982</v>
      </c>
      <c r="CD23" s="106">
        <f t="shared" si="50"/>
        <v>-721.38912577887982</v>
      </c>
      <c r="CE23" s="106">
        <f t="shared" si="50"/>
        <v>-721.38912577887982</v>
      </c>
      <c r="CF23" s="106">
        <f t="shared" si="50"/>
        <v>-721.38912577887982</v>
      </c>
      <c r="CG23" s="106">
        <f t="shared" si="50"/>
        <v>-721.38912577887982</v>
      </c>
      <c r="CH23" s="106">
        <f t="shared" si="50"/>
        <v>-721.38912577887982</v>
      </c>
      <c r="CI23" s="108">
        <f t="shared" si="50"/>
        <v>-721.38912577887982</v>
      </c>
      <c r="CJ23" s="107">
        <f t="shared" si="50"/>
        <v>-766.83664070294924</v>
      </c>
      <c r="CK23" s="106">
        <f t="shared" si="50"/>
        <v>-766.83664070294924</v>
      </c>
      <c r="CL23" s="106">
        <f t="shared" si="50"/>
        <v>-766.83664070294924</v>
      </c>
      <c r="CM23" s="106">
        <f t="shared" si="50"/>
        <v>-766.83664070294924</v>
      </c>
      <c r="CN23" s="106">
        <f t="shared" si="50"/>
        <v>-766.83664070294924</v>
      </c>
      <c r="CO23" s="106">
        <f t="shared" si="50"/>
        <v>-766.83664070294924</v>
      </c>
      <c r="CP23" s="106">
        <f t="shared" si="50"/>
        <v>-766.83664070294924</v>
      </c>
      <c r="CQ23" s="106">
        <f t="shared" si="50"/>
        <v>-766.83664070294924</v>
      </c>
      <c r="CR23" s="106">
        <f t="shared" si="50"/>
        <v>-766.83664070294924</v>
      </c>
      <c r="CS23" s="106">
        <f t="shared" si="50"/>
        <v>-766.83664070294924</v>
      </c>
      <c r="CT23" s="106">
        <f t="shared" si="50"/>
        <v>-766.83664070294924</v>
      </c>
      <c r="CU23" s="108">
        <f t="shared" si="50"/>
        <v>-766.83664070294924</v>
      </c>
      <c r="CV23" s="107">
        <f t="shared" si="50"/>
        <v>-815.14734906723493</v>
      </c>
      <c r="CW23" s="106">
        <f t="shared" si="50"/>
        <v>-815.14734906723493</v>
      </c>
      <c r="CX23" s="106">
        <f t="shared" si="50"/>
        <v>-815.14734906723493</v>
      </c>
      <c r="CY23" s="106">
        <f t="shared" si="50"/>
        <v>-815.14734906723493</v>
      </c>
      <c r="CZ23" s="106">
        <f t="shared" si="50"/>
        <v>-815.14734906723493</v>
      </c>
      <c r="DA23" s="106">
        <f t="shared" si="50"/>
        <v>-815.14734906723493</v>
      </c>
      <c r="DB23" s="106">
        <f t="shared" si="50"/>
        <v>-815.14734906723493</v>
      </c>
      <c r="DC23" s="106">
        <f t="shared" si="50"/>
        <v>-815.14734906723493</v>
      </c>
      <c r="DD23" s="106">
        <f t="shared" si="50"/>
        <v>-815.14734906723493</v>
      </c>
      <c r="DE23" s="106">
        <f t="shared" si="50"/>
        <v>-815.14734906723493</v>
      </c>
      <c r="DF23" s="106">
        <f t="shared" si="50"/>
        <v>-815.14734906723493</v>
      </c>
      <c r="DG23" s="108">
        <f t="shared" si="50"/>
        <v>-815.14734906723493</v>
      </c>
      <c r="DH23" s="107">
        <f t="shared" ref="DH23:DS23" si="51">$C23*DH6</f>
        <v>-866.5016320584707</v>
      </c>
      <c r="DI23" s="106">
        <f t="shared" si="51"/>
        <v>-866.5016320584707</v>
      </c>
      <c r="DJ23" s="106">
        <f t="shared" si="51"/>
        <v>-866.5016320584707</v>
      </c>
      <c r="DK23" s="106">
        <f t="shared" si="51"/>
        <v>-866.5016320584707</v>
      </c>
      <c r="DL23" s="106">
        <f t="shared" si="51"/>
        <v>-866.5016320584707</v>
      </c>
      <c r="DM23" s="106">
        <f t="shared" si="51"/>
        <v>-866.5016320584707</v>
      </c>
      <c r="DN23" s="106">
        <f t="shared" si="51"/>
        <v>-866.5016320584707</v>
      </c>
      <c r="DO23" s="106">
        <f t="shared" si="51"/>
        <v>-866.5016320584707</v>
      </c>
      <c r="DP23" s="106">
        <f t="shared" si="51"/>
        <v>-866.5016320584707</v>
      </c>
      <c r="DQ23" s="106">
        <f t="shared" si="51"/>
        <v>-866.5016320584707</v>
      </c>
      <c r="DR23" s="106">
        <f t="shared" si="51"/>
        <v>-866.5016320584707</v>
      </c>
      <c r="DS23" s="108">
        <f t="shared" si="51"/>
        <v>-866.5016320584707</v>
      </c>
    </row>
    <row r="24" spans="2:123" ht="15" x14ac:dyDescent="0.25">
      <c r="B24" s="160" t="s">
        <v>260</v>
      </c>
      <c r="C24" s="833">
        <v>-2000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>
        <f t="shared" ref="N24:O24" si="52">$C24*N$6</f>
        <v>-2000</v>
      </c>
      <c r="O24" s="535">
        <f t="shared" si="52"/>
        <v>-2000</v>
      </c>
      <c r="P24" s="107">
        <f t="shared" ref="P24:AA24" si="53">$C24*P$6</f>
        <v>-2126</v>
      </c>
      <c r="Q24" s="106">
        <f t="shared" si="53"/>
        <v>-2126</v>
      </c>
      <c r="R24" s="106">
        <f t="shared" si="53"/>
        <v>-2126</v>
      </c>
      <c r="S24" s="106">
        <f t="shared" si="53"/>
        <v>-2126</v>
      </c>
      <c r="T24" s="106">
        <f t="shared" si="53"/>
        <v>-2126</v>
      </c>
      <c r="U24" s="106">
        <f t="shared" si="53"/>
        <v>-2126</v>
      </c>
      <c r="V24" s="106">
        <f t="shared" si="53"/>
        <v>-2126</v>
      </c>
      <c r="W24" s="106">
        <f t="shared" si="53"/>
        <v>-2126</v>
      </c>
      <c r="X24" s="106">
        <f t="shared" si="53"/>
        <v>-2126</v>
      </c>
      <c r="Y24" s="106">
        <f t="shared" si="53"/>
        <v>-2126</v>
      </c>
      <c r="Z24" s="106">
        <f t="shared" si="53"/>
        <v>-2126</v>
      </c>
      <c r="AA24" s="108">
        <f t="shared" si="53"/>
        <v>-2126</v>
      </c>
      <c r="AB24" s="107">
        <v>-24268</v>
      </c>
      <c r="AC24" s="106">
        <f t="shared" ref="AC24:BH24" si="54">$C24*AC$6</f>
        <v>-2259.9379999999996</v>
      </c>
      <c r="AD24" s="106">
        <f t="shared" si="54"/>
        <v>-2259.9379999999996</v>
      </c>
      <c r="AE24" s="106">
        <f t="shared" si="54"/>
        <v>-2259.9379999999996</v>
      </c>
      <c r="AF24" s="106">
        <f t="shared" si="54"/>
        <v>-2259.9379999999996</v>
      </c>
      <c r="AG24" s="106">
        <f t="shared" si="54"/>
        <v>-2259.9379999999996</v>
      </c>
      <c r="AH24" s="106">
        <f t="shared" si="54"/>
        <v>-2259.9379999999996</v>
      </c>
      <c r="AI24" s="106">
        <f t="shared" si="54"/>
        <v>-2259.9379999999996</v>
      </c>
      <c r="AJ24" s="106">
        <f t="shared" si="54"/>
        <v>-2259.9379999999996</v>
      </c>
      <c r="AK24" s="106">
        <f t="shared" si="54"/>
        <v>-2259.9379999999996</v>
      </c>
      <c r="AL24" s="106">
        <f t="shared" si="54"/>
        <v>-2259.9379999999996</v>
      </c>
      <c r="AM24" s="108">
        <f t="shared" si="54"/>
        <v>-2259.9379999999996</v>
      </c>
      <c r="AN24" s="107">
        <f t="shared" si="54"/>
        <v>-2402.3140939999994</v>
      </c>
      <c r="AO24" s="106">
        <f t="shared" si="54"/>
        <v>-2402.3140939999994</v>
      </c>
      <c r="AP24" s="106">
        <f t="shared" si="54"/>
        <v>-2402.3140939999994</v>
      </c>
      <c r="AQ24" s="106">
        <f t="shared" si="54"/>
        <v>-2402.3140939999994</v>
      </c>
      <c r="AR24" s="106">
        <f t="shared" si="54"/>
        <v>-2402.3140939999994</v>
      </c>
      <c r="AS24" s="106">
        <f t="shared" si="54"/>
        <v>-2402.3140939999994</v>
      </c>
      <c r="AT24" s="106">
        <f t="shared" si="54"/>
        <v>-2402.3140939999994</v>
      </c>
      <c r="AU24" s="106">
        <f t="shared" si="54"/>
        <v>-2402.3140939999994</v>
      </c>
      <c r="AV24" s="106">
        <f t="shared" si="54"/>
        <v>-2402.3140939999994</v>
      </c>
      <c r="AW24" s="106">
        <f t="shared" si="54"/>
        <v>-2402.3140939999994</v>
      </c>
      <c r="AX24" s="106">
        <f t="shared" si="54"/>
        <v>-2402.3140939999994</v>
      </c>
      <c r="AY24" s="108">
        <f t="shared" si="54"/>
        <v>-2402.3140939999994</v>
      </c>
      <c r="AZ24" s="107">
        <f t="shared" si="54"/>
        <v>-2553.6598819219989</v>
      </c>
      <c r="BA24" s="106">
        <f t="shared" si="54"/>
        <v>-2553.6598819219989</v>
      </c>
      <c r="BB24" s="106">
        <f t="shared" si="54"/>
        <v>-2553.6598819219989</v>
      </c>
      <c r="BC24" s="106">
        <f t="shared" si="54"/>
        <v>-2553.6598819219989</v>
      </c>
      <c r="BD24" s="106">
        <f t="shared" si="54"/>
        <v>-2553.6598819219989</v>
      </c>
      <c r="BE24" s="106">
        <f t="shared" si="54"/>
        <v>-2553.6598819219989</v>
      </c>
      <c r="BF24" s="106">
        <f t="shared" si="54"/>
        <v>-2553.6598819219989</v>
      </c>
      <c r="BG24" s="106">
        <f t="shared" si="54"/>
        <v>-2553.6598819219989</v>
      </c>
      <c r="BH24" s="106">
        <f t="shared" si="54"/>
        <v>-2553.6598819219989</v>
      </c>
      <c r="BI24" s="106">
        <f t="shared" ref="BI24:CN24" si="55">$C24*BI$6</f>
        <v>-2553.6598819219989</v>
      </c>
      <c r="BJ24" s="106">
        <f t="shared" si="55"/>
        <v>-2553.6598819219989</v>
      </c>
      <c r="BK24" s="108">
        <f t="shared" si="55"/>
        <v>-2553.6598819219989</v>
      </c>
      <c r="BL24" s="107">
        <f t="shared" si="55"/>
        <v>-2714.5404544830849</v>
      </c>
      <c r="BM24" s="106">
        <f t="shared" si="55"/>
        <v>-2714.5404544830849</v>
      </c>
      <c r="BN24" s="106">
        <f t="shared" si="55"/>
        <v>-2714.5404544830849</v>
      </c>
      <c r="BO24" s="106">
        <f t="shared" si="55"/>
        <v>-2714.5404544830849</v>
      </c>
      <c r="BP24" s="106">
        <f t="shared" si="55"/>
        <v>-2714.5404544830849</v>
      </c>
      <c r="BQ24" s="106">
        <f t="shared" si="55"/>
        <v>-2714.5404544830849</v>
      </c>
      <c r="BR24" s="106">
        <f t="shared" si="55"/>
        <v>-2714.5404544830849</v>
      </c>
      <c r="BS24" s="106">
        <f t="shared" si="55"/>
        <v>-2714.5404544830849</v>
      </c>
      <c r="BT24" s="106">
        <f t="shared" si="55"/>
        <v>-2714.5404544830849</v>
      </c>
      <c r="BU24" s="106">
        <f t="shared" si="55"/>
        <v>-2714.5404544830849</v>
      </c>
      <c r="BV24" s="106">
        <f t="shared" si="55"/>
        <v>-2714.5404544830849</v>
      </c>
      <c r="BW24" s="108">
        <f t="shared" si="55"/>
        <v>-2714.5404544830849</v>
      </c>
      <c r="BX24" s="107">
        <f t="shared" si="55"/>
        <v>-2885.5565031155193</v>
      </c>
      <c r="BY24" s="106">
        <f t="shared" si="55"/>
        <v>-2885.5565031155193</v>
      </c>
      <c r="BZ24" s="106">
        <f t="shared" si="55"/>
        <v>-2885.5565031155193</v>
      </c>
      <c r="CA24" s="106">
        <f t="shared" si="55"/>
        <v>-2885.5565031155193</v>
      </c>
      <c r="CB24" s="106">
        <f t="shared" si="55"/>
        <v>-2885.5565031155193</v>
      </c>
      <c r="CC24" s="106">
        <f t="shared" si="55"/>
        <v>-2885.5565031155193</v>
      </c>
      <c r="CD24" s="106">
        <f t="shared" si="55"/>
        <v>-2885.5565031155193</v>
      </c>
      <c r="CE24" s="106">
        <f t="shared" si="55"/>
        <v>-2885.5565031155193</v>
      </c>
      <c r="CF24" s="106">
        <f t="shared" si="55"/>
        <v>-2885.5565031155193</v>
      </c>
      <c r="CG24" s="106">
        <f t="shared" si="55"/>
        <v>-2885.5565031155193</v>
      </c>
      <c r="CH24" s="106">
        <f t="shared" si="55"/>
        <v>-2885.5565031155193</v>
      </c>
      <c r="CI24" s="108">
        <f t="shared" si="55"/>
        <v>-2885.5565031155193</v>
      </c>
      <c r="CJ24" s="107">
        <f t="shared" si="55"/>
        <v>-3067.346562811797</v>
      </c>
      <c r="CK24" s="106">
        <f t="shared" si="55"/>
        <v>-3067.346562811797</v>
      </c>
      <c r="CL24" s="106">
        <f t="shared" si="55"/>
        <v>-3067.346562811797</v>
      </c>
      <c r="CM24" s="106">
        <f t="shared" si="55"/>
        <v>-3067.346562811797</v>
      </c>
      <c r="CN24" s="106">
        <f t="shared" si="55"/>
        <v>-3067.346562811797</v>
      </c>
      <c r="CO24" s="106">
        <f t="shared" ref="CO24:DS24" si="56">$C24*CO$6</f>
        <v>-3067.346562811797</v>
      </c>
      <c r="CP24" s="106">
        <f t="shared" si="56"/>
        <v>-3067.346562811797</v>
      </c>
      <c r="CQ24" s="106">
        <f t="shared" si="56"/>
        <v>-3067.346562811797</v>
      </c>
      <c r="CR24" s="106">
        <f t="shared" si="56"/>
        <v>-3067.346562811797</v>
      </c>
      <c r="CS24" s="106">
        <f t="shared" si="56"/>
        <v>-3067.346562811797</v>
      </c>
      <c r="CT24" s="106">
        <f t="shared" si="56"/>
        <v>-3067.346562811797</v>
      </c>
      <c r="CU24" s="108">
        <f t="shared" si="56"/>
        <v>-3067.346562811797</v>
      </c>
      <c r="CV24" s="107">
        <f t="shared" si="56"/>
        <v>-3260.5893962689397</v>
      </c>
      <c r="CW24" s="106">
        <f t="shared" si="56"/>
        <v>-3260.5893962689397</v>
      </c>
      <c r="CX24" s="106">
        <f t="shared" si="56"/>
        <v>-3260.5893962689397</v>
      </c>
      <c r="CY24" s="106">
        <f t="shared" si="56"/>
        <v>-3260.5893962689397</v>
      </c>
      <c r="CZ24" s="106">
        <f t="shared" si="56"/>
        <v>-3260.5893962689397</v>
      </c>
      <c r="DA24" s="106">
        <f t="shared" si="56"/>
        <v>-3260.5893962689397</v>
      </c>
      <c r="DB24" s="106">
        <f t="shared" si="56"/>
        <v>-3260.5893962689397</v>
      </c>
      <c r="DC24" s="106">
        <f t="shared" si="56"/>
        <v>-3260.5893962689397</v>
      </c>
      <c r="DD24" s="106">
        <f t="shared" si="56"/>
        <v>-3260.5893962689397</v>
      </c>
      <c r="DE24" s="106">
        <f t="shared" si="56"/>
        <v>-3260.5893962689397</v>
      </c>
      <c r="DF24" s="106">
        <f t="shared" si="56"/>
        <v>-3260.5893962689397</v>
      </c>
      <c r="DG24" s="108">
        <f t="shared" si="56"/>
        <v>-3260.5893962689397</v>
      </c>
      <c r="DH24" s="107">
        <f t="shared" si="56"/>
        <v>-3466.0065282338828</v>
      </c>
      <c r="DI24" s="106">
        <f t="shared" si="56"/>
        <v>-3466.0065282338828</v>
      </c>
      <c r="DJ24" s="106">
        <f t="shared" si="56"/>
        <v>-3466.0065282338828</v>
      </c>
      <c r="DK24" s="106">
        <f t="shared" si="56"/>
        <v>-3466.0065282338828</v>
      </c>
      <c r="DL24" s="106">
        <f t="shared" si="56"/>
        <v>-3466.0065282338828</v>
      </c>
      <c r="DM24" s="106">
        <f t="shared" si="56"/>
        <v>-3466.0065282338828</v>
      </c>
      <c r="DN24" s="106">
        <f t="shared" si="56"/>
        <v>-3466.0065282338828</v>
      </c>
      <c r="DO24" s="106">
        <f t="shared" si="56"/>
        <v>-3466.0065282338828</v>
      </c>
      <c r="DP24" s="106">
        <f t="shared" si="56"/>
        <v>-3466.0065282338828</v>
      </c>
      <c r="DQ24" s="106">
        <f t="shared" si="56"/>
        <v>-3466.0065282338828</v>
      </c>
      <c r="DR24" s="106">
        <f t="shared" si="56"/>
        <v>-3466.0065282338828</v>
      </c>
      <c r="DS24" s="108">
        <f t="shared" si="56"/>
        <v>-3466.0065282338828</v>
      </c>
    </row>
    <row r="25" spans="2:123" s="265" customFormat="1" ht="15" x14ac:dyDescent="0.25">
      <c r="B25" s="167" t="s">
        <v>263</v>
      </c>
      <c r="C25" s="20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>
        <f>SUM(HR!P39:P44)+SUM(HR!P8:P9)</f>
        <v>-174458.33333333331</v>
      </c>
      <c r="O25" s="523">
        <f>SUM(HR!Q39:Q44)+SUM(HR!Q8:Q9)</f>
        <v>-174458.33333333331</v>
      </c>
      <c r="P25" s="282">
        <f>SUM(HR!R39:R44)+SUM(HR!R8:R9)</f>
        <v>-185449.20833333331</v>
      </c>
      <c r="Q25" s="312">
        <f>SUM(HR!S39:S44)+SUM(HR!S8:S9)</f>
        <v>-185449.20833333331</v>
      </c>
      <c r="R25" s="312">
        <f>SUM(HR!T39:T44)+SUM(HR!T8:T9)</f>
        <v>-185449.20833333331</v>
      </c>
      <c r="S25" s="312">
        <f>SUM(HR!U39:U44)+SUM(HR!U8:U9)</f>
        <v>-185449.20833333331</v>
      </c>
      <c r="T25" s="312">
        <f>SUM(HR!V39:V44)+SUM(HR!V8:V9)</f>
        <v>-185449.20833333331</v>
      </c>
      <c r="U25" s="312">
        <f>SUM(HR!W39:W44)+SUM(HR!W8:W9)</f>
        <v>-185449.20833333331</v>
      </c>
      <c r="V25" s="312">
        <f>SUM(HR!X39:X44)+SUM(HR!X8:X9)</f>
        <v>-185449.20833333331</v>
      </c>
      <c r="W25" s="312">
        <f>SUM(HR!Y39:Y44)+SUM(HR!Y8:Y9)</f>
        <v>-185449.20833333331</v>
      </c>
      <c r="X25" s="312">
        <f>SUM(HR!Z39:Z44)+SUM(HR!Z8:Z9)</f>
        <v>-185449.20833333331</v>
      </c>
      <c r="Y25" s="312">
        <f>SUM(HR!AA39:AA44)+SUM(HR!AA8:AA9)</f>
        <v>-185449.20833333331</v>
      </c>
      <c r="Z25" s="312">
        <f>SUM(HR!AB39:AB44)+SUM(HR!AB8:AB9)</f>
        <v>-185449.20833333331</v>
      </c>
      <c r="AA25" s="313">
        <f>SUM(HR!AC39:AC44)+SUM(HR!AC8:AC9)</f>
        <v>-185449.20833333331</v>
      </c>
      <c r="AB25" s="282">
        <f>SUM(HR!AD39:AD44)+SUM(HR!AD8:AD9)</f>
        <v>-197132.50845833329</v>
      </c>
      <c r="AC25" s="312">
        <f>SUM(HR!AE39:AE44)+SUM(HR!AE8:AE9)</f>
        <v>-240071.33045833331</v>
      </c>
      <c r="AD25" s="312">
        <f>SUM(HR!AF39:AF44)+SUM(HR!AF8:AF9)</f>
        <v>-240071.33045833331</v>
      </c>
      <c r="AE25" s="312">
        <f>SUM(HR!AG39:AG44)+SUM(HR!AG8:AG9)</f>
        <v>-240071.33045833331</v>
      </c>
      <c r="AF25" s="312">
        <f>SUM(HR!AH39:AH44)+SUM(HR!AH8:AH9)</f>
        <v>-240071.33045833331</v>
      </c>
      <c r="AG25" s="312">
        <f>SUM(HR!AI39:AI44)+SUM(HR!AI8:AI9)</f>
        <v>-240071.33045833331</v>
      </c>
      <c r="AH25" s="312">
        <f>SUM(HR!AJ39:AJ44)+SUM(HR!AJ8:AJ9)</f>
        <v>-240071.33045833331</v>
      </c>
      <c r="AI25" s="312">
        <f>SUM(HR!AK39:AK44)+SUM(HR!AK8:AK9)</f>
        <v>-240071.33045833331</v>
      </c>
      <c r="AJ25" s="312">
        <f>SUM(HR!AL39:AL44)+SUM(HR!AL8:AL9)</f>
        <v>-240071.33045833331</v>
      </c>
      <c r="AK25" s="312">
        <f>SUM(HR!AM39:AM44)+SUM(HR!AM8:AM9)</f>
        <v>-240071.33045833331</v>
      </c>
      <c r="AL25" s="312">
        <f>SUM(HR!AN39:AN44)+SUM(HR!AN8:AN9)</f>
        <v>-240071.33045833331</v>
      </c>
      <c r="AM25" s="313">
        <f>SUM(HR!AO39:AO44)+SUM(HR!AO8:AO9)</f>
        <v>-240071.33045833331</v>
      </c>
      <c r="AN25" s="282">
        <f>SUM(HR!AP39:AP44)+SUM(HR!AP8:AP9)</f>
        <v>-255195.82427720824</v>
      </c>
      <c r="AO25" s="312">
        <f>SUM(HR!AQ39:AQ44)+SUM(HR!AQ8:AQ9)</f>
        <v>-255195.82427720824</v>
      </c>
      <c r="AP25" s="312">
        <f>SUM(HR!AR39:AR44)+SUM(HR!AR8:AR9)</f>
        <v>-255195.82427720824</v>
      </c>
      <c r="AQ25" s="312">
        <f>SUM(HR!AS39:AS44)+SUM(HR!AS8:AS9)</f>
        <v>-255195.82427720824</v>
      </c>
      <c r="AR25" s="312">
        <f>SUM(HR!AT39:AT44)+SUM(HR!AT8:AT9)</f>
        <v>-255195.82427720824</v>
      </c>
      <c r="AS25" s="312">
        <f>SUM(HR!AU39:AU44)+SUM(HR!AU8:AU9)</f>
        <v>-255195.82427720824</v>
      </c>
      <c r="AT25" s="312">
        <f>SUM(HR!AV39:AV44)+SUM(HR!AV8:AV9)</f>
        <v>-255195.82427720824</v>
      </c>
      <c r="AU25" s="312">
        <f>SUM(HR!AW39:AW44)+SUM(HR!AW8:AW9)</f>
        <v>-255195.82427720824</v>
      </c>
      <c r="AV25" s="312">
        <f>SUM(HR!AX39:AX44)+SUM(HR!AX8:AX9)</f>
        <v>-255195.82427720824</v>
      </c>
      <c r="AW25" s="312">
        <f>SUM(HR!AY39:AY44)+SUM(HR!AY8:AY9)</f>
        <v>-255195.82427720824</v>
      </c>
      <c r="AX25" s="312">
        <f>SUM(HR!AZ39:AZ44)+SUM(HR!AZ8:AZ9)</f>
        <v>-255195.82427720824</v>
      </c>
      <c r="AY25" s="313">
        <f>SUM(HR!BA39:BA44)+SUM(HR!BA8:BA9)</f>
        <v>-255195.82427720824</v>
      </c>
      <c r="AZ25" s="282">
        <f>SUM(HR!BB39:BB44)+SUM(HR!BB8:BB9)</f>
        <v>-271273.16120667238</v>
      </c>
      <c r="BA25" s="312">
        <f>SUM(HR!BC39:BC44)+SUM(HR!BC8:BC9)</f>
        <v>-271273.16120667238</v>
      </c>
      <c r="BB25" s="312">
        <f>SUM(HR!BD39:BD44)+SUM(HR!BD8:BD9)</f>
        <v>-271273.16120667238</v>
      </c>
      <c r="BC25" s="312">
        <f>SUM(HR!BE39:BE44)+SUM(HR!BE8:BE9)</f>
        <v>-271273.16120667238</v>
      </c>
      <c r="BD25" s="312">
        <f>SUM(HR!BF39:BF44)+SUM(HR!BF8:BF9)</f>
        <v>-271273.16120667238</v>
      </c>
      <c r="BE25" s="312">
        <f>SUM(HR!BG39:BG44)+SUM(HR!BG8:BG9)</f>
        <v>-271273.16120667238</v>
      </c>
      <c r="BF25" s="312">
        <f>SUM(HR!BH39:BH44)+SUM(HR!BH8:BH9)</f>
        <v>-271273.16120667238</v>
      </c>
      <c r="BG25" s="312">
        <f>SUM(HR!BI39:BI44)+SUM(HR!BI8:BI9)</f>
        <v>-271273.16120667238</v>
      </c>
      <c r="BH25" s="312">
        <f>SUM(HR!BJ39:BJ44)+SUM(HR!BJ8:BJ9)</f>
        <v>-271273.16120667238</v>
      </c>
      <c r="BI25" s="312">
        <f>SUM(HR!BK39:BK44)+SUM(HR!BK8:BK9)</f>
        <v>-271273.16120667238</v>
      </c>
      <c r="BJ25" s="312">
        <f>SUM(HR!BL39:BL44)+SUM(HR!BL8:BL9)</f>
        <v>-271273.16120667238</v>
      </c>
      <c r="BK25" s="313">
        <f>SUM(HR!BM39:BM44)+SUM(HR!BM8:BM9)</f>
        <v>-271273.16120667238</v>
      </c>
      <c r="BL25" s="282">
        <f>SUM(HR!BN39:BN44)+SUM(HR!BN8:BN9)</f>
        <v>-288363.37036269269</v>
      </c>
      <c r="BM25" s="312">
        <f>SUM(HR!BO39:BO44)+SUM(HR!BO8:BO9)</f>
        <v>-288363.37036269269</v>
      </c>
      <c r="BN25" s="312">
        <f>SUM(HR!BP39:BP44)+SUM(HR!BP8:BP9)</f>
        <v>-288363.37036269269</v>
      </c>
      <c r="BO25" s="312">
        <f>SUM(HR!BQ39:BQ44)+SUM(HR!BQ8:BQ9)</f>
        <v>-288363.37036269269</v>
      </c>
      <c r="BP25" s="312">
        <f>SUM(HR!BR39:BR44)+SUM(HR!BR8:BR9)</f>
        <v>-288363.37036269269</v>
      </c>
      <c r="BQ25" s="312">
        <f>SUM(HR!BS39:BS44)+SUM(HR!BS8:BS9)</f>
        <v>-288363.37036269269</v>
      </c>
      <c r="BR25" s="312">
        <f>SUM(HR!BT39:BT44)+SUM(HR!BT8:BT9)</f>
        <v>-288363.37036269269</v>
      </c>
      <c r="BS25" s="312">
        <f>SUM(HR!BU39:BU44)+SUM(HR!BU8:BU9)</f>
        <v>-288363.37036269269</v>
      </c>
      <c r="BT25" s="312">
        <f>SUM(HR!BV39:BV44)+SUM(HR!BV8:BV9)</f>
        <v>-288363.37036269269</v>
      </c>
      <c r="BU25" s="312">
        <f>SUM(HR!BW39:BW44)+SUM(HR!BW8:BW9)</f>
        <v>-288363.37036269269</v>
      </c>
      <c r="BV25" s="312">
        <f>SUM(HR!BX39:BX44)+SUM(HR!BX8:BX9)</f>
        <v>-288363.37036269269</v>
      </c>
      <c r="BW25" s="313">
        <f>SUM(HR!BY39:BY44)+SUM(HR!BY8:BY9)</f>
        <v>-288363.37036269269</v>
      </c>
      <c r="BX25" s="282">
        <f>SUM(HR!BZ39:BZ44)+SUM(HR!BZ8:BZ9)</f>
        <v>-306530.26269554236</v>
      </c>
      <c r="BY25" s="312">
        <f>SUM(HR!CA39:CA44)+SUM(HR!CA8:CA9)</f>
        <v>-306530.26269554236</v>
      </c>
      <c r="BZ25" s="312">
        <f>SUM(HR!CB39:CB44)+SUM(HR!CB8:CB9)</f>
        <v>-306530.26269554236</v>
      </c>
      <c r="CA25" s="312">
        <f>SUM(HR!CC39:CC44)+SUM(HR!CC8:CC9)</f>
        <v>-306530.26269554236</v>
      </c>
      <c r="CB25" s="312">
        <f>SUM(HR!CD39:CD44)+SUM(HR!CD8:CD9)</f>
        <v>-306530.26269554236</v>
      </c>
      <c r="CC25" s="312">
        <f>SUM(HR!CE39:CE44)+SUM(HR!CE8:CE9)</f>
        <v>-306530.26269554236</v>
      </c>
      <c r="CD25" s="312">
        <f>SUM(HR!CF39:CF44)+SUM(HR!CF8:CF9)</f>
        <v>-306530.26269554236</v>
      </c>
      <c r="CE25" s="312">
        <f>SUM(HR!CG39:CG44)+SUM(HR!CG8:CG9)</f>
        <v>-306530.26269554236</v>
      </c>
      <c r="CF25" s="312">
        <f>SUM(HR!CH39:CH44)+SUM(HR!CH8:CH9)</f>
        <v>-306530.26269554236</v>
      </c>
      <c r="CG25" s="312">
        <f>SUM(HR!CI39:CI44)+SUM(HR!CI8:CI9)</f>
        <v>-306530.26269554236</v>
      </c>
      <c r="CH25" s="312">
        <f>SUM(HR!CJ39:CJ44)+SUM(HR!CJ8:CJ9)</f>
        <v>-306530.26269554236</v>
      </c>
      <c r="CI25" s="313">
        <f>SUM(HR!CK39:CK44)+SUM(HR!CK8:CK9)</f>
        <v>-306530.26269554236</v>
      </c>
      <c r="CJ25" s="282">
        <f>SUM(HR!CL39:CL44)+SUM(HR!CL8:CL9)</f>
        <v>-325841.66924536147</v>
      </c>
      <c r="CK25" s="312">
        <f>SUM(HR!CM39:CM44)+SUM(HR!CM8:CM9)</f>
        <v>-325841.66924536147</v>
      </c>
      <c r="CL25" s="312">
        <f>SUM(HR!CN39:CN44)+SUM(HR!CN8:CN9)</f>
        <v>-325841.66924536147</v>
      </c>
      <c r="CM25" s="312">
        <f>SUM(HR!CO39:CO44)+SUM(HR!CO8:CO9)</f>
        <v>-325841.66924536147</v>
      </c>
      <c r="CN25" s="312">
        <f>SUM(HR!CP39:CP44)+SUM(HR!CP8:CP9)</f>
        <v>-325841.66924536147</v>
      </c>
      <c r="CO25" s="312">
        <f>SUM(HR!CQ39:CQ44)+SUM(HR!CQ8:CQ9)</f>
        <v>-325841.66924536147</v>
      </c>
      <c r="CP25" s="312">
        <f>SUM(HR!CR39:CR44)+SUM(HR!CR8:CR9)</f>
        <v>-325841.66924536147</v>
      </c>
      <c r="CQ25" s="312">
        <f>SUM(HR!CS39:CS44)+SUM(HR!CS8:CS9)</f>
        <v>-325841.66924536147</v>
      </c>
      <c r="CR25" s="312">
        <f>SUM(HR!CT39:CT44)+SUM(HR!CT8:CT9)</f>
        <v>-325841.66924536147</v>
      </c>
      <c r="CS25" s="312">
        <f>SUM(HR!CU39:CU44)+SUM(HR!CU8:CU9)</f>
        <v>-325841.66924536147</v>
      </c>
      <c r="CT25" s="312">
        <f>SUM(HR!CV39:CV44)+SUM(HR!CV8:CV9)</f>
        <v>-325841.66924536147</v>
      </c>
      <c r="CU25" s="313">
        <f>SUM(HR!CW39:CW44)+SUM(HR!CW8:CW9)</f>
        <v>-325841.66924536147</v>
      </c>
      <c r="CV25" s="282">
        <f>SUM(HR!CX39:CX44)+SUM(HR!CX8:CX9)</f>
        <v>-346369.69440781925</v>
      </c>
      <c r="CW25" s="312">
        <f>SUM(HR!CY39:CY44)+SUM(HR!CY8:CY9)</f>
        <v>-346369.69440781925</v>
      </c>
      <c r="CX25" s="312">
        <f>SUM(HR!CZ39:CZ44)+SUM(HR!CZ8:CZ9)</f>
        <v>-346369.69440781925</v>
      </c>
      <c r="CY25" s="312">
        <f>SUM(HR!DA39:DA44)+SUM(HR!DA8:DA9)</f>
        <v>-346369.69440781925</v>
      </c>
      <c r="CZ25" s="312">
        <f>SUM(HR!DB39:DB44)+SUM(HR!DB8:DB9)</f>
        <v>-346369.69440781925</v>
      </c>
      <c r="DA25" s="312">
        <f>SUM(HR!DC39:DC44)+SUM(HR!DC8:DC9)</f>
        <v>-346369.69440781925</v>
      </c>
      <c r="DB25" s="312">
        <f>SUM(HR!DD39:DD44)+SUM(HR!DD8:DD9)</f>
        <v>-346369.69440781925</v>
      </c>
      <c r="DC25" s="312">
        <f>SUM(HR!DE39:DE44)+SUM(HR!DE8:DE9)</f>
        <v>-346369.69440781925</v>
      </c>
      <c r="DD25" s="312">
        <f>SUM(HR!DF39:DF44)+SUM(HR!DF8:DF9)</f>
        <v>-346369.69440781925</v>
      </c>
      <c r="DE25" s="312">
        <f>SUM(HR!DG39:DG44)+SUM(HR!DG8:DG9)</f>
        <v>-346369.69440781925</v>
      </c>
      <c r="DF25" s="312">
        <f>SUM(HR!DH39:DH44)+SUM(HR!DH8:DH9)</f>
        <v>-346369.69440781925</v>
      </c>
      <c r="DG25" s="313">
        <f>SUM(HR!DI39:DI44)+SUM(HR!DI8:DI9)</f>
        <v>-346369.69440781925</v>
      </c>
      <c r="DH25" s="282">
        <f>SUM(HR!DJ39:DJ44)+SUM(HR!DJ8:DJ9)</f>
        <v>-368190.98515551188</v>
      </c>
      <c r="DI25" s="312">
        <f>SUM(HR!DK39:DK44)+SUM(HR!DK8:DK9)</f>
        <v>-368190.98515551188</v>
      </c>
      <c r="DJ25" s="312">
        <f>SUM(HR!DL39:DL44)+SUM(HR!DL8:DL9)</f>
        <v>-368190.98515551188</v>
      </c>
      <c r="DK25" s="312">
        <f>SUM(HR!DM39:DM44)+SUM(HR!DM8:DM9)</f>
        <v>-368190.98515551188</v>
      </c>
      <c r="DL25" s="312">
        <f>SUM(HR!DN39:DN44)+SUM(HR!DN8:DN9)</f>
        <v>-368190.98515551188</v>
      </c>
      <c r="DM25" s="312">
        <f>SUM(HR!DO39:DO44)+SUM(HR!DO8:DO9)</f>
        <v>-368190.98515551188</v>
      </c>
      <c r="DN25" s="312">
        <f>SUM(HR!DP39:DP44)+SUM(HR!DP8:DP9)</f>
        <v>-368190.98515551188</v>
      </c>
      <c r="DO25" s="312">
        <f>SUM(HR!DQ39:DQ44)+SUM(HR!DQ8:DQ9)</f>
        <v>-368190.98515551188</v>
      </c>
      <c r="DP25" s="312">
        <f>SUM(HR!DR39:DR44)+SUM(HR!DR8:DR9)</f>
        <v>-368190.98515551188</v>
      </c>
      <c r="DQ25" s="312">
        <f>SUM(HR!DS39:DS44)+SUM(HR!DS8:DS9)</f>
        <v>-368190.98515551188</v>
      </c>
      <c r="DR25" s="312">
        <f>SUM(HR!DT39:DT44)+SUM(HR!DT8:DT9)</f>
        <v>-368190.98515551188</v>
      </c>
      <c r="DS25" s="313">
        <f>SUM(HR!DU39:DU44)+SUM(HR!DU8:DU9)</f>
        <v>-368190.98515551188</v>
      </c>
    </row>
    <row r="26" spans="2:123" s="265" customFormat="1" ht="15" x14ac:dyDescent="0.25">
      <c r="B26" s="167" t="s">
        <v>267</v>
      </c>
      <c r="C26" s="20">
        <v>-5000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>
        <f t="shared" ref="N26:O26" si="57">$C26*N$6</f>
        <v>-5000</v>
      </c>
      <c r="O26" s="523">
        <f t="shared" si="57"/>
        <v>-5000</v>
      </c>
      <c r="P26" s="282">
        <f t="shared" ref="P26:AU26" si="58">$C26*P$6</f>
        <v>-5315</v>
      </c>
      <c r="Q26" s="312">
        <f t="shared" si="58"/>
        <v>-5315</v>
      </c>
      <c r="R26" s="312">
        <f t="shared" si="58"/>
        <v>-5315</v>
      </c>
      <c r="S26" s="312">
        <f t="shared" si="58"/>
        <v>-5315</v>
      </c>
      <c r="T26" s="312">
        <f t="shared" si="58"/>
        <v>-5315</v>
      </c>
      <c r="U26" s="312">
        <f t="shared" si="58"/>
        <v>-5315</v>
      </c>
      <c r="V26" s="312">
        <f t="shared" si="58"/>
        <v>-5315</v>
      </c>
      <c r="W26" s="312">
        <f t="shared" si="58"/>
        <v>-5315</v>
      </c>
      <c r="X26" s="312">
        <f t="shared" si="58"/>
        <v>-5315</v>
      </c>
      <c r="Y26" s="312">
        <f t="shared" si="58"/>
        <v>-5315</v>
      </c>
      <c r="Z26" s="312">
        <f t="shared" si="58"/>
        <v>-5315</v>
      </c>
      <c r="AA26" s="313">
        <f t="shared" si="58"/>
        <v>-5315</v>
      </c>
      <c r="AB26" s="282">
        <f t="shared" si="58"/>
        <v>-5649.8449999999993</v>
      </c>
      <c r="AC26" s="312">
        <f t="shared" si="58"/>
        <v>-5649.8449999999993</v>
      </c>
      <c r="AD26" s="312">
        <f t="shared" si="58"/>
        <v>-5649.8449999999993</v>
      </c>
      <c r="AE26" s="312">
        <f t="shared" si="58"/>
        <v>-5649.8449999999993</v>
      </c>
      <c r="AF26" s="312">
        <f t="shared" si="58"/>
        <v>-5649.8449999999993</v>
      </c>
      <c r="AG26" s="312">
        <f t="shared" si="58"/>
        <v>-5649.8449999999993</v>
      </c>
      <c r="AH26" s="312">
        <f t="shared" si="58"/>
        <v>-5649.8449999999993</v>
      </c>
      <c r="AI26" s="312">
        <f t="shared" si="58"/>
        <v>-5649.8449999999993</v>
      </c>
      <c r="AJ26" s="312">
        <f t="shared" si="58"/>
        <v>-5649.8449999999993</v>
      </c>
      <c r="AK26" s="312">
        <f t="shared" si="58"/>
        <v>-5649.8449999999993</v>
      </c>
      <c r="AL26" s="312">
        <f t="shared" si="58"/>
        <v>-5649.8449999999993</v>
      </c>
      <c r="AM26" s="313">
        <f t="shared" si="58"/>
        <v>-5649.8449999999993</v>
      </c>
      <c r="AN26" s="282">
        <f t="shared" si="58"/>
        <v>-6005.7852349999985</v>
      </c>
      <c r="AO26" s="312">
        <f t="shared" si="58"/>
        <v>-6005.7852349999985</v>
      </c>
      <c r="AP26" s="312">
        <f t="shared" si="58"/>
        <v>-6005.7852349999985</v>
      </c>
      <c r="AQ26" s="312">
        <f t="shared" si="58"/>
        <v>-6005.7852349999985</v>
      </c>
      <c r="AR26" s="312">
        <f t="shared" si="58"/>
        <v>-6005.7852349999985</v>
      </c>
      <c r="AS26" s="312">
        <f t="shared" si="58"/>
        <v>-6005.7852349999985</v>
      </c>
      <c r="AT26" s="312">
        <f t="shared" si="58"/>
        <v>-6005.7852349999985</v>
      </c>
      <c r="AU26" s="312">
        <f t="shared" si="58"/>
        <v>-6005.7852349999985</v>
      </c>
      <c r="AV26" s="312">
        <f t="shared" ref="AV26:CA26" si="59">$C26*AV$6</f>
        <v>-6005.7852349999985</v>
      </c>
      <c r="AW26" s="312">
        <f t="shared" si="59"/>
        <v>-6005.7852349999985</v>
      </c>
      <c r="AX26" s="312">
        <f t="shared" si="59"/>
        <v>-6005.7852349999985</v>
      </c>
      <c r="AY26" s="313">
        <f t="shared" si="59"/>
        <v>-6005.7852349999985</v>
      </c>
      <c r="AZ26" s="282">
        <f t="shared" si="59"/>
        <v>-6384.1497048049978</v>
      </c>
      <c r="BA26" s="312">
        <f t="shared" si="59"/>
        <v>-6384.1497048049978</v>
      </c>
      <c r="BB26" s="312">
        <f t="shared" si="59"/>
        <v>-6384.1497048049978</v>
      </c>
      <c r="BC26" s="312">
        <f t="shared" si="59"/>
        <v>-6384.1497048049978</v>
      </c>
      <c r="BD26" s="312">
        <f t="shared" si="59"/>
        <v>-6384.1497048049978</v>
      </c>
      <c r="BE26" s="312">
        <f t="shared" si="59"/>
        <v>-6384.1497048049978</v>
      </c>
      <c r="BF26" s="312">
        <f t="shared" si="59"/>
        <v>-6384.1497048049978</v>
      </c>
      <c r="BG26" s="312">
        <f t="shared" si="59"/>
        <v>-6384.1497048049978</v>
      </c>
      <c r="BH26" s="312">
        <f t="shared" si="59"/>
        <v>-6384.1497048049978</v>
      </c>
      <c r="BI26" s="312">
        <f t="shared" si="59"/>
        <v>-6384.1497048049978</v>
      </c>
      <c r="BJ26" s="312">
        <f t="shared" si="59"/>
        <v>-6384.1497048049978</v>
      </c>
      <c r="BK26" s="313">
        <f t="shared" si="59"/>
        <v>-6384.1497048049978</v>
      </c>
      <c r="BL26" s="282">
        <f t="shared" si="59"/>
        <v>-6786.3511362077124</v>
      </c>
      <c r="BM26" s="312">
        <f t="shared" si="59"/>
        <v>-6786.3511362077124</v>
      </c>
      <c r="BN26" s="312">
        <f t="shared" si="59"/>
        <v>-6786.3511362077124</v>
      </c>
      <c r="BO26" s="312">
        <f t="shared" si="59"/>
        <v>-6786.3511362077124</v>
      </c>
      <c r="BP26" s="312">
        <f t="shared" si="59"/>
        <v>-6786.3511362077124</v>
      </c>
      <c r="BQ26" s="312">
        <f t="shared" si="59"/>
        <v>-6786.3511362077124</v>
      </c>
      <c r="BR26" s="312">
        <f t="shared" si="59"/>
        <v>-6786.3511362077124</v>
      </c>
      <c r="BS26" s="312">
        <f t="shared" si="59"/>
        <v>-6786.3511362077124</v>
      </c>
      <c r="BT26" s="312">
        <f t="shared" si="59"/>
        <v>-6786.3511362077124</v>
      </c>
      <c r="BU26" s="312">
        <f t="shared" si="59"/>
        <v>-6786.3511362077124</v>
      </c>
      <c r="BV26" s="312">
        <f t="shared" si="59"/>
        <v>-6786.3511362077124</v>
      </c>
      <c r="BW26" s="313">
        <f t="shared" si="59"/>
        <v>-6786.3511362077124</v>
      </c>
      <c r="BX26" s="282">
        <f t="shared" si="59"/>
        <v>-7213.8912577887977</v>
      </c>
      <c r="BY26" s="312">
        <f t="shared" si="59"/>
        <v>-7213.8912577887977</v>
      </c>
      <c r="BZ26" s="312">
        <f t="shared" si="59"/>
        <v>-7213.8912577887977</v>
      </c>
      <c r="CA26" s="312">
        <f t="shared" si="59"/>
        <v>-7213.8912577887977</v>
      </c>
      <c r="CB26" s="312">
        <f t="shared" ref="CB26:DG26" si="60">$C26*CB$6</f>
        <v>-7213.8912577887977</v>
      </c>
      <c r="CC26" s="312">
        <f t="shared" si="60"/>
        <v>-7213.8912577887977</v>
      </c>
      <c r="CD26" s="312">
        <f t="shared" si="60"/>
        <v>-7213.8912577887977</v>
      </c>
      <c r="CE26" s="312">
        <f t="shared" si="60"/>
        <v>-7213.8912577887977</v>
      </c>
      <c r="CF26" s="312">
        <f t="shared" si="60"/>
        <v>-7213.8912577887977</v>
      </c>
      <c r="CG26" s="312">
        <f t="shared" si="60"/>
        <v>-7213.8912577887977</v>
      </c>
      <c r="CH26" s="312">
        <f t="shared" si="60"/>
        <v>-7213.8912577887977</v>
      </c>
      <c r="CI26" s="313">
        <f t="shared" si="60"/>
        <v>-7213.8912577887977</v>
      </c>
      <c r="CJ26" s="282">
        <f t="shared" si="60"/>
        <v>-7668.3664070294917</v>
      </c>
      <c r="CK26" s="312">
        <f t="shared" si="60"/>
        <v>-7668.3664070294917</v>
      </c>
      <c r="CL26" s="312">
        <f t="shared" si="60"/>
        <v>-7668.3664070294917</v>
      </c>
      <c r="CM26" s="312">
        <f t="shared" si="60"/>
        <v>-7668.3664070294917</v>
      </c>
      <c r="CN26" s="312">
        <f t="shared" si="60"/>
        <v>-7668.3664070294917</v>
      </c>
      <c r="CO26" s="312">
        <f t="shared" si="60"/>
        <v>-7668.3664070294917</v>
      </c>
      <c r="CP26" s="312">
        <f t="shared" si="60"/>
        <v>-7668.3664070294917</v>
      </c>
      <c r="CQ26" s="312">
        <f t="shared" si="60"/>
        <v>-7668.3664070294917</v>
      </c>
      <c r="CR26" s="312">
        <f t="shared" si="60"/>
        <v>-7668.3664070294917</v>
      </c>
      <c r="CS26" s="312">
        <f t="shared" si="60"/>
        <v>-7668.3664070294917</v>
      </c>
      <c r="CT26" s="312">
        <f t="shared" si="60"/>
        <v>-7668.3664070294917</v>
      </c>
      <c r="CU26" s="313">
        <f t="shared" si="60"/>
        <v>-7668.3664070294917</v>
      </c>
      <c r="CV26" s="282">
        <f t="shared" si="60"/>
        <v>-8151.4734906723497</v>
      </c>
      <c r="CW26" s="312">
        <f t="shared" si="60"/>
        <v>-8151.4734906723497</v>
      </c>
      <c r="CX26" s="312">
        <f t="shared" si="60"/>
        <v>-8151.4734906723497</v>
      </c>
      <c r="CY26" s="312">
        <f t="shared" si="60"/>
        <v>-8151.4734906723497</v>
      </c>
      <c r="CZ26" s="312">
        <f t="shared" si="60"/>
        <v>-8151.4734906723497</v>
      </c>
      <c r="DA26" s="312">
        <f t="shared" si="60"/>
        <v>-8151.4734906723497</v>
      </c>
      <c r="DB26" s="312">
        <f t="shared" si="60"/>
        <v>-8151.4734906723497</v>
      </c>
      <c r="DC26" s="312">
        <f t="shared" si="60"/>
        <v>-8151.4734906723497</v>
      </c>
      <c r="DD26" s="312">
        <f t="shared" si="60"/>
        <v>-8151.4734906723497</v>
      </c>
      <c r="DE26" s="312">
        <f t="shared" si="60"/>
        <v>-8151.4734906723497</v>
      </c>
      <c r="DF26" s="312">
        <f t="shared" si="60"/>
        <v>-8151.4734906723497</v>
      </c>
      <c r="DG26" s="313">
        <f t="shared" si="60"/>
        <v>-8151.4734906723497</v>
      </c>
      <c r="DH26" s="282">
        <f t="shared" ref="DH26:DS26" si="61">$C26*DH$6</f>
        <v>-8665.0163205847075</v>
      </c>
      <c r="DI26" s="312">
        <f t="shared" si="61"/>
        <v>-8665.0163205847075</v>
      </c>
      <c r="DJ26" s="312">
        <f t="shared" si="61"/>
        <v>-8665.0163205847075</v>
      </c>
      <c r="DK26" s="312">
        <f t="shared" si="61"/>
        <v>-8665.0163205847075</v>
      </c>
      <c r="DL26" s="312">
        <f t="shared" si="61"/>
        <v>-8665.0163205847075</v>
      </c>
      <c r="DM26" s="312">
        <f t="shared" si="61"/>
        <v>-8665.0163205847075</v>
      </c>
      <c r="DN26" s="312">
        <f t="shared" si="61"/>
        <v>-8665.0163205847075</v>
      </c>
      <c r="DO26" s="312">
        <f t="shared" si="61"/>
        <v>-8665.0163205847075</v>
      </c>
      <c r="DP26" s="312">
        <f t="shared" si="61"/>
        <v>-8665.0163205847075</v>
      </c>
      <c r="DQ26" s="312">
        <f t="shared" si="61"/>
        <v>-8665.0163205847075</v>
      </c>
      <c r="DR26" s="312">
        <f t="shared" si="61"/>
        <v>-8665.0163205847075</v>
      </c>
      <c r="DS26" s="313">
        <f t="shared" si="61"/>
        <v>-8665.0163205847075</v>
      </c>
    </row>
    <row r="27" spans="2:123" s="265" customFormat="1" ht="15" x14ac:dyDescent="0.25">
      <c r="B27" s="167" t="s">
        <v>193</v>
      </c>
      <c r="C27" s="20">
        <v>-3000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>
        <f t="shared" ref="N27:O27" si="62">$C27*N6</f>
        <v>-3000</v>
      </c>
      <c r="O27" s="523">
        <f t="shared" si="62"/>
        <v>-3000</v>
      </c>
      <c r="P27" s="282">
        <f t="shared" ref="P27:AU27" si="63">$C27*P6</f>
        <v>-3189</v>
      </c>
      <c r="Q27" s="312">
        <f t="shared" si="63"/>
        <v>-3189</v>
      </c>
      <c r="R27" s="312">
        <f t="shared" si="63"/>
        <v>-3189</v>
      </c>
      <c r="S27" s="312">
        <f t="shared" si="63"/>
        <v>-3189</v>
      </c>
      <c r="T27" s="312">
        <f t="shared" si="63"/>
        <v>-3189</v>
      </c>
      <c r="U27" s="312">
        <f t="shared" si="63"/>
        <v>-3189</v>
      </c>
      <c r="V27" s="312">
        <f t="shared" si="63"/>
        <v>-3189</v>
      </c>
      <c r="W27" s="312">
        <f t="shared" si="63"/>
        <v>-3189</v>
      </c>
      <c r="X27" s="312">
        <f t="shared" si="63"/>
        <v>-3189</v>
      </c>
      <c r="Y27" s="312">
        <f t="shared" si="63"/>
        <v>-3189</v>
      </c>
      <c r="Z27" s="312">
        <f t="shared" si="63"/>
        <v>-3189</v>
      </c>
      <c r="AA27" s="313">
        <f t="shared" si="63"/>
        <v>-3189</v>
      </c>
      <c r="AB27" s="282">
        <f t="shared" si="63"/>
        <v>-3389.9069999999992</v>
      </c>
      <c r="AC27" s="312">
        <f t="shared" si="63"/>
        <v>-3389.9069999999992</v>
      </c>
      <c r="AD27" s="312">
        <f t="shared" si="63"/>
        <v>-3389.9069999999992</v>
      </c>
      <c r="AE27" s="312">
        <f t="shared" si="63"/>
        <v>-3389.9069999999992</v>
      </c>
      <c r="AF27" s="312">
        <f t="shared" si="63"/>
        <v>-3389.9069999999992</v>
      </c>
      <c r="AG27" s="312">
        <f t="shared" si="63"/>
        <v>-3389.9069999999992</v>
      </c>
      <c r="AH27" s="312">
        <f t="shared" si="63"/>
        <v>-3389.9069999999992</v>
      </c>
      <c r="AI27" s="312">
        <f t="shared" si="63"/>
        <v>-3389.9069999999992</v>
      </c>
      <c r="AJ27" s="312">
        <f t="shared" si="63"/>
        <v>-3389.9069999999992</v>
      </c>
      <c r="AK27" s="312">
        <f t="shared" si="63"/>
        <v>-3389.9069999999992</v>
      </c>
      <c r="AL27" s="312">
        <f t="shared" si="63"/>
        <v>-3389.9069999999992</v>
      </c>
      <c r="AM27" s="313">
        <f t="shared" si="63"/>
        <v>-3389.9069999999992</v>
      </c>
      <c r="AN27" s="282">
        <f t="shared" si="63"/>
        <v>-3603.4711409999991</v>
      </c>
      <c r="AO27" s="312">
        <f t="shared" si="63"/>
        <v>-3603.4711409999991</v>
      </c>
      <c r="AP27" s="312">
        <f t="shared" si="63"/>
        <v>-3603.4711409999991</v>
      </c>
      <c r="AQ27" s="312">
        <f t="shared" si="63"/>
        <v>-3603.4711409999991</v>
      </c>
      <c r="AR27" s="312">
        <f t="shared" si="63"/>
        <v>-3603.4711409999991</v>
      </c>
      <c r="AS27" s="312">
        <f t="shared" si="63"/>
        <v>-3603.4711409999991</v>
      </c>
      <c r="AT27" s="312">
        <f t="shared" si="63"/>
        <v>-3603.4711409999991</v>
      </c>
      <c r="AU27" s="312">
        <f t="shared" si="63"/>
        <v>-3603.4711409999991</v>
      </c>
      <c r="AV27" s="312">
        <f t="shared" ref="AV27:CA27" si="64">$C27*AV6</f>
        <v>-3603.4711409999991</v>
      </c>
      <c r="AW27" s="312">
        <f t="shared" si="64"/>
        <v>-3603.4711409999991</v>
      </c>
      <c r="AX27" s="312">
        <f t="shared" si="64"/>
        <v>-3603.4711409999991</v>
      </c>
      <c r="AY27" s="313">
        <f t="shared" si="64"/>
        <v>-3603.4711409999991</v>
      </c>
      <c r="AZ27" s="282">
        <f t="shared" si="64"/>
        <v>-3830.4898228829989</v>
      </c>
      <c r="BA27" s="312">
        <f t="shared" si="64"/>
        <v>-3830.4898228829989</v>
      </c>
      <c r="BB27" s="312">
        <f t="shared" si="64"/>
        <v>-3830.4898228829989</v>
      </c>
      <c r="BC27" s="312">
        <f t="shared" si="64"/>
        <v>-3830.4898228829989</v>
      </c>
      <c r="BD27" s="312">
        <f t="shared" si="64"/>
        <v>-3830.4898228829989</v>
      </c>
      <c r="BE27" s="312">
        <f t="shared" si="64"/>
        <v>-3830.4898228829989</v>
      </c>
      <c r="BF27" s="312">
        <f t="shared" si="64"/>
        <v>-3830.4898228829989</v>
      </c>
      <c r="BG27" s="312">
        <f t="shared" si="64"/>
        <v>-3830.4898228829989</v>
      </c>
      <c r="BH27" s="312">
        <f t="shared" si="64"/>
        <v>-3830.4898228829989</v>
      </c>
      <c r="BI27" s="312">
        <f t="shared" si="64"/>
        <v>-3830.4898228829989</v>
      </c>
      <c r="BJ27" s="312">
        <f t="shared" si="64"/>
        <v>-3830.4898228829989</v>
      </c>
      <c r="BK27" s="313">
        <f t="shared" si="64"/>
        <v>-3830.4898228829989</v>
      </c>
      <c r="BL27" s="282">
        <f t="shared" si="64"/>
        <v>-4071.8106817246276</v>
      </c>
      <c r="BM27" s="312">
        <f t="shared" si="64"/>
        <v>-4071.8106817246276</v>
      </c>
      <c r="BN27" s="312">
        <f t="shared" si="64"/>
        <v>-4071.8106817246276</v>
      </c>
      <c r="BO27" s="312">
        <f t="shared" si="64"/>
        <v>-4071.8106817246276</v>
      </c>
      <c r="BP27" s="312">
        <f t="shared" si="64"/>
        <v>-4071.8106817246276</v>
      </c>
      <c r="BQ27" s="312">
        <f t="shared" si="64"/>
        <v>-4071.8106817246276</v>
      </c>
      <c r="BR27" s="312">
        <f t="shared" si="64"/>
        <v>-4071.8106817246276</v>
      </c>
      <c r="BS27" s="312">
        <f t="shared" si="64"/>
        <v>-4071.8106817246276</v>
      </c>
      <c r="BT27" s="312">
        <f t="shared" si="64"/>
        <v>-4071.8106817246276</v>
      </c>
      <c r="BU27" s="312">
        <f t="shared" si="64"/>
        <v>-4071.8106817246276</v>
      </c>
      <c r="BV27" s="312">
        <f t="shared" si="64"/>
        <v>-4071.8106817246276</v>
      </c>
      <c r="BW27" s="313">
        <f t="shared" si="64"/>
        <v>-4071.8106817246276</v>
      </c>
      <c r="BX27" s="282">
        <f t="shared" si="64"/>
        <v>-4328.3347546732784</v>
      </c>
      <c r="BY27" s="312">
        <f t="shared" si="64"/>
        <v>-4328.3347546732784</v>
      </c>
      <c r="BZ27" s="312">
        <f t="shared" si="64"/>
        <v>-4328.3347546732784</v>
      </c>
      <c r="CA27" s="312">
        <f t="shared" si="64"/>
        <v>-4328.3347546732784</v>
      </c>
      <c r="CB27" s="312">
        <f t="shared" ref="CB27:DG27" si="65">$C27*CB6</f>
        <v>-4328.3347546732784</v>
      </c>
      <c r="CC27" s="312">
        <f t="shared" si="65"/>
        <v>-4328.3347546732784</v>
      </c>
      <c r="CD27" s="312">
        <f t="shared" si="65"/>
        <v>-4328.3347546732784</v>
      </c>
      <c r="CE27" s="312">
        <f t="shared" si="65"/>
        <v>-4328.3347546732784</v>
      </c>
      <c r="CF27" s="312">
        <f t="shared" si="65"/>
        <v>-4328.3347546732784</v>
      </c>
      <c r="CG27" s="312">
        <f t="shared" si="65"/>
        <v>-4328.3347546732784</v>
      </c>
      <c r="CH27" s="312">
        <f t="shared" si="65"/>
        <v>-4328.3347546732784</v>
      </c>
      <c r="CI27" s="313">
        <f t="shared" si="65"/>
        <v>-4328.3347546732784</v>
      </c>
      <c r="CJ27" s="282">
        <f t="shared" si="65"/>
        <v>-4601.0198442176952</v>
      </c>
      <c r="CK27" s="312">
        <f t="shared" si="65"/>
        <v>-4601.0198442176952</v>
      </c>
      <c r="CL27" s="312">
        <f t="shared" si="65"/>
        <v>-4601.0198442176952</v>
      </c>
      <c r="CM27" s="312">
        <f t="shared" si="65"/>
        <v>-4601.0198442176952</v>
      </c>
      <c r="CN27" s="312">
        <f t="shared" si="65"/>
        <v>-4601.0198442176952</v>
      </c>
      <c r="CO27" s="312">
        <f t="shared" si="65"/>
        <v>-4601.0198442176952</v>
      </c>
      <c r="CP27" s="312">
        <f t="shared" si="65"/>
        <v>-4601.0198442176952</v>
      </c>
      <c r="CQ27" s="312">
        <f t="shared" si="65"/>
        <v>-4601.0198442176952</v>
      </c>
      <c r="CR27" s="312">
        <f t="shared" si="65"/>
        <v>-4601.0198442176952</v>
      </c>
      <c r="CS27" s="312">
        <f t="shared" si="65"/>
        <v>-4601.0198442176952</v>
      </c>
      <c r="CT27" s="312">
        <f t="shared" si="65"/>
        <v>-4601.0198442176952</v>
      </c>
      <c r="CU27" s="313">
        <f t="shared" si="65"/>
        <v>-4601.0198442176952</v>
      </c>
      <c r="CV27" s="282">
        <f t="shared" si="65"/>
        <v>-4890.88409440341</v>
      </c>
      <c r="CW27" s="312">
        <f t="shared" si="65"/>
        <v>-4890.88409440341</v>
      </c>
      <c r="CX27" s="312">
        <f t="shared" si="65"/>
        <v>-4890.88409440341</v>
      </c>
      <c r="CY27" s="312">
        <f t="shared" si="65"/>
        <v>-4890.88409440341</v>
      </c>
      <c r="CZ27" s="312">
        <f t="shared" si="65"/>
        <v>-4890.88409440341</v>
      </c>
      <c r="DA27" s="312">
        <f t="shared" si="65"/>
        <v>-4890.88409440341</v>
      </c>
      <c r="DB27" s="312">
        <f t="shared" si="65"/>
        <v>-4890.88409440341</v>
      </c>
      <c r="DC27" s="312">
        <f t="shared" si="65"/>
        <v>-4890.88409440341</v>
      </c>
      <c r="DD27" s="312">
        <f t="shared" si="65"/>
        <v>-4890.88409440341</v>
      </c>
      <c r="DE27" s="312">
        <f t="shared" si="65"/>
        <v>-4890.88409440341</v>
      </c>
      <c r="DF27" s="312">
        <f t="shared" si="65"/>
        <v>-4890.88409440341</v>
      </c>
      <c r="DG27" s="313">
        <f t="shared" si="65"/>
        <v>-4890.88409440341</v>
      </c>
      <c r="DH27" s="282">
        <f t="shared" ref="DH27:DS27" si="66">$C27*DH6</f>
        <v>-5199.0097923508247</v>
      </c>
      <c r="DI27" s="312">
        <f t="shared" si="66"/>
        <v>-5199.0097923508247</v>
      </c>
      <c r="DJ27" s="312">
        <f t="shared" si="66"/>
        <v>-5199.0097923508247</v>
      </c>
      <c r="DK27" s="312">
        <f t="shared" si="66"/>
        <v>-5199.0097923508247</v>
      </c>
      <c r="DL27" s="312">
        <f t="shared" si="66"/>
        <v>-5199.0097923508247</v>
      </c>
      <c r="DM27" s="312">
        <f t="shared" si="66"/>
        <v>-5199.0097923508247</v>
      </c>
      <c r="DN27" s="312">
        <f t="shared" si="66"/>
        <v>-5199.0097923508247</v>
      </c>
      <c r="DO27" s="312">
        <f t="shared" si="66"/>
        <v>-5199.0097923508247</v>
      </c>
      <c r="DP27" s="312">
        <f t="shared" si="66"/>
        <v>-5199.0097923508247</v>
      </c>
      <c r="DQ27" s="312">
        <f t="shared" si="66"/>
        <v>-5199.0097923508247</v>
      </c>
      <c r="DR27" s="312">
        <f t="shared" si="66"/>
        <v>-5199.0097923508247</v>
      </c>
      <c r="DS27" s="313">
        <f t="shared" si="66"/>
        <v>-5199.0097923508247</v>
      </c>
    </row>
    <row r="28" spans="2:123" ht="15" x14ac:dyDescent="0.25">
      <c r="B28" s="160" t="s">
        <v>261</v>
      </c>
      <c r="C28" s="920">
        <f>-2000/12</f>
        <v>-166.66666666666666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>
        <f>SUM(HR!$D$39:$D$44)*'4. OH Expenses'!$C$28*N6</f>
        <v>-833.33333333333326</v>
      </c>
      <c r="O28" s="535">
        <f>SUM(HR!$D$39:$D$44)*'4. OH Expenses'!$C$28*O6</f>
        <v>-833.33333333333326</v>
      </c>
      <c r="P28" s="107">
        <f>SUM(HR!$D$39:$D$44)*'4. OH Expenses'!$C$28*P6</f>
        <v>-885.83333333333326</v>
      </c>
      <c r="Q28" s="107">
        <f>SUM(HR!$D$39:$D$44)*'4. OH Expenses'!$C$28*Q6</f>
        <v>-885.83333333333326</v>
      </c>
      <c r="R28" s="107">
        <f>SUM(HR!$D$39:$D$44)*'4. OH Expenses'!$C$28*R6</f>
        <v>-885.83333333333326</v>
      </c>
      <c r="S28" s="107">
        <f>SUM(HR!$D$39:$D$44)*'4. OH Expenses'!$C$28*S6</f>
        <v>-885.83333333333326</v>
      </c>
      <c r="T28" s="107">
        <f>SUM(HR!$D$39:$D$44)*'4. OH Expenses'!$C$28*T6</f>
        <v>-885.83333333333326</v>
      </c>
      <c r="U28" s="107">
        <f>SUM(HR!$D$39:$D$44)*'4. OH Expenses'!$C$28*U6</f>
        <v>-885.83333333333326</v>
      </c>
      <c r="V28" s="107">
        <f>SUM(HR!$D$39:$D$44)*'4. OH Expenses'!$C$28*V6</f>
        <v>-885.83333333333326</v>
      </c>
      <c r="W28" s="107">
        <f>SUM(HR!$D$39:$D$44)*'4. OH Expenses'!$C$28*W6</f>
        <v>-885.83333333333326</v>
      </c>
      <c r="X28" s="107">
        <f>SUM(HR!$D$39:$D$44)*'4. OH Expenses'!$C$28*X6</f>
        <v>-885.83333333333326</v>
      </c>
      <c r="Y28" s="107">
        <f>SUM(HR!$D$39:$D$44)*'4. OH Expenses'!$C$28*Y6</f>
        <v>-885.83333333333326</v>
      </c>
      <c r="Z28" s="107">
        <f>SUM(HR!$D$39:$D$44)*'4. OH Expenses'!$C$28*Z6</f>
        <v>-885.83333333333326</v>
      </c>
      <c r="AA28" s="739">
        <f>SUM(HR!$D$39:$D$44)*'4. OH Expenses'!$C$28*AA6</f>
        <v>-885.83333333333326</v>
      </c>
      <c r="AB28" s="107">
        <f>SUM(HR!$D$39:$D$44)*'4. OH Expenses'!$C$28*AB6</f>
        <v>-941.64083333333303</v>
      </c>
      <c r="AC28" s="107">
        <f>SUM(HR!$D$39:$D$44)*'4. OH Expenses'!$C$28*AC6</f>
        <v>-941.64083333333303</v>
      </c>
      <c r="AD28" s="107">
        <f>SUM(HR!$D$39:$D$44)*'4. OH Expenses'!$C$28*AD6</f>
        <v>-941.64083333333303</v>
      </c>
      <c r="AE28" s="107">
        <f>SUM(HR!$D$39:$D$44)*'4. OH Expenses'!$C$28*AE6</f>
        <v>-941.64083333333303</v>
      </c>
      <c r="AF28" s="107">
        <f>SUM(HR!$D$39:$D$44)*'4. OH Expenses'!$C$28*AF6</f>
        <v>-941.64083333333303</v>
      </c>
      <c r="AG28" s="107">
        <f>SUM(HR!$D$39:$D$44)*'4. OH Expenses'!$C$28*AG6</f>
        <v>-941.64083333333303</v>
      </c>
      <c r="AH28" s="107">
        <f>SUM(HR!$D$39:$D$44)*'4. OH Expenses'!$C$28*AH6</f>
        <v>-941.64083333333303</v>
      </c>
      <c r="AI28" s="107">
        <f>SUM(HR!$D$39:$D$44)*'4. OH Expenses'!$C$28*AI6</f>
        <v>-941.64083333333303</v>
      </c>
      <c r="AJ28" s="107">
        <f>SUM(HR!$D$39:$D$44)*'4. OH Expenses'!$C$28*AJ6</f>
        <v>-941.64083333333303</v>
      </c>
      <c r="AK28" s="107">
        <f>SUM(HR!$D$39:$D$44)*'4. OH Expenses'!$C$28*AK6</f>
        <v>-941.64083333333303</v>
      </c>
      <c r="AL28" s="107">
        <f>SUM(HR!$D$39:$D$44)*'4. OH Expenses'!$C$28*AL6</f>
        <v>-941.64083333333303</v>
      </c>
      <c r="AM28" s="739">
        <f>SUM(HR!$D$39:$D$44)*'4. OH Expenses'!$C$28*AM6</f>
        <v>-941.64083333333303</v>
      </c>
      <c r="AN28" s="107">
        <f>SUM(HR!$D$39:$D$44)*'4. OH Expenses'!$C$28*AN6</f>
        <v>-1000.964205833333</v>
      </c>
      <c r="AO28" s="107">
        <f>SUM(HR!$D$39:$D$44)*'4. OH Expenses'!$C$28*AO6</f>
        <v>-1000.964205833333</v>
      </c>
      <c r="AP28" s="107">
        <f>SUM(HR!$D$39:$D$44)*'4. OH Expenses'!$C$28*AP6</f>
        <v>-1000.964205833333</v>
      </c>
      <c r="AQ28" s="107">
        <f>SUM(HR!$D$39:$D$44)*'4. OH Expenses'!$C$28*AQ6</f>
        <v>-1000.964205833333</v>
      </c>
      <c r="AR28" s="107">
        <f>SUM(HR!$D$39:$D$44)*'4. OH Expenses'!$C$28*AR6</f>
        <v>-1000.964205833333</v>
      </c>
      <c r="AS28" s="107">
        <f>SUM(HR!$D$39:$D$44)*'4. OH Expenses'!$C$28*AS6</f>
        <v>-1000.964205833333</v>
      </c>
      <c r="AT28" s="107">
        <f>SUM(HR!$D$39:$D$44)*'4. OH Expenses'!$C$28*AT6</f>
        <v>-1000.964205833333</v>
      </c>
      <c r="AU28" s="107">
        <f>SUM(HR!$D$39:$D$44)*'4. OH Expenses'!$C$28*AU6</f>
        <v>-1000.964205833333</v>
      </c>
      <c r="AV28" s="107">
        <f>SUM(HR!$D$39:$D$44)*'4. OH Expenses'!$C$28*AV6</f>
        <v>-1000.964205833333</v>
      </c>
      <c r="AW28" s="107">
        <f>SUM(HR!$D$39:$D$44)*'4. OH Expenses'!$C$28*AW6</f>
        <v>-1000.964205833333</v>
      </c>
      <c r="AX28" s="107">
        <f>SUM(HR!$D$39:$D$44)*'4. OH Expenses'!$C$28*AX6</f>
        <v>-1000.964205833333</v>
      </c>
      <c r="AY28" s="739">
        <f>SUM(HR!$D$39:$D$44)*'4. OH Expenses'!$C$28*AY6</f>
        <v>-1000.964205833333</v>
      </c>
      <c r="AZ28" s="107">
        <f>SUM(HR!$D$39:$D$44)*'4. OH Expenses'!$C$28*AZ6</f>
        <v>-1064.0249508008328</v>
      </c>
      <c r="BA28" s="107">
        <f>SUM(HR!$D$39:$D$44)*'4. OH Expenses'!$C$28*BA6</f>
        <v>-1064.0249508008328</v>
      </c>
      <c r="BB28" s="107">
        <f>SUM(HR!$D$39:$D$44)*'4. OH Expenses'!$C$28*BB6</f>
        <v>-1064.0249508008328</v>
      </c>
      <c r="BC28" s="107">
        <f>SUM(HR!$D$39:$D$44)*'4. OH Expenses'!$C$28*BC6</f>
        <v>-1064.0249508008328</v>
      </c>
      <c r="BD28" s="107">
        <f>SUM(HR!$D$39:$D$44)*'4. OH Expenses'!$C$28*BD6</f>
        <v>-1064.0249508008328</v>
      </c>
      <c r="BE28" s="107">
        <f>SUM(HR!$D$39:$D$44)*'4. OH Expenses'!$C$28*BE6</f>
        <v>-1064.0249508008328</v>
      </c>
      <c r="BF28" s="107">
        <f>SUM(HR!$D$39:$D$44)*'4. OH Expenses'!$C$28*BF6</f>
        <v>-1064.0249508008328</v>
      </c>
      <c r="BG28" s="107">
        <f>SUM(HR!$D$39:$D$44)*'4. OH Expenses'!$C$28*BG6</f>
        <v>-1064.0249508008328</v>
      </c>
      <c r="BH28" s="107">
        <f>SUM(HR!$D$39:$D$44)*'4. OH Expenses'!$C$28*BH6</f>
        <v>-1064.0249508008328</v>
      </c>
      <c r="BI28" s="107">
        <f>SUM(HR!$D$39:$D$44)*'4. OH Expenses'!$C$28*BI6</f>
        <v>-1064.0249508008328</v>
      </c>
      <c r="BJ28" s="107">
        <f>SUM(HR!$D$39:$D$44)*'4. OH Expenses'!$C$28*BJ6</f>
        <v>-1064.0249508008328</v>
      </c>
      <c r="BK28" s="739">
        <f>SUM(HR!$D$39:$D$44)*'4. OH Expenses'!$C$28*BK6</f>
        <v>-1064.0249508008328</v>
      </c>
      <c r="BL28" s="107">
        <f>SUM(HR!$D$39:$D$44)*'4. OH Expenses'!$C$28*BL6</f>
        <v>-1131.0585227012853</v>
      </c>
      <c r="BM28" s="107">
        <f>SUM(HR!$D$39:$D$44)*'4. OH Expenses'!$C$28*BM6</f>
        <v>-1131.0585227012853</v>
      </c>
      <c r="BN28" s="107">
        <f>SUM(HR!$D$39:$D$44)*'4. OH Expenses'!$C$28*BN6</f>
        <v>-1131.0585227012853</v>
      </c>
      <c r="BO28" s="107">
        <f>SUM(HR!$D$39:$D$44)*'4. OH Expenses'!$C$28*BO6</f>
        <v>-1131.0585227012853</v>
      </c>
      <c r="BP28" s="107">
        <f>SUM(HR!$D$39:$D$44)*'4. OH Expenses'!$C$28*BP6</f>
        <v>-1131.0585227012853</v>
      </c>
      <c r="BQ28" s="107">
        <f>SUM(HR!$D$39:$D$44)*'4. OH Expenses'!$C$28*BQ6</f>
        <v>-1131.0585227012853</v>
      </c>
      <c r="BR28" s="107">
        <f>SUM(HR!$D$39:$D$44)*'4. OH Expenses'!$C$28*BR6</f>
        <v>-1131.0585227012853</v>
      </c>
      <c r="BS28" s="107">
        <f>SUM(HR!$D$39:$D$44)*'4. OH Expenses'!$C$28*BS6</f>
        <v>-1131.0585227012853</v>
      </c>
      <c r="BT28" s="107">
        <f>SUM(HR!$D$39:$D$44)*'4. OH Expenses'!$C$28*BT6</f>
        <v>-1131.0585227012853</v>
      </c>
      <c r="BU28" s="107">
        <f>SUM(HR!$D$39:$D$44)*'4. OH Expenses'!$C$28*BU6</f>
        <v>-1131.0585227012853</v>
      </c>
      <c r="BV28" s="107">
        <f>SUM(HR!$D$39:$D$44)*'4. OH Expenses'!$C$28*BV6</f>
        <v>-1131.0585227012853</v>
      </c>
      <c r="BW28" s="739">
        <f>SUM(HR!$D$39:$D$44)*'4. OH Expenses'!$C$28*BW6</f>
        <v>-1131.0585227012853</v>
      </c>
      <c r="BX28" s="107">
        <f>SUM(HR!$D$39:$D$44)*'4. OH Expenses'!$C$28*BX6</f>
        <v>-1202.3152096314664</v>
      </c>
      <c r="BY28" s="107">
        <f>SUM(HR!$D$39:$D$44)*'4. OH Expenses'!$C$28*BY6</f>
        <v>-1202.3152096314664</v>
      </c>
      <c r="BZ28" s="107">
        <f>SUM(HR!$D$39:$D$44)*'4. OH Expenses'!$C$28*BZ6</f>
        <v>-1202.3152096314664</v>
      </c>
      <c r="CA28" s="107">
        <f>SUM(HR!$D$39:$D$44)*'4. OH Expenses'!$C$28*CA6</f>
        <v>-1202.3152096314664</v>
      </c>
      <c r="CB28" s="107">
        <f>SUM(HR!$D$39:$D$44)*'4. OH Expenses'!$C$28*CB6</f>
        <v>-1202.3152096314664</v>
      </c>
      <c r="CC28" s="107">
        <f>SUM(HR!$D$39:$D$44)*'4. OH Expenses'!$C$28*CC6</f>
        <v>-1202.3152096314664</v>
      </c>
      <c r="CD28" s="107">
        <f>SUM(HR!$D$39:$D$44)*'4. OH Expenses'!$C$28*CD6</f>
        <v>-1202.3152096314664</v>
      </c>
      <c r="CE28" s="107">
        <f>SUM(HR!$D$39:$D$44)*'4. OH Expenses'!$C$28*CE6</f>
        <v>-1202.3152096314664</v>
      </c>
      <c r="CF28" s="107">
        <f>SUM(HR!$D$39:$D$44)*'4. OH Expenses'!$C$28*CF6</f>
        <v>-1202.3152096314664</v>
      </c>
      <c r="CG28" s="107">
        <f>SUM(HR!$D$39:$D$44)*'4. OH Expenses'!$C$28*CG6</f>
        <v>-1202.3152096314664</v>
      </c>
      <c r="CH28" s="107">
        <f>SUM(HR!$D$39:$D$44)*'4. OH Expenses'!$C$28*CH6</f>
        <v>-1202.3152096314664</v>
      </c>
      <c r="CI28" s="739">
        <f>SUM(HR!$D$39:$D$44)*'4. OH Expenses'!$C$28*CI6</f>
        <v>-1202.3152096314664</v>
      </c>
      <c r="CJ28" s="107">
        <f>SUM(HR!$D$39:$D$44)*'4. OH Expenses'!$C$28*CJ6</f>
        <v>-1278.0610678382486</v>
      </c>
      <c r="CK28" s="107">
        <f>SUM(HR!$D$39:$D$44)*'4. OH Expenses'!$C$28*CK6</f>
        <v>-1278.0610678382486</v>
      </c>
      <c r="CL28" s="107">
        <f>SUM(HR!$D$39:$D$44)*'4. OH Expenses'!$C$28*CL6</f>
        <v>-1278.0610678382486</v>
      </c>
      <c r="CM28" s="107">
        <f>SUM(HR!$D$39:$D$44)*'4. OH Expenses'!$C$28*CM6</f>
        <v>-1278.0610678382486</v>
      </c>
      <c r="CN28" s="107">
        <f>SUM(HR!$D$39:$D$44)*'4. OH Expenses'!$C$28*CN6</f>
        <v>-1278.0610678382486</v>
      </c>
      <c r="CO28" s="107">
        <f>SUM(HR!$D$39:$D$44)*'4. OH Expenses'!$C$28*CO6</f>
        <v>-1278.0610678382486</v>
      </c>
      <c r="CP28" s="107">
        <f>SUM(HR!$D$39:$D$44)*'4. OH Expenses'!$C$28*CP6</f>
        <v>-1278.0610678382486</v>
      </c>
      <c r="CQ28" s="107">
        <f>SUM(HR!$D$39:$D$44)*'4. OH Expenses'!$C$28*CQ6</f>
        <v>-1278.0610678382486</v>
      </c>
      <c r="CR28" s="107">
        <f>SUM(HR!$D$39:$D$44)*'4. OH Expenses'!$C$28*CR6</f>
        <v>-1278.0610678382486</v>
      </c>
      <c r="CS28" s="107">
        <f>SUM(HR!$D$39:$D$44)*'4. OH Expenses'!$C$28*CS6</f>
        <v>-1278.0610678382486</v>
      </c>
      <c r="CT28" s="107">
        <f>SUM(HR!$D$39:$D$44)*'4. OH Expenses'!$C$28*CT6</f>
        <v>-1278.0610678382486</v>
      </c>
      <c r="CU28" s="739">
        <f>SUM(HR!$D$39:$D$44)*'4. OH Expenses'!$C$28*CU6</f>
        <v>-1278.0610678382486</v>
      </c>
      <c r="CV28" s="107">
        <f>SUM(HR!$D$39:$D$44)*'4. OH Expenses'!$C$28*CV6</f>
        <v>-1358.5789151120582</v>
      </c>
      <c r="CW28" s="107">
        <f>SUM(HR!$D$39:$D$44)*'4. OH Expenses'!$C$28*CW6</f>
        <v>-1358.5789151120582</v>
      </c>
      <c r="CX28" s="107">
        <f>SUM(HR!$D$39:$D$44)*'4. OH Expenses'!$C$28*CX6</f>
        <v>-1358.5789151120582</v>
      </c>
      <c r="CY28" s="107">
        <f>SUM(HR!$D$39:$D$44)*'4. OH Expenses'!$C$28*CY6</f>
        <v>-1358.5789151120582</v>
      </c>
      <c r="CZ28" s="107">
        <f>SUM(HR!$D$39:$D$44)*'4. OH Expenses'!$C$28*CZ6</f>
        <v>-1358.5789151120582</v>
      </c>
      <c r="DA28" s="107">
        <f>SUM(HR!$D$39:$D$44)*'4. OH Expenses'!$C$28*DA6</f>
        <v>-1358.5789151120582</v>
      </c>
      <c r="DB28" s="107">
        <f>SUM(HR!$D$39:$D$44)*'4. OH Expenses'!$C$28*DB6</f>
        <v>-1358.5789151120582</v>
      </c>
      <c r="DC28" s="107">
        <f>SUM(HR!$D$39:$D$44)*'4. OH Expenses'!$C$28*DC6</f>
        <v>-1358.5789151120582</v>
      </c>
      <c r="DD28" s="107">
        <f>SUM(HR!$D$39:$D$44)*'4. OH Expenses'!$C$28*DD6</f>
        <v>-1358.5789151120582</v>
      </c>
      <c r="DE28" s="107">
        <f>SUM(HR!$D$39:$D$44)*'4. OH Expenses'!$C$28*DE6</f>
        <v>-1358.5789151120582</v>
      </c>
      <c r="DF28" s="107">
        <f>SUM(HR!$D$39:$D$44)*'4. OH Expenses'!$C$28*DF6</f>
        <v>-1358.5789151120582</v>
      </c>
      <c r="DG28" s="739">
        <f>SUM(HR!$D$39:$D$44)*'4. OH Expenses'!$C$28*DG6</f>
        <v>-1358.5789151120582</v>
      </c>
      <c r="DH28" s="107">
        <f>SUM(HR!$D$39:$D$44)*'4. OH Expenses'!$C$28*DH6</f>
        <v>-1444.1693867641177</v>
      </c>
      <c r="DI28" s="107">
        <f>SUM(HR!$D$39:$D$44)*'4. OH Expenses'!$C$28*DI6</f>
        <v>-1444.1693867641177</v>
      </c>
      <c r="DJ28" s="107">
        <f>SUM(HR!$D$39:$D$44)*'4. OH Expenses'!$C$28*DJ6</f>
        <v>-1444.1693867641177</v>
      </c>
      <c r="DK28" s="107">
        <f>SUM(HR!$D$39:$D$44)*'4. OH Expenses'!$C$28*DK6</f>
        <v>-1444.1693867641177</v>
      </c>
      <c r="DL28" s="107">
        <f>SUM(HR!$D$39:$D$44)*'4. OH Expenses'!$C$28*DL6</f>
        <v>-1444.1693867641177</v>
      </c>
      <c r="DM28" s="107">
        <f>SUM(HR!$D$39:$D$44)*'4. OH Expenses'!$C$28*DM6</f>
        <v>-1444.1693867641177</v>
      </c>
      <c r="DN28" s="107">
        <f>SUM(HR!$D$39:$D$44)*'4. OH Expenses'!$C$28*DN6</f>
        <v>-1444.1693867641177</v>
      </c>
      <c r="DO28" s="107">
        <f>SUM(HR!$D$39:$D$44)*'4. OH Expenses'!$C$28*DO6</f>
        <v>-1444.1693867641177</v>
      </c>
      <c r="DP28" s="107">
        <f>SUM(HR!$D$39:$D$44)*'4. OH Expenses'!$C$28*DP6</f>
        <v>-1444.1693867641177</v>
      </c>
      <c r="DQ28" s="107">
        <f>SUM(HR!$D$39:$D$44)*'4. OH Expenses'!$C$28*DQ6</f>
        <v>-1444.1693867641177</v>
      </c>
      <c r="DR28" s="107">
        <f>SUM(HR!$D$39:$D$44)*'4. OH Expenses'!$C$28*DR6</f>
        <v>-1444.1693867641177</v>
      </c>
      <c r="DS28" s="739">
        <f>SUM(HR!$D$39:$D$44)*'4. OH Expenses'!$C$28*DS6</f>
        <v>-1444.1693867641177</v>
      </c>
    </row>
    <row r="29" spans="2:123" ht="15" x14ac:dyDescent="0.25">
      <c r="B29" s="160" t="s">
        <v>7</v>
      </c>
      <c r="C29" s="833">
        <v>-1000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>
        <f t="shared" ref="N29:O32" si="67">$C29*N$6</f>
        <v>-1000</v>
      </c>
      <c r="O29" s="535">
        <f t="shared" si="67"/>
        <v>-1000</v>
      </c>
      <c r="P29" s="107">
        <f t="shared" ref="P29:Y32" si="68">$C29*P$6</f>
        <v>-1063</v>
      </c>
      <c r="Q29" s="106">
        <f t="shared" si="68"/>
        <v>-1063</v>
      </c>
      <c r="R29" s="106">
        <f t="shared" si="68"/>
        <v>-1063</v>
      </c>
      <c r="S29" s="106">
        <f t="shared" si="68"/>
        <v>-1063</v>
      </c>
      <c r="T29" s="106">
        <f t="shared" si="68"/>
        <v>-1063</v>
      </c>
      <c r="U29" s="106">
        <f t="shared" si="68"/>
        <v>-1063</v>
      </c>
      <c r="V29" s="106">
        <f t="shared" si="68"/>
        <v>-1063</v>
      </c>
      <c r="W29" s="106">
        <f t="shared" si="68"/>
        <v>-1063</v>
      </c>
      <c r="X29" s="106">
        <f t="shared" si="68"/>
        <v>-1063</v>
      </c>
      <c r="Y29" s="106">
        <f t="shared" si="68"/>
        <v>-1063</v>
      </c>
      <c r="Z29" s="106">
        <f t="shared" ref="Z29:AI32" si="69">$C29*Z$6</f>
        <v>-1063</v>
      </c>
      <c r="AA29" s="108">
        <f t="shared" si="69"/>
        <v>-1063</v>
      </c>
      <c r="AB29" s="107">
        <f t="shared" si="69"/>
        <v>-1129.9689999999998</v>
      </c>
      <c r="AC29" s="106">
        <f t="shared" si="69"/>
        <v>-1129.9689999999998</v>
      </c>
      <c r="AD29" s="106">
        <f t="shared" si="69"/>
        <v>-1129.9689999999998</v>
      </c>
      <c r="AE29" s="106">
        <f t="shared" si="69"/>
        <v>-1129.9689999999998</v>
      </c>
      <c r="AF29" s="106">
        <f t="shared" si="69"/>
        <v>-1129.9689999999998</v>
      </c>
      <c r="AG29" s="106">
        <f t="shared" si="69"/>
        <v>-1129.9689999999998</v>
      </c>
      <c r="AH29" s="106">
        <f t="shared" si="69"/>
        <v>-1129.9689999999998</v>
      </c>
      <c r="AI29" s="106">
        <f t="shared" si="69"/>
        <v>-1129.9689999999998</v>
      </c>
      <c r="AJ29" s="106">
        <f t="shared" ref="AJ29:AS32" si="70">$C29*AJ$6</f>
        <v>-1129.9689999999998</v>
      </c>
      <c r="AK29" s="106">
        <f t="shared" si="70"/>
        <v>-1129.9689999999998</v>
      </c>
      <c r="AL29" s="106">
        <f t="shared" si="70"/>
        <v>-1129.9689999999998</v>
      </c>
      <c r="AM29" s="108">
        <f t="shared" si="70"/>
        <v>-1129.9689999999998</v>
      </c>
      <c r="AN29" s="107">
        <f t="shared" si="70"/>
        <v>-1201.1570469999997</v>
      </c>
      <c r="AO29" s="106">
        <f t="shared" si="70"/>
        <v>-1201.1570469999997</v>
      </c>
      <c r="AP29" s="106">
        <f t="shared" si="70"/>
        <v>-1201.1570469999997</v>
      </c>
      <c r="AQ29" s="106">
        <f t="shared" si="70"/>
        <v>-1201.1570469999997</v>
      </c>
      <c r="AR29" s="106">
        <f t="shared" si="70"/>
        <v>-1201.1570469999997</v>
      </c>
      <c r="AS29" s="106">
        <f t="shared" si="70"/>
        <v>-1201.1570469999997</v>
      </c>
      <c r="AT29" s="106">
        <f t="shared" ref="AT29:BC32" si="71">$C29*AT$6</f>
        <v>-1201.1570469999997</v>
      </c>
      <c r="AU29" s="106">
        <f t="shared" si="71"/>
        <v>-1201.1570469999997</v>
      </c>
      <c r="AV29" s="106">
        <f t="shared" si="71"/>
        <v>-1201.1570469999997</v>
      </c>
      <c r="AW29" s="106">
        <f t="shared" si="71"/>
        <v>-1201.1570469999997</v>
      </c>
      <c r="AX29" s="106">
        <f t="shared" si="71"/>
        <v>-1201.1570469999997</v>
      </c>
      <c r="AY29" s="108">
        <f t="shared" si="71"/>
        <v>-1201.1570469999997</v>
      </c>
      <c r="AZ29" s="107">
        <f t="shared" si="71"/>
        <v>-1276.8299409609995</v>
      </c>
      <c r="BA29" s="106">
        <f t="shared" si="71"/>
        <v>-1276.8299409609995</v>
      </c>
      <c r="BB29" s="106">
        <f t="shared" si="71"/>
        <v>-1276.8299409609995</v>
      </c>
      <c r="BC29" s="106">
        <f t="shared" si="71"/>
        <v>-1276.8299409609995</v>
      </c>
      <c r="BD29" s="106">
        <f t="shared" ref="BD29:BM32" si="72">$C29*BD$6</f>
        <v>-1276.8299409609995</v>
      </c>
      <c r="BE29" s="106">
        <f t="shared" si="72"/>
        <v>-1276.8299409609995</v>
      </c>
      <c r="BF29" s="106">
        <f t="shared" si="72"/>
        <v>-1276.8299409609995</v>
      </c>
      <c r="BG29" s="106">
        <f t="shared" si="72"/>
        <v>-1276.8299409609995</v>
      </c>
      <c r="BH29" s="106">
        <f t="shared" si="72"/>
        <v>-1276.8299409609995</v>
      </c>
      <c r="BI29" s="106">
        <f t="shared" si="72"/>
        <v>-1276.8299409609995</v>
      </c>
      <c r="BJ29" s="106">
        <f t="shared" si="72"/>
        <v>-1276.8299409609995</v>
      </c>
      <c r="BK29" s="108">
        <f t="shared" si="72"/>
        <v>-1276.8299409609995</v>
      </c>
      <c r="BL29" s="107">
        <f t="shared" si="72"/>
        <v>-1357.2702272415424</v>
      </c>
      <c r="BM29" s="106">
        <f t="shared" si="72"/>
        <v>-1357.2702272415424</v>
      </c>
      <c r="BN29" s="106">
        <f t="shared" ref="BN29:BW32" si="73">$C29*BN$6</f>
        <v>-1357.2702272415424</v>
      </c>
      <c r="BO29" s="106">
        <f t="shared" si="73"/>
        <v>-1357.2702272415424</v>
      </c>
      <c r="BP29" s="106">
        <f t="shared" si="73"/>
        <v>-1357.2702272415424</v>
      </c>
      <c r="BQ29" s="106">
        <f t="shared" si="73"/>
        <v>-1357.2702272415424</v>
      </c>
      <c r="BR29" s="106">
        <f t="shared" si="73"/>
        <v>-1357.2702272415424</v>
      </c>
      <c r="BS29" s="106">
        <f t="shared" si="73"/>
        <v>-1357.2702272415424</v>
      </c>
      <c r="BT29" s="106">
        <f t="shared" si="73"/>
        <v>-1357.2702272415424</v>
      </c>
      <c r="BU29" s="106">
        <f t="shared" si="73"/>
        <v>-1357.2702272415424</v>
      </c>
      <c r="BV29" s="106">
        <f t="shared" si="73"/>
        <v>-1357.2702272415424</v>
      </c>
      <c r="BW29" s="108">
        <f t="shared" si="73"/>
        <v>-1357.2702272415424</v>
      </c>
      <c r="BX29" s="107">
        <f t="shared" ref="BX29:CG32" si="74">$C29*BX$6</f>
        <v>-1442.7782515577596</v>
      </c>
      <c r="BY29" s="106">
        <f t="shared" si="74"/>
        <v>-1442.7782515577596</v>
      </c>
      <c r="BZ29" s="106">
        <f t="shared" si="74"/>
        <v>-1442.7782515577596</v>
      </c>
      <c r="CA29" s="106">
        <f t="shared" si="74"/>
        <v>-1442.7782515577596</v>
      </c>
      <c r="CB29" s="106">
        <f t="shared" si="74"/>
        <v>-1442.7782515577596</v>
      </c>
      <c r="CC29" s="106">
        <f t="shared" si="74"/>
        <v>-1442.7782515577596</v>
      </c>
      <c r="CD29" s="106">
        <f t="shared" si="74"/>
        <v>-1442.7782515577596</v>
      </c>
      <c r="CE29" s="106">
        <f t="shared" si="74"/>
        <v>-1442.7782515577596</v>
      </c>
      <c r="CF29" s="106">
        <f t="shared" si="74"/>
        <v>-1442.7782515577596</v>
      </c>
      <c r="CG29" s="106">
        <f t="shared" si="74"/>
        <v>-1442.7782515577596</v>
      </c>
      <c r="CH29" s="106">
        <f t="shared" ref="CH29:CQ32" si="75">$C29*CH$6</f>
        <v>-1442.7782515577596</v>
      </c>
      <c r="CI29" s="108">
        <f t="shared" si="75"/>
        <v>-1442.7782515577596</v>
      </c>
      <c r="CJ29" s="107">
        <f t="shared" si="75"/>
        <v>-1533.6732814058985</v>
      </c>
      <c r="CK29" s="106">
        <f t="shared" si="75"/>
        <v>-1533.6732814058985</v>
      </c>
      <c r="CL29" s="106">
        <f t="shared" si="75"/>
        <v>-1533.6732814058985</v>
      </c>
      <c r="CM29" s="106">
        <f t="shared" si="75"/>
        <v>-1533.6732814058985</v>
      </c>
      <c r="CN29" s="106">
        <f t="shared" si="75"/>
        <v>-1533.6732814058985</v>
      </c>
      <c r="CO29" s="106">
        <f t="shared" si="75"/>
        <v>-1533.6732814058985</v>
      </c>
      <c r="CP29" s="106">
        <f t="shared" si="75"/>
        <v>-1533.6732814058985</v>
      </c>
      <c r="CQ29" s="106">
        <f t="shared" si="75"/>
        <v>-1533.6732814058985</v>
      </c>
      <c r="CR29" s="106">
        <f t="shared" ref="CR29:DA32" si="76">$C29*CR$6</f>
        <v>-1533.6732814058985</v>
      </c>
      <c r="CS29" s="106">
        <f t="shared" si="76"/>
        <v>-1533.6732814058985</v>
      </c>
      <c r="CT29" s="106">
        <f t="shared" si="76"/>
        <v>-1533.6732814058985</v>
      </c>
      <c r="CU29" s="108">
        <f t="shared" si="76"/>
        <v>-1533.6732814058985</v>
      </c>
      <c r="CV29" s="107">
        <f t="shared" si="76"/>
        <v>-1630.2946981344699</v>
      </c>
      <c r="CW29" s="106">
        <f t="shared" si="76"/>
        <v>-1630.2946981344699</v>
      </c>
      <c r="CX29" s="106">
        <f t="shared" si="76"/>
        <v>-1630.2946981344699</v>
      </c>
      <c r="CY29" s="106">
        <f t="shared" si="76"/>
        <v>-1630.2946981344699</v>
      </c>
      <c r="CZ29" s="106">
        <f t="shared" si="76"/>
        <v>-1630.2946981344699</v>
      </c>
      <c r="DA29" s="106">
        <f t="shared" si="76"/>
        <v>-1630.2946981344699</v>
      </c>
      <c r="DB29" s="106">
        <f t="shared" ref="DB29:DK32" si="77">$C29*DB$6</f>
        <v>-1630.2946981344699</v>
      </c>
      <c r="DC29" s="106">
        <f t="shared" si="77"/>
        <v>-1630.2946981344699</v>
      </c>
      <c r="DD29" s="106">
        <f t="shared" si="77"/>
        <v>-1630.2946981344699</v>
      </c>
      <c r="DE29" s="106">
        <f t="shared" si="77"/>
        <v>-1630.2946981344699</v>
      </c>
      <c r="DF29" s="106">
        <f t="shared" si="77"/>
        <v>-1630.2946981344699</v>
      </c>
      <c r="DG29" s="108">
        <f t="shared" si="77"/>
        <v>-1630.2946981344699</v>
      </c>
      <c r="DH29" s="107">
        <f t="shared" si="77"/>
        <v>-1733.0032641169414</v>
      </c>
      <c r="DI29" s="106">
        <f t="shared" si="77"/>
        <v>-1733.0032641169414</v>
      </c>
      <c r="DJ29" s="106">
        <f t="shared" si="77"/>
        <v>-1733.0032641169414</v>
      </c>
      <c r="DK29" s="106">
        <f t="shared" si="77"/>
        <v>-1733.0032641169414</v>
      </c>
      <c r="DL29" s="106">
        <f t="shared" ref="DL29:DS32" si="78">$C29*DL$6</f>
        <v>-1733.0032641169414</v>
      </c>
      <c r="DM29" s="106">
        <f t="shared" si="78"/>
        <v>-1733.0032641169414</v>
      </c>
      <c r="DN29" s="106">
        <f t="shared" si="78"/>
        <v>-1733.0032641169414</v>
      </c>
      <c r="DO29" s="106">
        <f t="shared" si="78"/>
        <v>-1733.0032641169414</v>
      </c>
      <c r="DP29" s="106">
        <f t="shared" si="78"/>
        <v>-1733.0032641169414</v>
      </c>
      <c r="DQ29" s="106">
        <f t="shared" si="78"/>
        <v>-1733.0032641169414</v>
      </c>
      <c r="DR29" s="106">
        <f t="shared" si="78"/>
        <v>-1733.0032641169414</v>
      </c>
      <c r="DS29" s="108">
        <f t="shared" si="78"/>
        <v>-1733.0032641169414</v>
      </c>
    </row>
    <row r="30" spans="2:123" ht="15" x14ac:dyDescent="0.25">
      <c r="B30" s="160" t="s">
        <v>8</v>
      </c>
      <c r="C30" s="833">
        <v>-7000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>
        <f t="shared" si="67"/>
        <v>-7000</v>
      </c>
      <c r="O30" s="535">
        <f t="shared" si="67"/>
        <v>-7000</v>
      </c>
      <c r="P30" s="107">
        <f t="shared" si="68"/>
        <v>-7441</v>
      </c>
      <c r="Q30" s="106">
        <f t="shared" si="68"/>
        <v>-7441</v>
      </c>
      <c r="R30" s="106">
        <f t="shared" si="68"/>
        <v>-7441</v>
      </c>
      <c r="S30" s="106">
        <f t="shared" si="68"/>
        <v>-7441</v>
      </c>
      <c r="T30" s="106">
        <f t="shared" si="68"/>
        <v>-7441</v>
      </c>
      <c r="U30" s="106">
        <f t="shared" si="68"/>
        <v>-7441</v>
      </c>
      <c r="V30" s="106">
        <f t="shared" si="68"/>
        <v>-7441</v>
      </c>
      <c r="W30" s="106">
        <f t="shared" si="68"/>
        <v>-7441</v>
      </c>
      <c r="X30" s="106">
        <f t="shared" si="68"/>
        <v>-7441</v>
      </c>
      <c r="Y30" s="106">
        <f t="shared" si="68"/>
        <v>-7441</v>
      </c>
      <c r="Z30" s="106">
        <f t="shared" si="69"/>
        <v>-7441</v>
      </c>
      <c r="AA30" s="108">
        <f t="shared" si="69"/>
        <v>-7441</v>
      </c>
      <c r="AB30" s="107">
        <f t="shared" si="69"/>
        <v>-7909.7829999999985</v>
      </c>
      <c r="AC30" s="106">
        <f t="shared" si="69"/>
        <v>-7909.7829999999985</v>
      </c>
      <c r="AD30" s="106">
        <f t="shared" si="69"/>
        <v>-7909.7829999999985</v>
      </c>
      <c r="AE30" s="106">
        <f t="shared" si="69"/>
        <v>-7909.7829999999985</v>
      </c>
      <c r="AF30" s="106">
        <f t="shared" si="69"/>
        <v>-7909.7829999999985</v>
      </c>
      <c r="AG30" s="106">
        <f t="shared" si="69"/>
        <v>-7909.7829999999985</v>
      </c>
      <c r="AH30" s="106">
        <f t="shared" si="69"/>
        <v>-7909.7829999999985</v>
      </c>
      <c r="AI30" s="106">
        <f t="shared" si="69"/>
        <v>-7909.7829999999985</v>
      </c>
      <c r="AJ30" s="106">
        <f t="shared" si="70"/>
        <v>-7909.7829999999985</v>
      </c>
      <c r="AK30" s="106">
        <f t="shared" si="70"/>
        <v>-7909.7829999999985</v>
      </c>
      <c r="AL30" s="106">
        <f t="shared" si="70"/>
        <v>-7909.7829999999985</v>
      </c>
      <c r="AM30" s="108">
        <f t="shared" si="70"/>
        <v>-7909.7829999999985</v>
      </c>
      <c r="AN30" s="107">
        <f t="shared" si="70"/>
        <v>-8408.0993289999988</v>
      </c>
      <c r="AO30" s="106">
        <f t="shared" si="70"/>
        <v>-8408.0993289999988</v>
      </c>
      <c r="AP30" s="106">
        <f t="shared" si="70"/>
        <v>-8408.0993289999988</v>
      </c>
      <c r="AQ30" s="106">
        <f t="shared" si="70"/>
        <v>-8408.0993289999988</v>
      </c>
      <c r="AR30" s="106">
        <f t="shared" si="70"/>
        <v>-8408.0993289999988</v>
      </c>
      <c r="AS30" s="106">
        <f t="shared" si="70"/>
        <v>-8408.0993289999988</v>
      </c>
      <c r="AT30" s="106">
        <f t="shared" si="71"/>
        <v>-8408.0993289999988</v>
      </c>
      <c r="AU30" s="106">
        <f t="shared" si="71"/>
        <v>-8408.0993289999988</v>
      </c>
      <c r="AV30" s="106">
        <f t="shared" si="71"/>
        <v>-8408.0993289999988</v>
      </c>
      <c r="AW30" s="106">
        <f t="shared" si="71"/>
        <v>-8408.0993289999988</v>
      </c>
      <c r="AX30" s="106">
        <f t="shared" si="71"/>
        <v>-8408.0993289999988</v>
      </c>
      <c r="AY30" s="108">
        <f t="shared" si="71"/>
        <v>-8408.0993289999988</v>
      </c>
      <c r="AZ30" s="107">
        <f t="shared" si="71"/>
        <v>-8937.8095867269967</v>
      </c>
      <c r="BA30" s="106">
        <f t="shared" si="71"/>
        <v>-8937.8095867269967</v>
      </c>
      <c r="BB30" s="106">
        <f t="shared" si="71"/>
        <v>-8937.8095867269967</v>
      </c>
      <c r="BC30" s="106">
        <f t="shared" si="71"/>
        <v>-8937.8095867269967</v>
      </c>
      <c r="BD30" s="106">
        <f t="shared" si="72"/>
        <v>-8937.8095867269967</v>
      </c>
      <c r="BE30" s="106">
        <f t="shared" si="72"/>
        <v>-8937.8095867269967</v>
      </c>
      <c r="BF30" s="106">
        <f t="shared" si="72"/>
        <v>-8937.8095867269967</v>
      </c>
      <c r="BG30" s="106">
        <f t="shared" si="72"/>
        <v>-8937.8095867269967</v>
      </c>
      <c r="BH30" s="106">
        <f t="shared" si="72"/>
        <v>-8937.8095867269967</v>
      </c>
      <c r="BI30" s="106">
        <f t="shared" si="72"/>
        <v>-8937.8095867269967</v>
      </c>
      <c r="BJ30" s="106">
        <f t="shared" si="72"/>
        <v>-8937.8095867269967</v>
      </c>
      <c r="BK30" s="108">
        <f t="shared" si="72"/>
        <v>-8937.8095867269967</v>
      </c>
      <c r="BL30" s="107">
        <f t="shared" si="72"/>
        <v>-9500.8915906907969</v>
      </c>
      <c r="BM30" s="106">
        <f t="shared" si="72"/>
        <v>-9500.8915906907969</v>
      </c>
      <c r="BN30" s="106">
        <f t="shared" si="73"/>
        <v>-9500.8915906907969</v>
      </c>
      <c r="BO30" s="106">
        <f t="shared" si="73"/>
        <v>-9500.8915906907969</v>
      </c>
      <c r="BP30" s="106">
        <f t="shared" si="73"/>
        <v>-9500.8915906907969</v>
      </c>
      <c r="BQ30" s="106">
        <f t="shared" si="73"/>
        <v>-9500.8915906907969</v>
      </c>
      <c r="BR30" s="106">
        <f t="shared" si="73"/>
        <v>-9500.8915906907969</v>
      </c>
      <c r="BS30" s="106">
        <f t="shared" si="73"/>
        <v>-9500.8915906907969</v>
      </c>
      <c r="BT30" s="106">
        <f t="shared" si="73"/>
        <v>-9500.8915906907969</v>
      </c>
      <c r="BU30" s="106">
        <f t="shared" si="73"/>
        <v>-9500.8915906907969</v>
      </c>
      <c r="BV30" s="106">
        <f t="shared" si="73"/>
        <v>-9500.8915906907969</v>
      </c>
      <c r="BW30" s="108">
        <f t="shared" si="73"/>
        <v>-9500.8915906907969</v>
      </c>
      <c r="BX30" s="107">
        <f t="shared" si="74"/>
        <v>-10099.447760904317</v>
      </c>
      <c r="BY30" s="106">
        <f t="shared" si="74"/>
        <v>-10099.447760904317</v>
      </c>
      <c r="BZ30" s="106">
        <f t="shared" si="74"/>
        <v>-10099.447760904317</v>
      </c>
      <c r="CA30" s="106">
        <f t="shared" si="74"/>
        <v>-10099.447760904317</v>
      </c>
      <c r="CB30" s="106">
        <f t="shared" si="74"/>
        <v>-10099.447760904317</v>
      </c>
      <c r="CC30" s="106">
        <f t="shared" si="74"/>
        <v>-10099.447760904317</v>
      </c>
      <c r="CD30" s="106">
        <f t="shared" si="74"/>
        <v>-10099.447760904317</v>
      </c>
      <c r="CE30" s="106">
        <f t="shared" si="74"/>
        <v>-10099.447760904317</v>
      </c>
      <c r="CF30" s="106">
        <f t="shared" si="74"/>
        <v>-10099.447760904317</v>
      </c>
      <c r="CG30" s="106">
        <f t="shared" si="74"/>
        <v>-10099.447760904317</v>
      </c>
      <c r="CH30" s="106">
        <f t="shared" si="75"/>
        <v>-10099.447760904317</v>
      </c>
      <c r="CI30" s="108">
        <f t="shared" si="75"/>
        <v>-10099.447760904317</v>
      </c>
      <c r="CJ30" s="107">
        <f t="shared" si="75"/>
        <v>-10735.712969841288</v>
      </c>
      <c r="CK30" s="106">
        <f t="shared" si="75"/>
        <v>-10735.712969841288</v>
      </c>
      <c r="CL30" s="106">
        <f t="shared" si="75"/>
        <v>-10735.712969841288</v>
      </c>
      <c r="CM30" s="106">
        <f t="shared" si="75"/>
        <v>-10735.712969841288</v>
      </c>
      <c r="CN30" s="106">
        <f t="shared" si="75"/>
        <v>-10735.712969841288</v>
      </c>
      <c r="CO30" s="106">
        <f t="shared" si="75"/>
        <v>-10735.712969841288</v>
      </c>
      <c r="CP30" s="106">
        <f t="shared" si="75"/>
        <v>-10735.712969841288</v>
      </c>
      <c r="CQ30" s="106">
        <f t="shared" si="75"/>
        <v>-10735.712969841288</v>
      </c>
      <c r="CR30" s="106">
        <f t="shared" si="76"/>
        <v>-10735.712969841288</v>
      </c>
      <c r="CS30" s="106">
        <f t="shared" si="76"/>
        <v>-10735.712969841288</v>
      </c>
      <c r="CT30" s="106">
        <f t="shared" si="76"/>
        <v>-10735.712969841288</v>
      </c>
      <c r="CU30" s="108">
        <f t="shared" si="76"/>
        <v>-10735.712969841288</v>
      </c>
      <c r="CV30" s="107">
        <f t="shared" si="76"/>
        <v>-11412.06288694129</v>
      </c>
      <c r="CW30" s="106">
        <f t="shared" si="76"/>
        <v>-11412.06288694129</v>
      </c>
      <c r="CX30" s="106">
        <f t="shared" si="76"/>
        <v>-11412.06288694129</v>
      </c>
      <c r="CY30" s="106">
        <f t="shared" si="76"/>
        <v>-11412.06288694129</v>
      </c>
      <c r="CZ30" s="106">
        <f t="shared" si="76"/>
        <v>-11412.06288694129</v>
      </c>
      <c r="DA30" s="106">
        <f t="shared" si="76"/>
        <v>-11412.06288694129</v>
      </c>
      <c r="DB30" s="106">
        <f t="shared" si="77"/>
        <v>-11412.06288694129</v>
      </c>
      <c r="DC30" s="106">
        <f t="shared" si="77"/>
        <v>-11412.06288694129</v>
      </c>
      <c r="DD30" s="106">
        <f t="shared" si="77"/>
        <v>-11412.06288694129</v>
      </c>
      <c r="DE30" s="106">
        <f t="shared" si="77"/>
        <v>-11412.06288694129</v>
      </c>
      <c r="DF30" s="106">
        <f t="shared" si="77"/>
        <v>-11412.06288694129</v>
      </c>
      <c r="DG30" s="108">
        <f t="shared" si="77"/>
        <v>-11412.06288694129</v>
      </c>
      <c r="DH30" s="107">
        <f t="shared" si="77"/>
        <v>-12131.022848818591</v>
      </c>
      <c r="DI30" s="106">
        <f t="shared" si="77"/>
        <v>-12131.022848818591</v>
      </c>
      <c r="DJ30" s="106">
        <f t="shared" si="77"/>
        <v>-12131.022848818591</v>
      </c>
      <c r="DK30" s="106">
        <f t="shared" si="77"/>
        <v>-12131.022848818591</v>
      </c>
      <c r="DL30" s="106">
        <f t="shared" si="78"/>
        <v>-12131.022848818591</v>
      </c>
      <c r="DM30" s="106">
        <f t="shared" si="78"/>
        <v>-12131.022848818591</v>
      </c>
      <c r="DN30" s="106">
        <f t="shared" si="78"/>
        <v>-12131.022848818591</v>
      </c>
      <c r="DO30" s="106">
        <f t="shared" si="78"/>
        <v>-12131.022848818591</v>
      </c>
      <c r="DP30" s="106">
        <f t="shared" si="78"/>
        <v>-12131.022848818591</v>
      </c>
      <c r="DQ30" s="106">
        <f t="shared" si="78"/>
        <v>-12131.022848818591</v>
      </c>
      <c r="DR30" s="106">
        <f t="shared" si="78"/>
        <v>-12131.022848818591</v>
      </c>
      <c r="DS30" s="108">
        <f t="shared" si="78"/>
        <v>-12131.022848818591</v>
      </c>
    </row>
    <row r="31" spans="2:123" ht="15" x14ac:dyDescent="0.25">
      <c r="B31" s="160" t="s">
        <v>9</v>
      </c>
      <c r="C31" s="833">
        <v>-3000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>
        <f t="shared" si="67"/>
        <v>-3000</v>
      </c>
      <c r="O31" s="535">
        <f t="shared" si="67"/>
        <v>-3000</v>
      </c>
      <c r="P31" s="107">
        <f t="shared" si="68"/>
        <v>-3189</v>
      </c>
      <c r="Q31" s="106">
        <f t="shared" si="68"/>
        <v>-3189</v>
      </c>
      <c r="R31" s="106">
        <f t="shared" si="68"/>
        <v>-3189</v>
      </c>
      <c r="S31" s="106">
        <f t="shared" si="68"/>
        <v>-3189</v>
      </c>
      <c r="T31" s="106">
        <f t="shared" si="68"/>
        <v>-3189</v>
      </c>
      <c r="U31" s="106">
        <f t="shared" si="68"/>
        <v>-3189</v>
      </c>
      <c r="V31" s="106">
        <f t="shared" si="68"/>
        <v>-3189</v>
      </c>
      <c r="W31" s="106">
        <f t="shared" si="68"/>
        <v>-3189</v>
      </c>
      <c r="X31" s="106">
        <f t="shared" si="68"/>
        <v>-3189</v>
      </c>
      <c r="Y31" s="106">
        <f t="shared" si="68"/>
        <v>-3189</v>
      </c>
      <c r="Z31" s="106">
        <f t="shared" si="69"/>
        <v>-3189</v>
      </c>
      <c r="AA31" s="108">
        <f t="shared" si="69"/>
        <v>-3189</v>
      </c>
      <c r="AB31" s="107">
        <f t="shared" si="69"/>
        <v>-3389.9069999999992</v>
      </c>
      <c r="AC31" s="106">
        <f t="shared" si="69"/>
        <v>-3389.9069999999992</v>
      </c>
      <c r="AD31" s="106">
        <f t="shared" si="69"/>
        <v>-3389.9069999999992</v>
      </c>
      <c r="AE31" s="106">
        <f t="shared" si="69"/>
        <v>-3389.9069999999992</v>
      </c>
      <c r="AF31" s="106">
        <f t="shared" si="69"/>
        <v>-3389.9069999999992</v>
      </c>
      <c r="AG31" s="106">
        <f t="shared" si="69"/>
        <v>-3389.9069999999992</v>
      </c>
      <c r="AH31" s="106">
        <f t="shared" si="69"/>
        <v>-3389.9069999999992</v>
      </c>
      <c r="AI31" s="106">
        <f t="shared" si="69"/>
        <v>-3389.9069999999992</v>
      </c>
      <c r="AJ31" s="106">
        <f t="shared" si="70"/>
        <v>-3389.9069999999992</v>
      </c>
      <c r="AK31" s="106">
        <f t="shared" si="70"/>
        <v>-3389.9069999999992</v>
      </c>
      <c r="AL31" s="106">
        <f t="shared" si="70"/>
        <v>-3389.9069999999992</v>
      </c>
      <c r="AM31" s="108">
        <f t="shared" si="70"/>
        <v>-3389.9069999999992</v>
      </c>
      <c r="AN31" s="107">
        <f t="shared" si="70"/>
        <v>-3603.4711409999991</v>
      </c>
      <c r="AO31" s="106">
        <f t="shared" si="70"/>
        <v>-3603.4711409999991</v>
      </c>
      <c r="AP31" s="106">
        <f t="shared" si="70"/>
        <v>-3603.4711409999991</v>
      </c>
      <c r="AQ31" s="106">
        <f t="shared" si="70"/>
        <v>-3603.4711409999991</v>
      </c>
      <c r="AR31" s="106">
        <f t="shared" si="70"/>
        <v>-3603.4711409999991</v>
      </c>
      <c r="AS31" s="106">
        <f t="shared" si="70"/>
        <v>-3603.4711409999991</v>
      </c>
      <c r="AT31" s="106">
        <f t="shared" si="71"/>
        <v>-3603.4711409999991</v>
      </c>
      <c r="AU31" s="106">
        <f t="shared" si="71"/>
        <v>-3603.4711409999991</v>
      </c>
      <c r="AV31" s="106">
        <f t="shared" si="71"/>
        <v>-3603.4711409999991</v>
      </c>
      <c r="AW31" s="106">
        <f t="shared" si="71"/>
        <v>-3603.4711409999991</v>
      </c>
      <c r="AX31" s="106">
        <f t="shared" si="71"/>
        <v>-3603.4711409999991</v>
      </c>
      <c r="AY31" s="108">
        <f t="shared" si="71"/>
        <v>-3603.4711409999991</v>
      </c>
      <c r="AZ31" s="107">
        <f t="shared" si="71"/>
        <v>-3830.4898228829989</v>
      </c>
      <c r="BA31" s="106">
        <f t="shared" si="71"/>
        <v>-3830.4898228829989</v>
      </c>
      <c r="BB31" s="106">
        <f t="shared" si="71"/>
        <v>-3830.4898228829989</v>
      </c>
      <c r="BC31" s="106">
        <f t="shared" si="71"/>
        <v>-3830.4898228829989</v>
      </c>
      <c r="BD31" s="106">
        <f t="shared" si="72"/>
        <v>-3830.4898228829989</v>
      </c>
      <c r="BE31" s="106">
        <f t="shared" si="72"/>
        <v>-3830.4898228829989</v>
      </c>
      <c r="BF31" s="106">
        <f t="shared" si="72"/>
        <v>-3830.4898228829989</v>
      </c>
      <c r="BG31" s="106">
        <f t="shared" si="72"/>
        <v>-3830.4898228829989</v>
      </c>
      <c r="BH31" s="106">
        <f t="shared" si="72"/>
        <v>-3830.4898228829989</v>
      </c>
      <c r="BI31" s="106">
        <f t="shared" si="72"/>
        <v>-3830.4898228829989</v>
      </c>
      <c r="BJ31" s="106">
        <f t="shared" si="72"/>
        <v>-3830.4898228829989</v>
      </c>
      <c r="BK31" s="108">
        <f t="shared" si="72"/>
        <v>-3830.4898228829989</v>
      </c>
      <c r="BL31" s="107">
        <f t="shared" si="72"/>
        <v>-4071.8106817246276</v>
      </c>
      <c r="BM31" s="106">
        <f t="shared" si="72"/>
        <v>-4071.8106817246276</v>
      </c>
      <c r="BN31" s="106">
        <f t="shared" si="73"/>
        <v>-4071.8106817246276</v>
      </c>
      <c r="BO31" s="106">
        <f t="shared" si="73"/>
        <v>-4071.8106817246276</v>
      </c>
      <c r="BP31" s="106">
        <f t="shared" si="73"/>
        <v>-4071.8106817246276</v>
      </c>
      <c r="BQ31" s="106">
        <f t="shared" si="73"/>
        <v>-4071.8106817246276</v>
      </c>
      <c r="BR31" s="106">
        <f t="shared" si="73"/>
        <v>-4071.8106817246276</v>
      </c>
      <c r="BS31" s="106">
        <f t="shared" si="73"/>
        <v>-4071.8106817246276</v>
      </c>
      <c r="BT31" s="106">
        <f t="shared" si="73"/>
        <v>-4071.8106817246276</v>
      </c>
      <c r="BU31" s="106">
        <f t="shared" si="73"/>
        <v>-4071.8106817246276</v>
      </c>
      <c r="BV31" s="106">
        <f t="shared" si="73"/>
        <v>-4071.8106817246276</v>
      </c>
      <c r="BW31" s="108">
        <f t="shared" si="73"/>
        <v>-4071.8106817246276</v>
      </c>
      <c r="BX31" s="107">
        <f t="shared" si="74"/>
        <v>-4328.3347546732784</v>
      </c>
      <c r="BY31" s="106">
        <f t="shared" si="74"/>
        <v>-4328.3347546732784</v>
      </c>
      <c r="BZ31" s="106">
        <f t="shared" si="74"/>
        <v>-4328.3347546732784</v>
      </c>
      <c r="CA31" s="106">
        <f t="shared" si="74"/>
        <v>-4328.3347546732784</v>
      </c>
      <c r="CB31" s="106">
        <f t="shared" si="74"/>
        <v>-4328.3347546732784</v>
      </c>
      <c r="CC31" s="106">
        <f t="shared" si="74"/>
        <v>-4328.3347546732784</v>
      </c>
      <c r="CD31" s="106">
        <f t="shared" si="74"/>
        <v>-4328.3347546732784</v>
      </c>
      <c r="CE31" s="106">
        <f t="shared" si="74"/>
        <v>-4328.3347546732784</v>
      </c>
      <c r="CF31" s="106">
        <f t="shared" si="74"/>
        <v>-4328.3347546732784</v>
      </c>
      <c r="CG31" s="106">
        <f t="shared" si="74"/>
        <v>-4328.3347546732784</v>
      </c>
      <c r="CH31" s="106">
        <f t="shared" si="75"/>
        <v>-4328.3347546732784</v>
      </c>
      <c r="CI31" s="108">
        <f t="shared" si="75"/>
        <v>-4328.3347546732784</v>
      </c>
      <c r="CJ31" s="107">
        <f t="shared" si="75"/>
        <v>-4601.0198442176952</v>
      </c>
      <c r="CK31" s="106">
        <f t="shared" si="75"/>
        <v>-4601.0198442176952</v>
      </c>
      <c r="CL31" s="106">
        <f t="shared" si="75"/>
        <v>-4601.0198442176952</v>
      </c>
      <c r="CM31" s="106">
        <f t="shared" si="75"/>
        <v>-4601.0198442176952</v>
      </c>
      <c r="CN31" s="106">
        <f t="shared" si="75"/>
        <v>-4601.0198442176952</v>
      </c>
      <c r="CO31" s="106">
        <f t="shared" si="75"/>
        <v>-4601.0198442176952</v>
      </c>
      <c r="CP31" s="106">
        <f t="shared" si="75"/>
        <v>-4601.0198442176952</v>
      </c>
      <c r="CQ31" s="106">
        <f t="shared" si="75"/>
        <v>-4601.0198442176952</v>
      </c>
      <c r="CR31" s="106">
        <f t="shared" si="76"/>
        <v>-4601.0198442176952</v>
      </c>
      <c r="CS31" s="106">
        <f t="shared" si="76"/>
        <v>-4601.0198442176952</v>
      </c>
      <c r="CT31" s="106">
        <f t="shared" si="76"/>
        <v>-4601.0198442176952</v>
      </c>
      <c r="CU31" s="108">
        <f t="shared" si="76"/>
        <v>-4601.0198442176952</v>
      </c>
      <c r="CV31" s="107">
        <f t="shared" si="76"/>
        <v>-4890.88409440341</v>
      </c>
      <c r="CW31" s="106">
        <f t="shared" si="76"/>
        <v>-4890.88409440341</v>
      </c>
      <c r="CX31" s="106">
        <f t="shared" si="76"/>
        <v>-4890.88409440341</v>
      </c>
      <c r="CY31" s="106">
        <f t="shared" si="76"/>
        <v>-4890.88409440341</v>
      </c>
      <c r="CZ31" s="106">
        <f t="shared" si="76"/>
        <v>-4890.88409440341</v>
      </c>
      <c r="DA31" s="106">
        <f t="shared" si="76"/>
        <v>-4890.88409440341</v>
      </c>
      <c r="DB31" s="106">
        <f t="shared" si="77"/>
        <v>-4890.88409440341</v>
      </c>
      <c r="DC31" s="106">
        <f t="shared" si="77"/>
        <v>-4890.88409440341</v>
      </c>
      <c r="DD31" s="106">
        <f t="shared" si="77"/>
        <v>-4890.88409440341</v>
      </c>
      <c r="DE31" s="106">
        <f t="shared" si="77"/>
        <v>-4890.88409440341</v>
      </c>
      <c r="DF31" s="106">
        <f t="shared" si="77"/>
        <v>-4890.88409440341</v>
      </c>
      <c r="DG31" s="108">
        <f t="shared" si="77"/>
        <v>-4890.88409440341</v>
      </c>
      <c r="DH31" s="107">
        <f t="shared" si="77"/>
        <v>-5199.0097923508247</v>
      </c>
      <c r="DI31" s="106">
        <f t="shared" si="77"/>
        <v>-5199.0097923508247</v>
      </c>
      <c r="DJ31" s="106">
        <f t="shared" si="77"/>
        <v>-5199.0097923508247</v>
      </c>
      <c r="DK31" s="106">
        <f t="shared" si="77"/>
        <v>-5199.0097923508247</v>
      </c>
      <c r="DL31" s="106">
        <f t="shared" si="78"/>
        <v>-5199.0097923508247</v>
      </c>
      <c r="DM31" s="106">
        <f t="shared" si="78"/>
        <v>-5199.0097923508247</v>
      </c>
      <c r="DN31" s="106">
        <f t="shared" si="78"/>
        <v>-5199.0097923508247</v>
      </c>
      <c r="DO31" s="106">
        <f t="shared" si="78"/>
        <v>-5199.0097923508247</v>
      </c>
      <c r="DP31" s="106">
        <f t="shared" si="78"/>
        <v>-5199.0097923508247</v>
      </c>
      <c r="DQ31" s="106">
        <f t="shared" si="78"/>
        <v>-5199.0097923508247</v>
      </c>
      <c r="DR31" s="106">
        <f t="shared" si="78"/>
        <v>-5199.0097923508247</v>
      </c>
      <c r="DS31" s="108">
        <f t="shared" si="78"/>
        <v>-5199.0097923508247</v>
      </c>
    </row>
    <row r="32" spans="2:123" ht="15" x14ac:dyDescent="0.25">
      <c r="B32" s="160" t="s">
        <v>352</v>
      </c>
      <c r="C32" s="833">
        <v>-3000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>
        <f t="shared" si="67"/>
        <v>-3000</v>
      </c>
      <c r="O32" s="535">
        <f t="shared" si="67"/>
        <v>-3000</v>
      </c>
      <c r="P32" s="107">
        <f t="shared" si="68"/>
        <v>-3189</v>
      </c>
      <c r="Q32" s="106">
        <f t="shared" si="68"/>
        <v>-3189</v>
      </c>
      <c r="R32" s="106">
        <f t="shared" si="68"/>
        <v>-3189</v>
      </c>
      <c r="S32" s="106">
        <f t="shared" si="68"/>
        <v>-3189</v>
      </c>
      <c r="T32" s="106">
        <f t="shared" si="68"/>
        <v>-3189</v>
      </c>
      <c r="U32" s="106">
        <f t="shared" si="68"/>
        <v>-3189</v>
      </c>
      <c r="V32" s="106">
        <f t="shared" si="68"/>
        <v>-3189</v>
      </c>
      <c r="W32" s="106">
        <f t="shared" si="68"/>
        <v>-3189</v>
      </c>
      <c r="X32" s="106">
        <f t="shared" si="68"/>
        <v>-3189</v>
      </c>
      <c r="Y32" s="106">
        <f t="shared" si="68"/>
        <v>-3189</v>
      </c>
      <c r="Z32" s="106">
        <f t="shared" si="69"/>
        <v>-3189</v>
      </c>
      <c r="AA32" s="108">
        <f t="shared" si="69"/>
        <v>-3189</v>
      </c>
      <c r="AB32" s="107">
        <f t="shared" si="69"/>
        <v>-3389.9069999999992</v>
      </c>
      <c r="AC32" s="106">
        <f t="shared" si="69"/>
        <v>-3389.9069999999992</v>
      </c>
      <c r="AD32" s="106">
        <f t="shared" si="69"/>
        <v>-3389.9069999999992</v>
      </c>
      <c r="AE32" s="106">
        <f t="shared" si="69"/>
        <v>-3389.9069999999992</v>
      </c>
      <c r="AF32" s="106">
        <f t="shared" si="69"/>
        <v>-3389.9069999999992</v>
      </c>
      <c r="AG32" s="106">
        <f t="shared" si="69"/>
        <v>-3389.9069999999992</v>
      </c>
      <c r="AH32" s="106">
        <f t="shared" si="69"/>
        <v>-3389.9069999999992</v>
      </c>
      <c r="AI32" s="106">
        <f t="shared" si="69"/>
        <v>-3389.9069999999992</v>
      </c>
      <c r="AJ32" s="106">
        <f t="shared" si="70"/>
        <v>-3389.9069999999992</v>
      </c>
      <c r="AK32" s="106">
        <f t="shared" si="70"/>
        <v>-3389.9069999999992</v>
      </c>
      <c r="AL32" s="106">
        <f t="shared" si="70"/>
        <v>-3389.9069999999992</v>
      </c>
      <c r="AM32" s="108">
        <f t="shared" si="70"/>
        <v>-3389.9069999999992</v>
      </c>
      <c r="AN32" s="107">
        <f t="shared" si="70"/>
        <v>-3603.4711409999991</v>
      </c>
      <c r="AO32" s="106">
        <f t="shared" si="70"/>
        <v>-3603.4711409999991</v>
      </c>
      <c r="AP32" s="106">
        <f t="shared" si="70"/>
        <v>-3603.4711409999991</v>
      </c>
      <c r="AQ32" s="106">
        <f t="shared" si="70"/>
        <v>-3603.4711409999991</v>
      </c>
      <c r="AR32" s="106">
        <f t="shared" si="70"/>
        <v>-3603.4711409999991</v>
      </c>
      <c r="AS32" s="106">
        <f t="shared" si="70"/>
        <v>-3603.4711409999991</v>
      </c>
      <c r="AT32" s="106">
        <f t="shared" si="71"/>
        <v>-3603.4711409999991</v>
      </c>
      <c r="AU32" s="106">
        <f t="shared" si="71"/>
        <v>-3603.4711409999991</v>
      </c>
      <c r="AV32" s="106">
        <f t="shared" si="71"/>
        <v>-3603.4711409999991</v>
      </c>
      <c r="AW32" s="106">
        <f t="shared" si="71"/>
        <v>-3603.4711409999991</v>
      </c>
      <c r="AX32" s="106">
        <f t="shared" si="71"/>
        <v>-3603.4711409999991</v>
      </c>
      <c r="AY32" s="108">
        <f t="shared" si="71"/>
        <v>-3603.4711409999991</v>
      </c>
      <c r="AZ32" s="107">
        <f t="shared" si="71"/>
        <v>-3830.4898228829989</v>
      </c>
      <c r="BA32" s="106">
        <f t="shared" si="71"/>
        <v>-3830.4898228829989</v>
      </c>
      <c r="BB32" s="106">
        <f t="shared" si="71"/>
        <v>-3830.4898228829989</v>
      </c>
      <c r="BC32" s="106">
        <f t="shared" si="71"/>
        <v>-3830.4898228829989</v>
      </c>
      <c r="BD32" s="106">
        <f t="shared" si="72"/>
        <v>-3830.4898228829989</v>
      </c>
      <c r="BE32" s="106">
        <f t="shared" si="72"/>
        <v>-3830.4898228829989</v>
      </c>
      <c r="BF32" s="106">
        <f t="shared" si="72"/>
        <v>-3830.4898228829989</v>
      </c>
      <c r="BG32" s="106">
        <f t="shared" si="72"/>
        <v>-3830.4898228829989</v>
      </c>
      <c r="BH32" s="106">
        <f t="shared" si="72"/>
        <v>-3830.4898228829989</v>
      </c>
      <c r="BI32" s="106">
        <f t="shared" si="72"/>
        <v>-3830.4898228829989</v>
      </c>
      <c r="BJ32" s="106">
        <f t="shared" si="72"/>
        <v>-3830.4898228829989</v>
      </c>
      <c r="BK32" s="108">
        <f t="shared" si="72"/>
        <v>-3830.4898228829989</v>
      </c>
      <c r="BL32" s="107">
        <f t="shared" si="72"/>
        <v>-4071.8106817246276</v>
      </c>
      <c r="BM32" s="106">
        <f t="shared" si="72"/>
        <v>-4071.8106817246276</v>
      </c>
      <c r="BN32" s="106">
        <f t="shared" si="73"/>
        <v>-4071.8106817246276</v>
      </c>
      <c r="BO32" s="106">
        <f t="shared" si="73"/>
        <v>-4071.8106817246276</v>
      </c>
      <c r="BP32" s="106">
        <f t="shared" si="73"/>
        <v>-4071.8106817246276</v>
      </c>
      <c r="BQ32" s="106">
        <f t="shared" si="73"/>
        <v>-4071.8106817246276</v>
      </c>
      <c r="BR32" s="106">
        <f t="shared" si="73"/>
        <v>-4071.8106817246276</v>
      </c>
      <c r="BS32" s="106">
        <f t="shared" si="73"/>
        <v>-4071.8106817246276</v>
      </c>
      <c r="BT32" s="106">
        <f t="shared" si="73"/>
        <v>-4071.8106817246276</v>
      </c>
      <c r="BU32" s="106">
        <f t="shared" si="73"/>
        <v>-4071.8106817246276</v>
      </c>
      <c r="BV32" s="106">
        <f t="shared" si="73"/>
        <v>-4071.8106817246276</v>
      </c>
      <c r="BW32" s="108">
        <f t="shared" si="73"/>
        <v>-4071.8106817246276</v>
      </c>
      <c r="BX32" s="107">
        <f t="shared" si="74"/>
        <v>-4328.3347546732784</v>
      </c>
      <c r="BY32" s="106">
        <f t="shared" si="74"/>
        <v>-4328.3347546732784</v>
      </c>
      <c r="BZ32" s="106">
        <f t="shared" si="74"/>
        <v>-4328.3347546732784</v>
      </c>
      <c r="CA32" s="106">
        <f t="shared" si="74"/>
        <v>-4328.3347546732784</v>
      </c>
      <c r="CB32" s="106">
        <f t="shared" si="74"/>
        <v>-4328.3347546732784</v>
      </c>
      <c r="CC32" s="106">
        <f t="shared" si="74"/>
        <v>-4328.3347546732784</v>
      </c>
      <c r="CD32" s="106">
        <f t="shared" si="74"/>
        <v>-4328.3347546732784</v>
      </c>
      <c r="CE32" s="106">
        <f t="shared" si="74"/>
        <v>-4328.3347546732784</v>
      </c>
      <c r="CF32" s="106">
        <f t="shared" si="74"/>
        <v>-4328.3347546732784</v>
      </c>
      <c r="CG32" s="106">
        <f t="shared" si="74"/>
        <v>-4328.3347546732784</v>
      </c>
      <c r="CH32" s="106">
        <f t="shared" si="75"/>
        <v>-4328.3347546732784</v>
      </c>
      <c r="CI32" s="108">
        <f t="shared" si="75"/>
        <v>-4328.3347546732784</v>
      </c>
      <c r="CJ32" s="107">
        <f t="shared" si="75"/>
        <v>-4601.0198442176952</v>
      </c>
      <c r="CK32" s="106">
        <f t="shared" si="75"/>
        <v>-4601.0198442176952</v>
      </c>
      <c r="CL32" s="106">
        <f t="shared" si="75"/>
        <v>-4601.0198442176952</v>
      </c>
      <c r="CM32" s="106">
        <f t="shared" si="75"/>
        <v>-4601.0198442176952</v>
      </c>
      <c r="CN32" s="106">
        <f t="shared" si="75"/>
        <v>-4601.0198442176952</v>
      </c>
      <c r="CO32" s="106">
        <f t="shared" si="75"/>
        <v>-4601.0198442176952</v>
      </c>
      <c r="CP32" s="106">
        <f t="shared" si="75"/>
        <v>-4601.0198442176952</v>
      </c>
      <c r="CQ32" s="106">
        <f t="shared" si="75"/>
        <v>-4601.0198442176952</v>
      </c>
      <c r="CR32" s="106">
        <f t="shared" si="76"/>
        <v>-4601.0198442176952</v>
      </c>
      <c r="CS32" s="106">
        <f t="shared" si="76"/>
        <v>-4601.0198442176952</v>
      </c>
      <c r="CT32" s="106">
        <f t="shared" si="76"/>
        <v>-4601.0198442176952</v>
      </c>
      <c r="CU32" s="108">
        <f t="shared" si="76"/>
        <v>-4601.0198442176952</v>
      </c>
      <c r="CV32" s="107">
        <f t="shared" si="76"/>
        <v>-4890.88409440341</v>
      </c>
      <c r="CW32" s="106">
        <f t="shared" si="76"/>
        <v>-4890.88409440341</v>
      </c>
      <c r="CX32" s="106">
        <f t="shared" si="76"/>
        <v>-4890.88409440341</v>
      </c>
      <c r="CY32" s="106">
        <f t="shared" si="76"/>
        <v>-4890.88409440341</v>
      </c>
      <c r="CZ32" s="106">
        <f t="shared" si="76"/>
        <v>-4890.88409440341</v>
      </c>
      <c r="DA32" s="106">
        <f t="shared" si="76"/>
        <v>-4890.88409440341</v>
      </c>
      <c r="DB32" s="106">
        <f t="shared" si="77"/>
        <v>-4890.88409440341</v>
      </c>
      <c r="DC32" s="106">
        <f t="shared" si="77"/>
        <v>-4890.88409440341</v>
      </c>
      <c r="DD32" s="106">
        <f t="shared" si="77"/>
        <v>-4890.88409440341</v>
      </c>
      <c r="DE32" s="106">
        <f t="shared" si="77"/>
        <v>-4890.88409440341</v>
      </c>
      <c r="DF32" s="106">
        <f t="shared" si="77"/>
        <v>-4890.88409440341</v>
      </c>
      <c r="DG32" s="108">
        <f t="shared" si="77"/>
        <v>-4890.88409440341</v>
      </c>
      <c r="DH32" s="107">
        <f t="shared" si="77"/>
        <v>-5199.0097923508247</v>
      </c>
      <c r="DI32" s="106">
        <f t="shared" si="77"/>
        <v>-5199.0097923508247</v>
      </c>
      <c r="DJ32" s="106">
        <f t="shared" si="77"/>
        <v>-5199.0097923508247</v>
      </c>
      <c r="DK32" s="106">
        <f t="shared" si="77"/>
        <v>-5199.0097923508247</v>
      </c>
      <c r="DL32" s="106">
        <f t="shared" si="78"/>
        <v>-5199.0097923508247</v>
      </c>
      <c r="DM32" s="106">
        <f t="shared" si="78"/>
        <v>-5199.0097923508247</v>
      </c>
      <c r="DN32" s="106">
        <f t="shared" si="78"/>
        <v>-5199.0097923508247</v>
      </c>
      <c r="DO32" s="106">
        <f t="shared" si="78"/>
        <v>-5199.0097923508247</v>
      </c>
      <c r="DP32" s="106">
        <f t="shared" si="78"/>
        <v>-5199.0097923508247</v>
      </c>
      <c r="DQ32" s="106">
        <f t="shared" si="78"/>
        <v>-5199.0097923508247</v>
      </c>
      <c r="DR32" s="106">
        <f t="shared" si="78"/>
        <v>-5199.0097923508247</v>
      </c>
      <c r="DS32" s="108">
        <f t="shared" si="78"/>
        <v>-5199.0097923508247</v>
      </c>
    </row>
    <row r="33" spans="1:123 16369:16384" ht="17.25" thickBot="1" x14ac:dyDescent="0.35">
      <c r="A33" s="164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714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714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714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714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714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714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714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714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714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714"/>
    </row>
    <row r="34" spans="1:123 16369:16384" s="715" customFormat="1" ht="12.75" customHeight="1" x14ac:dyDescent="0.2">
      <c r="A34" s="9"/>
      <c r="B34" s="9"/>
      <c r="C34" s="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XEO34" s="2"/>
      <c r="XEP34" s="2"/>
      <c r="XEQ34" s="2"/>
      <c r="XER34" s="2"/>
      <c r="XES34" s="2"/>
      <c r="XET34" s="2"/>
      <c r="XEU34" s="2"/>
      <c r="XEV34" s="2"/>
      <c r="XEW34" s="2"/>
      <c r="XEX34" s="2"/>
      <c r="XEY34" s="2"/>
      <c r="XEZ34" s="2"/>
      <c r="XFA34" s="2"/>
      <c r="XFB34" s="2"/>
      <c r="XFC34" s="2"/>
      <c r="XFD34" s="2"/>
    </row>
    <row r="35" spans="1:123 16369:16384" x14ac:dyDescent="0.2">
      <c r="J35" s="385"/>
      <c r="L35" s="385"/>
    </row>
  </sheetData>
  <mergeCells count="11">
    <mergeCell ref="A1:B3"/>
    <mergeCell ref="BL2:BW2"/>
    <mergeCell ref="P2:AA2"/>
    <mergeCell ref="AB2:AM2"/>
    <mergeCell ref="AN2:AY2"/>
    <mergeCell ref="AZ2:BK2"/>
    <mergeCell ref="BX2:CI2"/>
    <mergeCell ref="CJ2:CU2"/>
    <mergeCell ref="CV2:DG2"/>
    <mergeCell ref="DH2:DS2"/>
    <mergeCell ref="D2:O2"/>
  </mergeCells>
  <pageMargins left="0.25" right="0.25" top="0.75" bottom="0.75" header="0.3" footer="0.3"/>
  <pageSetup paperSize="9" scale="47" orientation="landscape" r:id="rId1"/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9</vt:i4>
      </vt:variant>
    </vt:vector>
  </HeadingPairs>
  <TitlesOfParts>
    <vt:vector size="50" baseType="lpstr">
      <vt:lpstr>Assumptions</vt:lpstr>
      <vt:lpstr>Valuation</vt:lpstr>
      <vt:lpstr>Sensitivities</vt:lpstr>
      <vt:lpstr>Fin Statements</vt:lpstr>
      <vt:lpstr>Monthly FS</vt:lpstr>
      <vt:lpstr>1.Revenue</vt:lpstr>
      <vt:lpstr>2.Sales Costs</vt:lpstr>
      <vt:lpstr>3. Variable Costs</vt:lpstr>
      <vt:lpstr>4. OH Expenses</vt:lpstr>
      <vt:lpstr>5.Depreciation</vt:lpstr>
      <vt:lpstr>6. Finance Income</vt:lpstr>
      <vt:lpstr>7.Finance Costs</vt:lpstr>
      <vt:lpstr>8.Income Tax</vt:lpstr>
      <vt:lpstr>9.CAPEX</vt:lpstr>
      <vt:lpstr>Production</vt:lpstr>
      <vt:lpstr>WACC</vt:lpstr>
      <vt:lpstr>HR</vt:lpstr>
      <vt:lpstr>Feed</vt:lpstr>
      <vt:lpstr>R&amp;M</vt:lpstr>
      <vt:lpstr>Elec</vt:lpstr>
      <vt:lpstr>Capital Replacement</vt:lpstr>
      <vt:lpstr>Input data</vt:lpstr>
      <vt:lpstr>Summary Bioplan</vt:lpstr>
      <vt:lpstr>Batch 1</vt:lpstr>
      <vt:lpstr>Batch2</vt:lpstr>
      <vt:lpstr>Batch3</vt:lpstr>
      <vt:lpstr>Batch4</vt:lpstr>
      <vt:lpstr>Production Calcs</vt:lpstr>
      <vt:lpstr>Production Plan</vt:lpstr>
      <vt:lpstr>Capex Summary Sheet</vt:lpstr>
      <vt:lpstr>1. Pre-Development</vt:lpstr>
      <vt:lpstr>2. Land</vt:lpstr>
      <vt:lpstr>3. Infrastructure</vt:lpstr>
      <vt:lpstr>4. Buildings</vt:lpstr>
      <vt:lpstr>5. Services</vt:lpstr>
      <vt:lpstr>6.Aquaculture system - Hatchery</vt:lpstr>
      <vt:lpstr>7. Aquaculture system - Cages</vt:lpstr>
      <vt:lpstr>8. Vehicles</vt:lpstr>
      <vt:lpstr>9. Transport and Logistics</vt:lpstr>
      <vt:lpstr>10. Professional Fees</vt:lpstr>
      <vt:lpstr>11. Contingency</vt:lpstr>
      <vt:lpstr>'4. OH Expenses'!Print_Area</vt:lpstr>
      <vt:lpstr>'5.Depreciation'!Print_Area</vt:lpstr>
      <vt:lpstr>'8.Income Tax'!Print_Area</vt:lpstr>
      <vt:lpstr>'9.CAPEX'!Print_Area</vt:lpstr>
      <vt:lpstr>'Batch 1'!Print_Area</vt:lpstr>
      <vt:lpstr>'Capital Replacement'!Print_Area</vt:lpstr>
      <vt:lpstr>Feed!Print_Area</vt:lpstr>
      <vt:lpstr>'Fin Statements'!Print_Area</vt:lpstr>
      <vt:lpstr>'R&amp;M'!Print_Area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Adilia de Nobrega-Thorold</dc:creator>
  <cp:lastModifiedBy>MasupingM</cp:lastModifiedBy>
  <cp:lastPrinted>2016-08-25T09:11:32Z</cp:lastPrinted>
  <dcterms:created xsi:type="dcterms:W3CDTF">2014-02-10T08:24:51Z</dcterms:created>
  <dcterms:modified xsi:type="dcterms:W3CDTF">2017-06-21T11:58:34Z</dcterms:modified>
</cp:coreProperties>
</file>